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388" documentId="13_ncr:1_{25B62D78-2787-4D6A-9F3E-D571215EA930}" xr6:coauthVersionLast="47" xr6:coauthVersionMax="47" xr10:uidLastSave="{DAC36A6A-EC9A-4C90-9FB8-CF2E825B96E4}"/>
  <bookViews>
    <workbookView xWindow="-110" yWindow="-110" windowWidth="25820" windowHeight="15500" tabRatio="744" firstSheet="2" activeTab="3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P2" i="15" s="1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2" i="15"/>
  <c r="O11" i="15"/>
  <c r="N9" i="15"/>
  <c r="O9" i="15"/>
  <c r="N5" i="15"/>
  <c r="I7" i="15"/>
  <c r="O13" i="15"/>
  <c r="N2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I2" i="15"/>
  <c r="N4" i="15"/>
  <c r="N11" i="15"/>
  <c r="J7" i="15" l="1"/>
  <c r="J12" i="15"/>
  <c r="J5" i="15"/>
  <c r="J2" i="15"/>
  <c r="J11" i="15"/>
  <c r="J4" i="15"/>
  <c r="J6" i="15"/>
  <c r="J13" i="15"/>
  <c r="J10" i="15"/>
  <c r="J3" i="15"/>
  <c r="C19" i="14" l="1"/>
  <c r="C36" i="14" s="1"/>
  <c r="B19" i="14"/>
  <c r="B36" i="14" s="1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P3" i="3" s="1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5" i="11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R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B26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R8" i="3" s="1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15" l="1"/>
  <c r="R13" i="15"/>
  <c r="R13" i="3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<sst xmlns="http://schemas.openxmlformats.org/spreadsheetml/2006/main" count="699" uniqueCount="292">
  <si>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</si>
  <si>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</si>
  <si>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</si>
  <si>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</si>
  <si>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</si>
  <si>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</si>
  <si>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</si>
  <si>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</si>
  <si>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</si>
  <si>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</si>
  <si>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</si>
  <si>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</si>
  <si>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</si>
  <si>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</si>
  <si>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</si>
  <si>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</si>
  <si>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</si>
  <si>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</si>
  <si>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</si>
  <si>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</si>
  <si>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</si>
  <si>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</si>
  <si>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</si>
  <si>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</si>
  <si>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</si>
  <si>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</si>
  <si>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</si>
  <si>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</si>
  <si>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</si>
  <si>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</si>
  <si>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</si>
  <si>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</si>
  <si>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</si>
  <si>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</si>
  <si>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</si>
  <si>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</si>
  <si>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</si>
  <si>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</si>
  <si>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</si>
  <si>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</si>
  <si>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</si>
  <si>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</si>
  <si>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</si>
  <si>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</si>
  <si>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</si>
  <si>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</si>
  <si>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</si>
  <si>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</si>
  <si>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</si>
  <si>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</si>
  <si>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</si>
  <si>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</si>
  <si>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</si>
  <si>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</si>
  <si>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</si>
  <si>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</si>
  <si>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</si>
  <si>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</si>
  <si>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</si>
  <si>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</si>
  <si>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</si>
  <si>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</si>
  <si>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</si>
  <si>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</si>
  <si>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</si>
  <si>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</si>
  <si>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</si>
  <si>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</si>
  <si>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</si>
  <si>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</si>
  <si>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</si>
  <si>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</si>
  <si>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</si>
  <si>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</si>
  <si>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</si>
  <si>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</si>
  <si>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</si>
  <si>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</si>
  <si>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</si>
  <si>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</si>
  <si>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</si>
  <si>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</si>
  <si>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</si>
  <si>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</si>
  <si>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</si>
  <si>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</si>
  <si>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</si>
  <si>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</si>
  <si>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</si>
  <si>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</si>
  <si>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</si>
  <si>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</si>
  <si>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</si>
  <si>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</si>
  <si>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</si>
  <si>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</si>
  <si>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</si>
  <si>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</si>
  <si>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</si>
  <si>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</si>
  <si>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</si>
  <si>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</si>
  <si>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</si>
  <si>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</si>
  <si>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</si>
  <si>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</si>
  <si>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</si>
  <si>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</si>
  <si>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</si>
  <si>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</si>
  <si>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</si>
  <si>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</si>
  <si>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</si>
  <si>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</si>
  <si>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</si>
  <si>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</si>
  <si>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</si>
  <si>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</si>
  <si>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</si>
  <si>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</si>
  <si>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</si>
  <si>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</si>
  <si>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</si>
  <si>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</si>
  <si>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</si>
  <si>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</si>
  <si>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</si>
  <si>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</si>
  <si>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</si>
  <si>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</si>
  <si>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</si>
  <si>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</si>
  <si>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</si>
  <si>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</si>
  <si>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</si>
  <si>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</si>
  <si>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</si>
  <si>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</si>
  <si>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</si>
  <si>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</si>
  <si>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</si>
  <si>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</si>
  <si>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</si>
  <si>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</si>
  <si>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</si>
  <si>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</si>
  <si>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</si>
  <si>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</si>
  <si>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</si>
  <si>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</si>
  <si>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</si>
  <si>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</si>
  <si>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</si>
  <si>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</si>
  <si>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</si>
  <si>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</si>
  <si>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</si>
  <si>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</si>
  <si>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</si>
  <si>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</si>
  <si>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</si>
  <si>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</si>
  <si>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</si>
  <si>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</si>
  <si>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</si>
  <si>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</si>
  <si>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</si>
  <si>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</si>
  <si>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</si>
  <si>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</si>
  <si>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</si>
  <si>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</si>
  <si>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</si>
  <si>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</si>
  <si>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</si>
  <si>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</si>
  <si>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</si>
  <si>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</si>
  <si>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</si>
  <si>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</si>
  <si>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</si>
  <si>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</si>
  <si>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</si>
  <si>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</si>
  <si>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</si>
  <si>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</si>
  <si>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</si>
  <si>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</si>
  <si>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</si>
  <si>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</si>
  <si>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</si>
  <si>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</si>
  <si>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</si>
  <si>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</si>
  <si>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</si>
  <si>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</si>
  <si>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</si>
  <si>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</si>
  <si>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</si>
  <si>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</si>
  <si>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</si>
  <si>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</si>
  <si>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</si>
  <si>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</si>
  <si>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</si>
  <si>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</si>
  <si>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</si>
  <si>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</si>
  <si>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</si>
  <si>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</si>
  <si>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</si>
  <si>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</si>
  <si>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</si>
  <si>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</si>
  <si>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</si>
  <si>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</si>
  <si>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</si>
  <si>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</si>
  <si>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</si>
  <si>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</si>
  <si>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</si>
  <si>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</si>
  <si>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</si>
  <si>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</si>
  <si>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</si>
  <si>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</si>
  <si>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</si>
  <si>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</si>
  <si>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</si>
  <si>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</si>
  <si>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</si>
  <si>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</si>
  <si>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</si>
  <si>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</si>
  <si>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</si>
  <si>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</si>
  <si>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</si>
  <si>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</si>
  <si>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</si>
  <si>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</si>
  <si>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</si>
  <si>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</si>
  <si>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</si>
  <si>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</si>
  <si>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</si>
  <si>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</si>
  <si>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</si>
  <si>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</si>
  <si>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</si>
  <si>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</si>
  <si>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</si>
  <si>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</si>
  <si>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</si>
  <si>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</si>
  <si>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</si>
  <si>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</si>
  <si>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</si>
  <si>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</si>
  <si>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</si>
  <si>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</si>
  <si>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</si>
  <si>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</si>
  <si>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</si>
  <si>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</si>
  <si>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</si>
  <si>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</si>
  <si>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</si>
  <si>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</si>
  <si>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</si>
  <si>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</si>
  <si>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</si>
  <si>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</si>
  <si>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</si>
  <si>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</si>
  <si>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</si>
  <si>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</si>
  <si>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</si>
  <si>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</si>
  <si>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</si>
  <si>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</si>
  <si>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</si>
  <si>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</si>
  <si>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</si>
  <si>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</si>
  <si>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</si>
  <si>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</si>
  <si>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</si>
  <si>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</si>
  <si>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*maximum velocity analysis</t>
  </si>
  <si>
    <t>Max Cornering @ Tire Limits (~4.0g)</t>
  </si>
  <si>
    <t>Max Deceleration @ Tire Limits (~4.0g)</t>
  </si>
  <si>
    <t>Max Cornering @ Tire Limits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</si>
</sst>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7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3" fillId="5" borderId="47" xfId="0" applyFont="1" applyFill="1" applyBorder="1" applyAlignment="1">
      <alignment horizontal="center" vertical="center" wrapText="1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F4" sqref="F4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9.84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8.9025999999999996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8.1829000000000001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8.5067649999999997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60" zoomScaleNormal="60" workbookViewId="0">
      <selection activeCell="D64" sqref="D6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D27" sqref="D27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831.62909999999999</v>
      </c>
      <c r="C27" s="51">
        <v>223.77629999999999</v>
      </c>
      <c r="D27" s="51">
        <v>348.9479</v>
      </c>
      <c r="E27" s="52">
        <f t="shared" si="5"/>
        <v>32.741303149606296</v>
      </c>
      <c r="F27" s="52">
        <f t="shared" si="3"/>
        <v>8.8100905511811014</v>
      </c>
      <c r="G27" s="51">
        <f t="shared" si="3"/>
        <v>13.7381062992126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564.81010000000003</v>
      </c>
      <c r="C30" s="51">
        <v>257.14819999999997</v>
      </c>
      <c r="D30" s="51">
        <v>352.85289999999998</v>
      </c>
      <c r="E30" s="52">
        <f t="shared" si="5"/>
        <v>22.236618110236222</v>
      </c>
      <c r="F30" s="52">
        <f t="shared" si="3"/>
        <v>10.123944881889763</v>
      </c>
      <c r="G30" s="51">
        <f t="shared" si="3"/>
        <v>13.891846456692914</v>
      </c>
    </row>
    <row r="31" spans="1:7" x14ac:dyDescent="0.35">
      <c r="A31" t="s">
        <v>111</v>
      </c>
      <c r="B31" s="51">
        <v>709.80359999999996</v>
      </c>
      <c r="C31" s="51">
        <v>164.58940000000001</v>
      </c>
      <c r="D31" s="51">
        <v>366.33420000000001</v>
      </c>
      <c r="E31" s="52">
        <f t="shared" si="5"/>
        <v>27.945023622047245</v>
      </c>
      <c r="F31" s="52">
        <f t="shared" si="3"/>
        <v>6.4798976377952764</v>
      </c>
      <c r="G31" s="51">
        <f t="shared" si="3"/>
        <v>14.4226062992126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773.44150000000002</v>
      </c>
      <c r="C34" s="51">
        <v>246.14859999999999</v>
      </c>
      <c r="D34" s="51">
        <v>366.1146</v>
      </c>
      <c r="E34" s="52">
        <f t="shared" si="5"/>
        <v>30.450452755905513</v>
      </c>
      <c r="F34" s="52">
        <f t="shared" si="3"/>
        <v>9.690889763779527</v>
      </c>
      <c r="G34" s="51">
        <f t="shared" si="3"/>
        <v>14.413960629921259</v>
      </c>
    </row>
    <row r="35" spans="1:7" x14ac:dyDescent="0.35">
      <c r="A35" t="s">
        <v>115</v>
      </c>
      <c r="B35" s="51">
        <v>771.91920000000005</v>
      </c>
      <c r="C35" s="51">
        <v>238.33699999999999</v>
      </c>
      <c r="D35" s="51">
        <v>328.85509999999999</v>
      </c>
      <c r="E35" s="52">
        <f t="shared" si="5"/>
        <v>30.390519685039369</v>
      </c>
      <c r="F35" s="52">
        <f t="shared" si="3"/>
        <v>9.3833464566929141</v>
      </c>
      <c r="G35" s="51">
        <f t="shared" si="3"/>
        <v>12.947051181102363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7"/>
  <sheetViews>
    <sheetView tabSelected="1" workbookViewId="0">
      <selection activeCell="B7" sqref="B7"/>
    </sheetView>
  </sheetViews>
  <sheetFormatPr defaultRowHeight="14.5" x14ac:dyDescent="0.35"/>
  <sheetData>
    <row r="1" spans="1:7" x14ac:dyDescent="0.35">
      <c r="A1" s="46" t="s">
        <v>119</v>
      </c>
      <c r="D1" s="46" t="s">
        <v>120</v>
      </c>
      <c r="F1" s="46"/>
      <c r="G1" s="46" t="s">
        <v>121</v>
      </c>
    </row>
    <row r="2" spans="1:7" x14ac:dyDescent="0.35">
      <c r="A2" t="s">
        <v>122</v>
      </c>
      <c r="D2" t="s">
        <v>122</v>
      </c>
      <c r="G2" t="s">
        <v>122</v>
      </c>
    </row>
    <row r="4" spans="1:7" x14ac:dyDescent="0.35">
      <c r="A4" t="s">
        <v>123</v>
      </c>
      <c r="D4" t="s">
        <v>123</v>
      </c>
      <c r="G4" t="s">
        <v>123</v>
      </c>
    </row>
    <row r="7" spans="1:7" x14ac:dyDescent="0.35">
      <c r="A7" t="s">
        <v>124</v>
      </c>
      <c r="D7" t="s">
        <v>124</v>
      </c>
      <c r="G7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D58" sqref="D58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I33" sqref="I33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3" t="s">
        <v>157</v>
      </c>
      <c r="R1" s="163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opLeftCell="A12" zoomScale="80" zoomScaleNormal="80" workbookViewId="0">
      <selection activeCell="O29" sqref="O29"/>
    </sheetView>
  </sheetViews>
  <sheetFormatPr defaultRowHeight="14.5" x14ac:dyDescent="0.35"/>
  <cols>
    <col min="1" max="1" width="29.54296875" customWidth="1"/>
    <col min="2" max="2" width="5.26953125" customWidth="1"/>
    <col min="6" max="6" width="9.453125" bestFit="1" customWidth="1"/>
    <col min="8" max="8" width="27.54296875" customWidth="1"/>
    <col min="9" max="9" width="5.26953125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6" t="s">
        <v>175</v>
      </c>
      <c r="B2" s="75"/>
      <c r="C2" s="59" t="s">
        <v>176</v>
      </c>
      <c r="D2" s="60"/>
      <c r="E2" s="61" t="s">
        <v>177</v>
      </c>
      <c r="F2" s="60"/>
      <c r="H2" s="166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7"/>
      <c r="B3" s="57"/>
      <c r="C3" s="62" t="s">
        <v>179</v>
      </c>
      <c r="D3">
        <v>0</v>
      </c>
      <c r="E3" s="52" t="s">
        <v>179</v>
      </c>
      <c r="F3" s="63">
        <v>0</v>
      </c>
      <c r="H3" s="167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4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5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-97.121899999999997</v>
      </c>
      <c r="E15" s="52" t="s">
        <v>181</v>
      </c>
      <c r="F15" s="63">
        <v>-97.121899999999997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378.70310000000001</v>
      </c>
      <c r="E18" s="52" t="s">
        <v>179</v>
      </c>
      <c r="F18" s="63">
        <v>378.70310000000001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-227.87809999999999</v>
      </c>
      <c r="E20" s="73" t="s">
        <v>181</v>
      </c>
      <c r="F20" s="74">
        <v>-227.87809999999999</v>
      </c>
      <c r="H20" s="3"/>
      <c r="I20" s="3"/>
    </row>
    <row r="22" spans="1:13" x14ac:dyDescent="0.35">
      <c r="A22" s="164" t="s">
        <v>290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5"/>
      <c r="B23" s="57"/>
      <c r="C23" s="62" t="s">
        <v>179</v>
      </c>
      <c r="D23">
        <v>-867.63459999999998</v>
      </c>
      <c r="E23" s="52" t="s">
        <v>179</v>
      </c>
      <c r="F23" s="63">
        <v>-867.63459999999998</v>
      </c>
      <c r="H23" s="77"/>
      <c r="I23" s="57"/>
    </row>
    <row r="24" spans="1:13" x14ac:dyDescent="0.35">
      <c r="A24" t="s">
        <v>288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-577.98410000000001</v>
      </c>
      <c r="E25" s="52" t="s">
        <v>181</v>
      </c>
      <c r="F25" s="63">
        <v>-577.98410000000001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-464.62740000000002</v>
      </c>
      <c r="E28" s="52" t="s">
        <v>179</v>
      </c>
      <c r="F28" s="63">
        <v>-464.62740000000002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-286.38189999999997</v>
      </c>
      <c r="E30" s="73" t="s">
        <v>181</v>
      </c>
      <c r="F30" s="74">
        <v>-286.38189999999997</v>
      </c>
      <c r="H30" s="3"/>
      <c r="I30" s="3"/>
    </row>
    <row r="32" spans="1:13" ht="14.65" customHeight="1" x14ac:dyDescent="0.35">
      <c r="A32" s="164" t="s">
        <v>289</v>
      </c>
      <c r="B32" s="75"/>
      <c r="C32" s="59" t="s">
        <v>176</v>
      </c>
      <c r="D32" s="60"/>
      <c r="E32" s="61" t="s">
        <v>177</v>
      </c>
      <c r="F32" s="60"/>
      <c r="H32" s="166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5"/>
      <c r="B33" s="57"/>
      <c r="C33" s="62" t="s">
        <v>179</v>
      </c>
      <c r="D33">
        <v>0</v>
      </c>
      <c r="E33" s="52" t="s">
        <v>179</v>
      </c>
      <c r="F33" s="63">
        <v>0</v>
      </c>
      <c r="H33" s="167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288</v>
      </c>
      <c r="C34" s="62" t="s">
        <v>180</v>
      </c>
      <c r="D34">
        <v>-191.23439999999999</v>
      </c>
      <c r="E34" s="52" t="s">
        <v>180</v>
      </c>
      <c r="F34" s="63">
        <v>-919.68399999999997</v>
      </c>
      <c r="J34" s="62" t="s">
        <v>180</v>
      </c>
      <c r="K34">
        <v>413.84100000000001</v>
      </c>
      <c r="L34" s="52" t="s">
        <v>180</v>
      </c>
      <c r="M34" s="63">
        <v>80.080500000000001</v>
      </c>
    </row>
    <row r="35" spans="1:13" x14ac:dyDescent="0.35">
      <c r="C35" s="62" t="s">
        <v>181</v>
      </c>
      <c r="D35">
        <v>-106.6579</v>
      </c>
      <c r="E35" s="52" t="s">
        <v>181</v>
      </c>
      <c r="F35" s="63">
        <v>-617.33489999999995</v>
      </c>
      <c r="J35" s="62" t="s">
        <v>181</v>
      </c>
      <c r="K35">
        <v>-251.6122</v>
      </c>
      <c r="L35" s="52" t="s">
        <v>181</v>
      </c>
      <c r="M35" s="63">
        <v>-40.887799999999999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-309.59530000000001</v>
      </c>
      <c r="E39" s="52" t="s">
        <v>180</v>
      </c>
      <c r="F39" s="162">
        <v>-1184.8</v>
      </c>
      <c r="H39" s="3"/>
      <c r="I39" s="3"/>
      <c r="J39" s="62" t="s">
        <v>180</v>
      </c>
      <c r="K39">
        <v>500.03500000000003</v>
      </c>
      <c r="L39" s="52" t="s">
        <v>180</v>
      </c>
      <c r="M39" s="63">
        <v>90.167100000000005</v>
      </c>
    </row>
    <row r="40" spans="1:13" x14ac:dyDescent="0.35">
      <c r="A40" s="3"/>
      <c r="B40" s="3"/>
      <c r="C40" s="71" t="s">
        <v>181</v>
      </c>
      <c r="D40" s="72">
        <v>-182.04580000000001</v>
      </c>
      <c r="E40" s="73" t="s">
        <v>181</v>
      </c>
      <c r="F40" s="74">
        <v>-822.6934</v>
      </c>
      <c r="H40" s="3"/>
      <c r="I40" s="3"/>
      <c r="J40" s="71" t="s">
        <v>181</v>
      </c>
      <c r="K40" s="72">
        <v>-310.92759999999998</v>
      </c>
      <c r="L40" s="73" t="s">
        <v>181</v>
      </c>
      <c r="M40" s="74">
        <v>-46.572400000000002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M16" sqref="M16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1" t="s">
        <v>187</v>
      </c>
      <c r="B1" s="173" t="s">
        <v>188</v>
      </c>
      <c r="C1" s="88" t="s">
        <v>189</v>
      </c>
      <c r="D1" s="5" t="s">
        <v>190</v>
      </c>
      <c r="E1" s="5" t="s">
        <v>191</v>
      </c>
      <c r="F1" s="5" t="s">
        <v>291</v>
      </c>
      <c r="G1" s="88" t="s">
        <v>186</v>
      </c>
      <c r="H1" s="88" t="s">
        <v>178</v>
      </c>
      <c r="I1" s="5" t="s">
        <v>192</v>
      </c>
      <c r="J1" s="5" t="s">
        <v>193</v>
      </c>
    </row>
    <row r="2" spans="1:10" ht="15" thickBot="1" x14ac:dyDescent="0.4">
      <c r="A2" s="172"/>
      <c r="B2" s="174"/>
      <c r="C2" s="89" t="s">
        <v>194</v>
      </c>
      <c r="D2" s="6" t="s">
        <v>194</v>
      </c>
      <c r="E2" s="6" t="s">
        <v>194</v>
      </c>
      <c r="F2" s="6" t="s">
        <v>194</v>
      </c>
      <c r="G2" s="89" t="s">
        <v>194</v>
      </c>
      <c r="H2" s="89" t="s">
        <v>194</v>
      </c>
      <c r="I2" s="6" t="s">
        <v>194</v>
      </c>
      <c r="J2" s="6" t="s">
        <v>194</v>
      </c>
    </row>
    <row r="3" spans="1:10" x14ac:dyDescent="0.35">
      <c r="A3" s="175" t="s">
        <v>195</v>
      </c>
      <c r="B3" s="14" t="s">
        <v>196</v>
      </c>
      <c r="C3" s="2">
        <f>-'Tire Load Cases'!D3</f>
        <v>0</v>
      </c>
      <c r="D3" s="2">
        <f>-'Tire Load Cases'!D13</f>
        <v>0</v>
      </c>
      <c r="E3" s="2">
        <f>-'Tire Load Cases'!D23</f>
        <v>867.63459999999998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197</v>
      </c>
      <c r="J3" s="81" t="s">
        <v>197</v>
      </c>
    </row>
    <row r="4" spans="1:10" x14ac:dyDescent="0.35">
      <c r="A4" s="176"/>
      <c r="B4" s="15" t="s">
        <v>198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-191.23439999999999</v>
      </c>
      <c r="G4" s="2">
        <f>'Tire Load Cases'!K34</f>
        <v>413.84100000000001</v>
      </c>
      <c r="H4" s="2">
        <f>'Tire Load Cases'!K4</f>
        <v>0</v>
      </c>
      <c r="I4" s="9" t="s">
        <v>197</v>
      </c>
      <c r="J4" s="82" t="s">
        <v>197</v>
      </c>
    </row>
    <row r="5" spans="1:10" x14ac:dyDescent="0.35">
      <c r="A5" s="176"/>
      <c r="B5" s="18" t="s">
        <v>199</v>
      </c>
      <c r="C5" s="11">
        <f>-'Tire Load Cases'!D5</f>
        <v>146.25</v>
      </c>
      <c r="D5" s="2">
        <f>-'Tire Load Cases'!D15</f>
        <v>97.121899999999997</v>
      </c>
      <c r="E5" s="2">
        <f>-'Tire Load Cases'!D25</f>
        <v>577.98410000000001</v>
      </c>
      <c r="F5" s="2">
        <f>-'Tire Load Cases'!D35</f>
        <v>106.6579</v>
      </c>
      <c r="G5" s="2">
        <f>-'Tire Load Cases'!K35</f>
        <v>251.6122</v>
      </c>
      <c r="H5" s="79">
        <f>-'Tire Load Cases'!K5</f>
        <v>731.25</v>
      </c>
      <c r="I5" s="9" t="s">
        <v>197</v>
      </c>
      <c r="J5" s="82" t="s">
        <v>197</v>
      </c>
    </row>
    <row r="6" spans="1:10" x14ac:dyDescent="0.35">
      <c r="A6" s="176"/>
      <c r="B6" s="16" t="s">
        <v>200</v>
      </c>
      <c r="C6" s="12">
        <v>-16.581299999999999</v>
      </c>
      <c r="D6" s="7">
        <v>-11.0114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35">
      <c r="A7" s="176"/>
      <c r="B7" s="16" t="s">
        <v>201</v>
      </c>
      <c r="C7" s="12">
        <v>267.0299</v>
      </c>
      <c r="D7" s="7">
        <v>177.3296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35">
      <c r="A8" s="176"/>
      <c r="B8" s="16" t="s">
        <v>202</v>
      </c>
      <c r="C8" s="12">
        <v>219.81479999999999</v>
      </c>
      <c r="D8" s="7">
        <v>145.97489999999999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35">
      <c r="A9" s="176"/>
      <c r="B9" s="16" t="s">
        <v>203</v>
      </c>
      <c r="C9" s="12">
        <v>-32.523899999999998</v>
      </c>
      <c r="D9" s="7">
        <v>-21.598500000000001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35">
      <c r="A10" s="176"/>
      <c r="B10" s="16" t="s">
        <v>204</v>
      </c>
      <c r="C10" s="12">
        <v>-3.5541999999999998</v>
      </c>
      <c r="D10" s="7">
        <v>-2.3603000000000001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" thickBot="1" x14ac:dyDescent="0.4">
      <c r="A11" s="177"/>
      <c r="B11" s="17" t="s">
        <v>205</v>
      </c>
      <c r="C11" s="13">
        <v>-398.23559999999998</v>
      </c>
      <c r="D11" s="8">
        <v>-264.46089999999998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35">
      <c r="A12" s="178" t="s">
        <v>206</v>
      </c>
      <c r="B12" s="14" t="s">
        <v>196</v>
      </c>
      <c r="C12" s="2">
        <f>-'Tire Load Cases'!F3</f>
        <v>0</v>
      </c>
      <c r="D12" s="2">
        <f>-'Tire Load Cases'!F13</f>
        <v>0</v>
      </c>
      <c r="E12" s="2">
        <f>-'Tire Load Cases'!F23</f>
        <v>867.63459999999998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197</v>
      </c>
      <c r="J12" s="85" t="s">
        <v>197</v>
      </c>
    </row>
    <row r="13" spans="1:10" x14ac:dyDescent="0.35">
      <c r="A13" s="176"/>
      <c r="B13" s="15" t="s">
        <v>198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-919.68399999999997</v>
      </c>
      <c r="G13" s="2">
        <f>'Tire Load Cases'!M34</f>
        <v>80.080500000000001</v>
      </c>
      <c r="H13" s="79">
        <f>'Tire Load Cases'!M4</f>
        <v>0</v>
      </c>
      <c r="I13" s="9" t="s">
        <v>197</v>
      </c>
      <c r="J13" s="82" t="s">
        <v>197</v>
      </c>
    </row>
    <row r="14" spans="1:10" x14ac:dyDescent="0.35">
      <c r="A14" s="176"/>
      <c r="B14" s="15" t="s">
        <v>196</v>
      </c>
      <c r="C14" s="2">
        <f>-'Tire Load Cases'!F5</f>
        <v>146.25</v>
      </c>
      <c r="D14" s="2">
        <f>-'Tire Load Cases'!F15</f>
        <v>97.121899999999997</v>
      </c>
      <c r="E14" s="2">
        <f>-'Tire Load Cases'!F25</f>
        <v>577.98410000000001</v>
      </c>
      <c r="F14" s="2">
        <f>-'Tire Load Cases'!F35</f>
        <v>617.33489999999995</v>
      </c>
      <c r="G14" s="2">
        <f>-'Tire Load Cases'!M35</f>
        <v>40.887799999999999</v>
      </c>
      <c r="H14" s="79">
        <f>-'Tire Load Cases'!M5</f>
        <v>731.25</v>
      </c>
      <c r="I14" s="9" t="s">
        <v>197</v>
      </c>
      <c r="J14" s="82" t="s">
        <v>197</v>
      </c>
    </row>
    <row r="15" spans="1:10" x14ac:dyDescent="0.35">
      <c r="A15" s="176"/>
      <c r="B15" s="16" t="s">
        <v>200</v>
      </c>
      <c r="C15" s="12">
        <v>-16.581299999999999</v>
      </c>
      <c r="D15" s="7">
        <v>-11.0114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35">
      <c r="A16" s="176"/>
      <c r="B16" s="16" t="s">
        <v>201</v>
      </c>
      <c r="C16" s="12">
        <v>267.0299</v>
      </c>
      <c r="D16" s="7">
        <v>177.3296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35">
      <c r="A17" s="176"/>
      <c r="B17" s="16" t="s">
        <v>202</v>
      </c>
      <c r="C17" s="12">
        <v>219.81479999999999</v>
      </c>
      <c r="D17" s="7">
        <v>145.97489999999999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35">
      <c r="A18" s="176"/>
      <c r="B18" s="16" t="s">
        <v>203</v>
      </c>
      <c r="C18" s="12">
        <v>-32.523899999999998</v>
      </c>
      <c r="D18" s="7">
        <v>-21.598500000000001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35">
      <c r="A19" s="176"/>
      <c r="B19" s="16" t="s">
        <v>204</v>
      </c>
      <c r="C19" s="12">
        <v>-3.5541999999999998</v>
      </c>
      <c r="D19" s="7">
        <v>-2.3603000000000001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" thickBot="1" x14ac:dyDescent="0.4">
      <c r="A20" s="177"/>
      <c r="B20" s="17" t="s">
        <v>205</v>
      </c>
      <c r="C20" s="13">
        <v>-398.23559999999998</v>
      </c>
      <c r="D20" s="8">
        <v>-264.46089999999998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 t="shared" si="2"/>
        <v>-3238.0159787165499</v>
      </c>
      <c r="J20" s="84">
        <f t="shared" si="3"/>
        <v>24.239799999999999</v>
      </c>
    </row>
    <row r="21" spans="1:10" x14ac:dyDescent="0.35">
      <c r="A21" s="168" t="s">
        <v>207</v>
      </c>
      <c r="B21" s="14" t="s">
        <v>196</v>
      </c>
      <c r="C21" s="91">
        <f>-'Tire Load Cases'!D8</f>
        <v>0</v>
      </c>
      <c r="D21" s="1">
        <f>-'Tire Load Cases'!D18</f>
        <v>-378.70310000000001</v>
      </c>
      <c r="E21" s="1">
        <f>-'Tire Load Cases'!D28</f>
        <v>464.62740000000002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197</v>
      </c>
      <c r="J21" s="85" t="s">
        <v>197</v>
      </c>
    </row>
    <row r="22" spans="1:10" x14ac:dyDescent="0.35">
      <c r="A22" s="169"/>
      <c r="B22" s="15" t="s">
        <v>198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-309.59530000000001</v>
      </c>
      <c r="G22" s="2">
        <f>'Tire Load Cases'!K39</f>
        <v>500.03500000000003</v>
      </c>
      <c r="H22" s="2">
        <f>'Tire Load Cases'!K9</f>
        <v>0</v>
      </c>
      <c r="I22" s="9" t="s">
        <v>197</v>
      </c>
      <c r="J22" s="82" t="s">
        <v>197</v>
      </c>
    </row>
    <row r="23" spans="1:10" x14ac:dyDescent="0.35">
      <c r="A23" s="169"/>
      <c r="B23" s="15" t="s">
        <v>196</v>
      </c>
      <c r="C23" s="90">
        <f>-'Tire Load Cases'!D10</f>
        <v>178.75</v>
      </c>
      <c r="D23" s="79">
        <f>-'Tire Load Cases'!D20</f>
        <v>227.87809999999999</v>
      </c>
      <c r="E23" s="79">
        <f>-'Tire Load Cases'!D30</f>
        <v>286.38189999999997</v>
      </c>
      <c r="F23" s="79">
        <f>-'Tire Load Cases'!D40</f>
        <v>182.04580000000001</v>
      </c>
      <c r="G23" s="79">
        <f>-'Tire Load Cases'!K40</f>
        <v>310.92759999999998</v>
      </c>
      <c r="H23" s="79">
        <f>-'Tire Load Cases'!K10</f>
        <v>893.75</v>
      </c>
      <c r="I23" s="9" t="s">
        <v>197</v>
      </c>
      <c r="J23" s="82" t="s">
        <v>197</v>
      </c>
    </row>
    <row r="24" spans="1:10" x14ac:dyDescent="0.35">
      <c r="A24" s="169"/>
      <c r="B24" s="16" t="s">
        <v>208</v>
      </c>
      <c r="C24" s="12">
        <v>11.7759</v>
      </c>
      <c r="D24" s="7">
        <v>168.93299999999999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35">
      <c r="A25" s="169"/>
      <c r="B25" s="16" t="s">
        <v>201</v>
      </c>
      <c r="C25" s="12">
        <v>-15.463800000000001</v>
      </c>
      <c r="D25" s="7">
        <v>-824.50890000000004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-824.50890000000004</v>
      </c>
      <c r="J25" s="83">
        <f t="shared" si="5"/>
        <v>962.62070000000006</v>
      </c>
    </row>
    <row r="26" spans="1:10" x14ac:dyDescent="0.35">
      <c r="A26" s="169"/>
      <c r="B26" s="16" t="s">
        <v>202</v>
      </c>
      <c r="C26" s="12">
        <v>61.699100000000001</v>
      </c>
      <c r="D26" s="7">
        <v>678.66769999999997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678.66769999999997</v>
      </c>
    </row>
    <row r="27" spans="1:10" x14ac:dyDescent="0.35">
      <c r="A27" s="169"/>
      <c r="B27" s="16" t="s">
        <v>203</v>
      </c>
      <c r="C27" s="12">
        <v>110.04600000000001</v>
      </c>
      <c r="D27" s="7">
        <v>426.13830000000002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35">
      <c r="A28" s="169"/>
      <c r="B28" s="16" t="s">
        <v>204</v>
      </c>
      <c r="C28" s="12">
        <v>187.9873</v>
      </c>
      <c r="D28" s="7">
        <v>-188.5873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-188.5873</v>
      </c>
      <c r="J28" s="83">
        <f t="shared" si="5"/>
        <v>939.93660819694401</v>
      </c>
    </row>
    <row r="29" spans="1:10" ht="15" thickBot="1" x14ac:dyDescent="0.4">
      <c r="A29" s="170"/>
      <c r="B29" s="17" t="s">
        <v>205</v>
      </c>
      <c r="C29" s="43">
        <v>-323.37279999999998</v>
      </c>
      <c r="D29" s="44">
        <v>-319.79430000000002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35">
      <c r="A30" s="168" t="s">
        <v>209</v>
      </c>
      <c r="B30" s="14" t="s">
        <v>196</v>
      </c>
      <c r="C30" s="91">
        <f>-'Tire Load Cases'!F8</f>
        <v>0</v>
      </c>
      <c r="D30" s="1">
        <f>-'Tire Load Cases'!F18</f>
        <v>-378.70310000000001</v>
      </c>
      <c r="E30" s="1">
        <f>-'Tire Load Cases'!F28</f>
        <v>464.62740000000002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69"/>
      <c r="B31" s="15" t="s">
        <v>198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-1184.8</v>
      </c>
      <c r="G31" s="2">
        <f>'Tire Load Cases'!M39</f>
        <v>90.167100000000005</v>
      </c>
      <c r="H31" s="2">
        <f>'Tire Load Cases'!M9</f>
        <v>0</v>
      </c>
      <c r="I31" s="2"/>
      <c r="J31" s="87"/>
    </row>
    <row r="32" spans="1:10" x14ac:dyDescent="0.35">
      <c r="A32" s="169"/>
      <c r="B32" s="15" t="s">
        <v>196</v>
      </c>
      <c r="C32" s="90">
        <f>-'Tire Load Cases'!F10</f>
        <v>178.75</v>
      </c>
      <c r="D32" s="79">
        <f>-'Tire Load Cases'!F20</f>
        <v>227.87809999999999</v>
      </c>
      <c r="E32" s="79">
        <f>-'Tire Load Cases'!F30</f>
        <v>286.38189999999997</v>
      </c>
      <c r="F32" s="79">
        <f>-'Tire Load Cases'!F40</f>
        <v>822.6934</v>
      </c>
      <c r="G32" s="79">
        <f>-'Tire Load Cases'!M40</f>
        <v>46.572400000000002</v>
      </c>
      <c r="H32" s="79">
        <f>-'Tire Load Cases'!M10</f>
        <v>893.75</v>
      </c>
      <c r="I32" s="2"/>
      <c r="J32" s="87"/>
    </row>
    <row r="33" spans="1:10" x14ac:dyDescent="0.35">
      <c r="A33" s="169"/>
      <c r="B33" s="16" t="s">
        <v>208</v>
      </c>
      <c r="C33" s="12">
        <v>11.7759</v>
      </c>
      <c r="D33" s="7">
        <v>168.93299999999999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35">
      <c r="A34" s="169"/>
      <c r="B34" s="16" t="s">
        <v>201</v>
      </c>
      <c r="C34" s="12">
        <v>-15.463800000000001</v>
      </c>
      <c r="D34" s="7">
        <v>-824.50890000000004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-824.50890000000004</v>
      </c>
      <c r="J34" s="83">
        <f t="shared" si="7"/>
        <v>962.62070000000006</v>
      </c>
    </row>
    <row r="35" spans="1:10" x14ac:dyDescent="0.35">
      <c r="A35" s="169"/>
      <c r="B35" s="16" t="s">
        <v>202</v>
      </c>
      <c r="C35" s="12">
        <v>61.699100000000001</v>
      </c>
      <c r="D35" s="7">
        <v>678.66769999999997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678.66769999999997</v>
      </c>
    </row>
    <row r="36" spans="1:10" x14ac:dyDescent="0.35">
      <c r="A36" s="169"/>
      <c r="B36" s="16" t="s">
        <v>203</v>
      </c>
      <c r="C36" s="12">
        <v>110.04600000000001</v>
      </c>
      <c r="D36" s="7">
        <v>426.13830000000002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35">
      <c r="A37" s="169"/>
      <c r="B37" s="16" t="s">
        <v>204</v>
      </c>
      <c r="C37" s="12">
        <v>187.9873</v>
      </c>
      <c r="D37" s="7">
        <v>-188.5873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-188.5873</v>
      </c>
      <c r="J37" s="83">
        <f t="shared" si="7"/>
        <v>939.93660819694401</v>
      </c>
    </row>
    <row r="38" spans="1:10" ht="15" thickBot="1" x14ac:dyDescent="0.4">
      <c r="A38" s="170"/>
      <c r="B38" s="17" t="s">
        <v>205</v>
      </c>
      <c r="C38" s="45">
        <v>-323.37279999999998</v>
      </c>
      <c r="D38" s="8">
        <v>-319.79430000000002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35">
      <c r="A39" t="s">
        <v>210</v>
      </c>
    </row>
    <row r="41" spans="1:10" x14ac:dyDescent="0.35">
      <c r="A41" s="46" t="s">
        <v>119</v>
      </c>
    </row>
    <row r="42" spans="1:10" x14ac:dyDescent="0.35">
      <c r="A42" t="s">
        <v>211</v>
      </c>
    </row>
    <row r="57" spans="1:1" x14ac:dyDescent="0.35">
      <c r="A57" t="s">
        <v>212</v>
      </c>
    </row>
    <row r="75" spans="1:1" x14ac:dyDescent="0.35">
      <c r="A75" s="46" t="s">
        <v>120</v>
      </c>
    </row>
    <row r="76" spans="1:1" x14ac:dyDescent="0.35">
      <c r="A76" t="s">
        <v>211</v>
      </c>
    </row>
    <row r="91" spans="1:1" x14ac:dyDescent="0.35">
      <c r="A91" t="s">
        <v>212</v>
      </c>
    </row>
    <row r="107" spans="1:1" x14ac:dyDescent="0.35">
      <c r="A107" s="46" t="s">
        <v>121</v>
      </c>
    </row>
    <row r="108" spans="1:1" x14ac:dyDescent="0.35">
      <c r="A108" t="s">
        <v>211</v>
      </c>
    </row>
    <row r="121" spans="1:1" x14ac:dyDescent="0.35">
      <c r="A121" t="s">
        <v>212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I16" sqref="I16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60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2" t="s">
        <v>211</v>
      </c>
      <c r="B2" s="23" t="s">
        <v>200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232</v>
      </c>
      <c r="U2" s="98">
        <v>1</v>
      </c>
      <c r="V2" s="3"/>
      <c r="W2" s="3"/>
      <c r="X2" s="3"/>
    </row>
    <row r="3" spans="1:25" ht="15" thickBot="1" x14ac:dyDescent="0.4">
      <c r="A3" s="183"/>
      <c r="B3" s="24" t="s">
        <v>201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233</v>
      </c>
      <c r="U3" s="32">
        <v>2</v>
      </c>
      <c r="V3" s="179" t="s">
        <v>234</v>
      </c>
      <c r="W3" s="180"/>
      <c r="X3" s="181"/>
    </row>
    <row r="4" spans="1:25" ht="15" thickBot="1" x14ac:dyDescent="0.4">
      <c r="A4" s="183"/>
      <c r="B4" s="24" t="s">
        <v>202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233</v>
      </c>
      <c r="U4" s="32">
        <v>2</v>
      </c>
      <c r="V4" s="33" t="s">
        <v>235</v>
      </c>
      <c r="W4" s="34">
        <v>0.28360000000000002</v>
      </c>
      <c r="X4" s="35" t="s">
        <v>236</v>
      </c>
    </row>
    <row r="5" spans="1:25" ht="15" thickBot="1" x14ac:dyDescent="0.4">
      <c r="A5" s="183"/>
      <c r="B5" s="24" t="s">
        <v>203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233</v>
      </c>
      <c r="U5" s="32">
        <v>2</v>
      </c>
      <c r="V5" s="33" t="s">
        <v>237</v>
      </c>
      <c r="W5" s="34">
        <v>66717.358999999997</v>
      </c>
      <c r="X5" s="35" t="s">
        <v>238</v>
      </c>
    </row>
    <row r="6" spans="1:25" ht="15" thickBot="1" x14ac:dyDescent="0.4">
      <c r="A6" s="183"/>
      <c r="B6" s="24" t="s">
        <v>204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233</v>
      </c>
      <c r="U6" s="32">
        <v>2</v>
      </c>
      <c r="V6" s="33" t="s">
        <v>239</v>
      </c>
      <c r="W6" s="34">
        <v>29732.736199999999</v>
      </c>
      <c r="X6" s="35" t="s">
        <v>240</v>
      </c>
    </row>
    <row r="7" spans="1:25" ht="15" thickBot="1" x14ac:dyDescent="0.4">
      <c r="A7" s="184"/>
      <c r="B7" s="93" t="s">
        <v>205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232</v>
      </c>
      <c r="U7" s="98">
        <v>1</v>
      </c>
      <c r="V7" s="36" t="s">
        <v>229</v>
      </c>
      <c r="W7" s="37">
        <v>53011.292999999998</v>
      </c>
      <c r="X7" s="38" t="s">
        <v>238</v>
      </c>
      <c r="Y7" s="102" t="s">
        <v>241</v>
      </c>
    </row>
    <row r="8" spans="1:25" ht="15" thickBot="1" x14ac:dyDescent="0.4">
      <c r="A8" s="182" t="s">
        <v>212</v>
      </c>
      <c r="B8" s="25" t="s">
        <v>208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232</v>
      </c>
      <c r="U8" s="98">
        <v>1</v>
      </c>
      <c r="V8" s="3"/>
      <c r="W8" s="3"/>
      <c r="X8" s="3"/>
    </row>
    <row r="9" spans="1:25" ht="15" thickBot="1" x14ac:dyDescent="0.4">
      <c r="A9" s="183"/>
      <c r="B9" s="24" t="s">
        <v>201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18.5270510154124</v>
      </c>
      <c r="M9" s="26">
        <f t="shared" si="2"/>
        <v>1193.1626038462252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7.366028433338939</v>
      </c>
      <c r="S9" s="26">
        <f t="shared" si="12"/>
        <v>9.3494500436903927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3"/>
      <c r="B10" s="24" t="s">
        <v>202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11.766749681383127</v>
      </c>
      <c r="S10" s="26">
        <f t="shared" si="12"/>
        <v>11.531854647275733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3"/>
      <c r="B11" s="24" t="s">
        <v>203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9.7676999999999996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1.1691417268300694</v>
      </c>
      <c r="J11" s="31">
        <f t="shared" si="0"/>
        <v>0.33156859372900771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81.395292041339047</v>
      </c>
      <c r="O11" s="30">
        <f t="shared" si="3"/>
        <v>7985.7106354863581</v>
      </c>
      <c r="P11" s="30">
        <f t="shared" si="13"/>
        <v>10603.296252403514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3"/>
      <c r="B12" s="24" t="s">
        <v>204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8.1851000000000003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0.97971292610100669</v>
      </c>
      <c r="J12" s="31">
        <f t="shared" si="0"/>
        <v>0.27784658584224553</v>
      </c>
      <c r="K12" s="30">
        <f t="shared" si="8"/>
        <v>1.7236969049343337E-3</v>
      </c>
      <c r="L12" s="100">
        <f t="shared" si="1"/>
        <v>38.738941502555974</v>
      </c>
      <c r="M12" s="26">
        <f t="shared" si="2"/>
        <v>2494.8307356084338</v>
      </c>
      <c r="N12" s="30">
        <f t="shared" si="9"/>
        <v>68.207316449887315</v>
      </c>
      <c r="O12" s="30">
        <f t="shared" si="3"/>
        <v>7985.7110093163928</v>
      </c>
      <c r="P12" s="30">
        <f t="shared" si="13"/>
        <v>15100.020646817093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84"/>
      <c r="B13" s="93" t="s">
        <v>205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7.1761999999999997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0.85895296334632976</v>
      </c>
      <c r="J13" s="94">
        <f t="shared" si="0"/>
        <v>0.24359906040501914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59.80004450864147</v>
      </c>
      <c r="O13" s="95">
        <f t="shared" si="3"/>
        <v>7985.7095525225222</v>
      </c>
      <c r="P13" s="95">
        <f t="shared" si="13"/>
        <v>9822.1476191336151</v>
      </c>
      <c r="Q13" s="145">
        <f t="shared" si="10"/>
        <v>7985.7129427400187</v>
      </c>
      <c r="R13" s="145">
        <f t="shared" si="11"/>
        <v>2.9743493981330631</v>
      </c>
      <c r="S13" s="97" cm="1">
        <f t="array" ref="S13">$W$7/(MAX(C13:D13/H13))</f>
        <v>2.3633145824732882</v>
      </c>
      <c r="T13" s="21" t="s">
        <v>232</v>
      </c>
      <c r="U13" s="98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  <row r="17" spans="15:15" x14ac:dyDescent="0.35">
      <c r="O17" s="161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topLeftCell="F1" workbookViewId="0">
      <selection activeCell="G2" sqref="G2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60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2" t="s">
        <v>211</v>
      </c>
      <c r="B2" s="23" t="s">
        <v>200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v>0.58799999999999997</v>
      </c>
      <c r="G2" s="29">
        <v>9.1999999999999998E-2</v>
      </c>
      <c r="H2" s="7">
        <f>PI()*((F2/2)^2-(F2/2-G2)^2)</f>
        <v>0.1433571559686094</v>
      </c>
      <c r="I2" s="7">
        <f>H2*E2</f>
        <v>1.4491831539710756</v>
      </c>
      <c r="J2" s="31">
        <f t="shared" ref="J2:J13" si="0">I2*$W$4</f>
        <v>7.8110971999040976E-2</v>
      </c>
      <c r="K2" s="30">
        <f>PI()*(F2^4-(F2-(2*G2))^4)/64</f>
        <v>4.560191131361465E-3</v>
      </c>
      <c r="L2" s="42">
        <f t="shared" ref="L2:L8" si="1">0.282*SQRT($W$6*1000*H2/C2)</f>
        <v>24.69644702238211</v>
      </c>
      <c r="M2" s="147">
        <f t="shared" ref="M2:M13" si="2">SQRT(2*PI()^2*U2*$W$6*1000/C2)</f>
        <v>1027.6389376810118</v>
      </c>
      <c r="N2" s="30">
        <f>E2/SQRT(K2/H2)</f>
        <v>56.678985195387902</v>
      </c>
      <c r="O2" s="30">
        <f>H2*($W$5-($W$5*E2/(2*PI()*SQRT(K2/H2))^2/(U2*$W$6*1000)))</f>
        <v>9045.8328074446672</v>
      </c>
      <c r="P2" s="30">
        <f>U2*PI()^2*$W$6*1000*K2/E2^2</f>
        <v>8588.3473639431832</v>
      </c>
      <c r="Q2" s="26">
        <f>H2*$W$5</f>
        <v>9045.8365416192537</v>
      </c>
      <c r="R2" s="146">
        <f>MIN(ABS(P2/C2),ABS(Q2/C2),ABS(Q2/D2))</f>
        <v>23.382783392454378</v>
      </c>
      <c r="S2" s="26">
        <f>$W$7/(MAX(C3:D3)/H3)</f>
        <v>1.7572128320815794</v>
      </c>
      <c r="T2" s="21" t="s">
        <v>232</v>
      </c>
      <c r="U2" s="98">
        <v>1</v>
      </c>
      <c r="V2" s="3"/>
      <c r="W2" s="3"/>
      <c r="X2" s="3"/>
    </row>
    <row r="3" spans="1:25" ht="15" thickBot="1" x14ac:dyDescent="0.4">
      <c r="A3" s="183"/>
      <c r="B3" s="24" t="s">
        <v>201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v>0.58799999999999997</v>
      </c>
      <c r="G3" s="29">
        <v>4.5999999999999999E-2</v>
      </c>
      <c r="H3" s="7">
        <f t="shared" ref="H3:H13" si="3">PI()*((F3/2)^2-(F3/2-G3)^2)</f>
        <v>7.8326188039300693E-2</v>
      </c>
      <c r="I3" s="7">
        <f t="shared" ref="I3:I13" si="4">H3*E3</f>
        <v>0.87358764043992854</v>
      </c>
      <c r="J3" s="31">
        <f t="shared" si="0"/>
        <v>4.7086373819712153E-2</v>
      </c>
      <c r="K3" s="30">
        <f t="shared" ref="K3:K13" si="5">PI()*(F3^4-(F3-(2*G3))^4)/64</f>
        <v>2.8968940646335356E-3</v>
      </c>
      <c r="L3" s="42">
        <f t="shared" si="1"/>
        <v>33.464975788443624</v>
      </c>
      <c r="M3" s="146">
        <f t="shared" si="2"/>
        <v>2664.2058630914285</v>
      </c>
      <c r="N3" s="30">
        <f t="shared" ref="N3:N13" si="6">E3/SQRT(K3/H3)</f>
        <v>57.994482645371647</v>
      </c>
      <c r="O3" s="30">
        <f t="shared" ref="O3:O13" si="7">H3*($W$5-($W$5*E3/(2*PI()*SQRT(K3/H3))^2/(U3*$W$6*1000)))</f>
        <v>4942.3814972564342</v>
      </c>
      <c r="P3" s="30">
        <f t="shared" ref="P3:P13" si="8">U3*PI()^2*$W$6*1000*K3/E3^2</f>
        <v>8963.9202947117374</v>
      </c>
      <c r="Q3" s="26">
        <f t="shared" ref="Q3:Q13" si="9">H3*$W$5</f>
        <v>4942.3824652798739</v>
      </c>
      <c r="R3" s="146">
        <f t="shared" ref="R3:R13" si="10">MIN(ABS(P3/C3),ABS(Q3/C3),ABS(Q3/D3))</f>
        <v>1.9117263742128909</v>
      </c>
      <c r="S3" s="26">
        <f t="shared" ref="S3:S12" si="11">$W$7/(MAX(C4:D4)/H4)</f>
        <v>2.1817111633418764</v>
      </c>
      <c r="T3" s="19" t="s">
        <v>233</v>
      </c>
      <c r="U3" s="32">
        <v>2</v>
      </c>
      <c r="V3" s="179" t="s">
        <v>234</v>
      </c>
      <c r="W3" s="180"/>
      <c r="X3" s="181"/>
    </row>
    <row r="4" spans="1:25" ht="15" thickBot="1" x14ac:dyDescent="0.4">
      <c r="A4" s="183"/>
      <c r="B4" s="24" t="s">
        <v>202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v>0.58799999999999997</v>
      </c>
      <c r="G4" s="29">
        <v>4.5999999999999999E-2</v>
      </c>
      <c r="H4" s="7">
        <f t="shared" si="3"/>
        <v>7.8326188039300693E-2</v>
      </c>
      <c r="I4" s="7">
        <f t="shared" si="4"/>
        <v>0.86904472153364909</v>
      </c>
      <c r="J4" s="31">
        <f t="shared" si="0"/>
        <v>4.6841510490663686E-2</v>
      </c>
      <c r="K4" s="30">
        <f t="shared" si="5"/>
        <v>2.8968940646335356E-3</v>
      </c>
      <c r="L4" s="42">
        <f t="shared" si="1"/>
        <v>10.702870889872086</v>
      </c>
      <c r="M4" s="146">
        <f t="shared" si="2"/>
        <v>852.07446606175881</v>
      </c>
      <c r="N4" s="30">
        <f t="shared" si="6"/>
        <v>57.692893864265635</v>
      </c>
      <c r="O4" s="30">
        <f t="shared" si="7"/>
        <v>4942.3815022904473</v>
      </c>
      <c r="P4" s="30">
        <f t="shared" si="8"/>
        <v>9057.8827796238293</v>
      </c>
      <c r="Q4" s="26">
        <f t="shared" si="9"/>
        <v>4942.3824652798739</v>
      </c>
      <c r="R4" s="146">
        <f t="shared" si="10"/>
        <v>2.3735512828771106</v>
      </c>
      <c r="S4" s="26">
        <f t="shared" si="11"/>
        <v>4.0902851139328806</v>
      </c>
      <c r="T4" s="19" t="s">
        <v>233</v>
      </c>
      <c r="U4" s="32">
        <v>2</v>
      </c>
      <c r="V4" s="33" t="s">
        <v>235</v>
      </c>
      <c r="W4" s="144">
        <v>5.3900000000000003E-2</v>
      </c>
      <c r="X4" s="35" t="s">
        <v>236</v>
      </c>
    </row>
    <row r="5" spans="1:25" ht="15" thickBot="1" x14ac:dyDescent="0.4">
      <c r="A5" s="183"/>
      <c r="B5" s="24" t="s">
        <v>203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v>0.58799999999999997</v>
      </c>
      <c r="G5" s="29">
        <v>4.5999999999999999E-2</v>
      </c>
      <c r="H5" s="7">
        <f t="shared" si="3"/>
        <v>7.8326188039300693E-2</v>
      </c>
      <c r="I5" s="7">
        <f t="shared" si="4"/>
        <v>0.78126456259800481</v>
      </c>
      <c r="J5" s="31">
        <f t="shared" si="0"/>
        <v>4.2110159924032463E-2</v>
      </c>
      <c r="K5" s="30">
        <f t="shared" si="5"/>
        <v>2.8968940646335356E-3</v>
      </c>
      <c r="L5" s="42">
        <f t="shared" si="1"/>
        <v>10.457532140558957</v>
      </c>
      <c r="M5" s="146">
        <f t="shared" si="2"/>
        <v>832.54261465700506</v>
      </c>
      <c r="N5" s="30">
        <f t="shared" si="6"/>
        <v>51.865470640377609</v>
      </c>
      <c r="O5" s="30">
        <f t="shared" si="7"/>
        <v>4942.3815995597397</v>
      </c>
      <c r="P5" s="30">
        <f t="shared" si="8"/>
        <v>11207.653535082552</v>
      </c>
      <c r="Q5" s="26">
        <f t="shared" si="9"/>
        <v>4942.3824652798739</v>
      </c>
      <c r="R5" s="146">
        <f t="shared" si="10"/>
        <v>4.4499481153304279</v>
      </c>
      <c r="S5" s="26">
        <f t="shared" si="11"/>
        <v>5.1899755411498933</v>
      </c>
      <c r="T5" s="19" t="s">
        <v>233</v>
      </c>
      <c r="U5" s="32">
        <v>2</v>
      </c>
      <c r="V5" s="33" t="s">
        <v>237</v>
      </c>
      <c r="W5" s="142">
        <v>63100</v>
      </c>
      <c r="X5" s="35" t="s">
        <v>238</v>
      </c>
    </row>
    <row r="6" spans="1:25" ht="15" thickBot="1" x14ac:dyDescent="0.4">
      <c r="A6" s="183"/>
      <c r="B6" s="24" t="s">
        <v>204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v>0.58799999999999997</v>
      </c>
      <c r="G6" s="29">
        <v>4.5999999999999999E-2</v>
      </c>
      <c r="H6" s="7">
        <f t="shared" si="3"/>
        <v>7.8326188039300693E-2</v>
      </c>
      <c r="I6" s="7">
        <f t="shared" si="4"/>
        <v>0.78926166639681727</v>
      </c>
      <c r="J6" s="31">
        <f t="shared" si="0"/>
        <v>4.2541203818788453E-2</v>
      </c>
      <c r="K6" s="30">
        <f t="shared" si="5"/>
        <v>2.8968940646335356E-3</v>
      </c>
      <c r="L6" s="42">
        <f t="shared" si="1"/>
        <v>11.779722854901596</v>
      </c>
      <c r="M6" s="146">
        <f t="shared" si="2"/>
        <v>937.80455405136001</v>
      </c>
      <c r="N6" s="30">
        <f t="shared" si="6"/>
        <v>52.396370891255593</v>
      </c>
      <c r="O6" s="30">
        <f t="shared" si="7"/>
        <v>4942.3815906981399</v>
      </c>
      <c r="P6" s="30">
        <f t="shared" si="8"/>
        <v>10981.683629737188</v>
      </c>
      <c r="Q6" s="26">
        <f t="shared" si="9"/>
        <v>4942.3824652798739</v>
      </c>
      <c r="R6" s="146">
        <f t="shared" si="10"/>
        <v>5.646335459423419</v>
      </c>
      <c r="S6" s="26">
        <f t="shared" si="11"/>
        <v>1.402994591793248</v>
      </c>
      <c r="T6" s="19" t="s">
        <v>233</v>
      </c>
      <c r="U6" s="32">
        <v>2</v>
      </c>
      <c r="V6" s="33" t="s">
        <v>239</v>
      </c>
      <c r="W6" s="142">
        <v>19500</v>
      </c>
      <c r="X6" s="35" t="s">
        <v>240</v>
      </c>
    </row>
    <row r="7" spans="1:25" ht="15" thickBot="1" x14ac:dyDescent="0.4">
      <c r="A7" s="184"/>
      <c r="B7" s="93" t="s">
        <v>205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14.9847</v>
      </c>
      <c r="F7" s="29">
        <v>0.58799999999999997</v>
      </c>
      <c r="G7" s="29">
        <v>4.5999999999999999E-2</v>
      </c>
      <c r="H7" s="8">
        <f t="shared" si="3"/>
        <v>7.8326188039300693E-2</v>
      </c>
      <c r="I7" s="8">
        <f t="shared" si="4"/>
        <v>1.1736944299125092</v>
      </c>
      <c r="J7" s="94">
        <f t="shared" si="0"/>
        <v>6.3262129772284251E-2</v>
      </c>
      <c r="K7" s="95">
        <f t="shared" si="5"/>
        <v>2.8968940646335356E-3</v>
      </c>
      <c r="L7" s="96">
        <f t="shared" si="1"/>
        <v>6.1246378744414018</v>
      </c>
      <c r="M7" s="145">
        <f t="shared" si="2"/>
        <v>344.78048991288097</v>
      </c>
      <c r="N7" s="95">
        <f t="shared" si="6"/>
        <v>77.917541521366118</v>
      </c>
      <c r="O7" s="95">
        <f t="shared" si="7"/>
        <v>4942.379864135657</v>
      </c>
      <c r="P7" s="95">
        <f t="shared" si="8"/>
        <v>2482.9665306264869</v>
      </c>
      <c r="Q7" s="145">
        <f t="shared" si="9"/>
        <v>4942.3824652798739</v>
      </c>
      <c r="R7" s="145">
        <f t="shared" si="10"/>
        <v>0.76681725690886138</v>
      </c>
      <c r="S7" s="97">
        <f t="shared" si="11"/>
        <v>6.082168501225004</v>
      </c>
      <c r="T7" s="21" t="s">
        <v>232</v>
      </c>
      <c r="U7" s="98">
        <v>1</v>
      </c>
      <c r="V7" s="36" t="s">
        <v>229</v>
      </c>
      <c r="W7" s="143">
        <v>58000</v>
      </c>
      <c r="X7" s="38" t="s">
        <v>238</v>
      </c>
      <c r="Y7" s="102" t="s">
        <v>241</v>
      </c>
    </row>
    <row r="8" spans="1:25" ht="15" thickBot="1" x14ac:dyDescent="0.4">
      <c r="A8" s="182" t="s">
        <v>212</v>
      </c>
      <c r="B8" s="25" t="s">
        <v>208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9.6919000000000004</v>
      </c>
      <c r="F8" s="29">
        <v>0.58799999999999997</v>
      </c>
      <c r="G8" s="29">
        <v>4.5999999999999999E-2</v>
      </c>
      <c r="H8" s="39">
        <f t="shared" si="3"/>
        <v>7.8326188039300693E-2</v>
      </c>
      <c r="I8" s="39">
        <f t="shared" si="4"/>
        <v>0.75912958185809842</v>
      </c>
      <c r="J8" s="99">
        <f t="shared" si="0"/>
        <v>4.0917084462151511E-2</v>
      </c>
      <c r="K8" s="39">
        <f t="shared" si="5"/>
        <v>2.8968940646335356E-3</v>
      </c>
      <c r="L8" s="100">
        <f t="shared" si="1"/>
        <v>26.731568752689636</v>
      </c>
      <c r="M8" s="26">
        <f t="shared" si="2"/>
        <v>1504.8274787238399</v>
      </c>
      <c r="N8" s="39">
        <f t="shared" si="6"/>
        <v>50.396005303471426</v>
      </c>
      <c r="O8" s="39">
        <f t="shared" si="7"/>
        <v>4942.3807828951994</v>
      </c>
      <c r="P8" s="39">
        <f t="shared" si="8"/>
        <v>5935.3881013547743</v>
      </c>
      <c r="Q8" s="26">
        <f t="shared" si="9"/>
        <v>4942.3824652798739</v>
      </c>
      <c r="R8" s="146">
        <f t="shared" si="10"/>
        <v>6.6169798694361681</v>
      </c>
      <c r="S8" s="26">
        <f t="shared" si="11"/>
        <v>4.7193239313048636</v>
      </c>
      <c r="T8" s="21" t="s">
        <v>232</v>
      </c>
      <c r="U8" s="98">
        <v>1</v>
      </c>
      <c r="V8" s="3"/>
      <c r="W8" s="3"/>
      <c r="X8" s="3"/>
    </row>
    <row r="9" spans="1:25" ht="15" thickBot="1" x14ac:dyDescent="0.4">
      <c r="A9" s="183"/>
      <c r="B9" s="24" t="s">
        <v>201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v>0.58799999999999997</v>
      </c>
      <c r="G9" s="29">
        <v>4.5999999999999999E-2</v>
      </c>
      <c r="H9" s="7">
        <f t="shared" si="3"/>
        <v>7.8326188039300693E-2</v>
      </c>
      <c r="I9" s="7">
        <f t="shared" si="4"/>
        <v>1.0108934480728227</v>
      </c>
      <c r="J9" s="31">
        <f t="shared" si="0"/>
        <v>5.4487156851125144E-2</v>
      </c>
      <c r="K9" s="30">
        <f t="shared" si="5"/>
        <v>2.8968940646335356E-3</v>
      </c>
      <c r="L9" s="100">
        <f t="shared" ref="L9:L13" si="12">0.282*SQRT($W$6*1000*H9/C9)</f>
        <v>12.137304160970178</v>
      </c>
      <c r="M9" s="26">
        <f t="shared" si="2"/>
        <v>966.27223375871495</v>
      </c>
      <c r="N9" s="30">
        <f t="shared" si="6"/>
        <v>67.109743563972273</v>
      </c>
      <c r="O9" s="30">
        <f t="shared" si="7"/>
        <v>4942.3813451077158</v>
      </c>
      <c r="P9" s="30">
        <f t="shared" si="8"/>
        <v>6694.2231399715592</v>
      </c>
      <c r="Q9" s="26">
        <f t="shared" si="9"/>
        <v>4942.3824652798739</v>
      </c>
      <c r="R9" s="146">
        <f t="shared" si="10"/>
        <v>5.1342989666437404</v>
      </c>
      <c r="S9" s="26">
        <f t="shared" si="11"/>
        <v>6.6938781767269031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3"/>
      <c r="B10" s="24" t="s">
        <v>202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v>0.58799999999999997</v>
      </c>
      <c r="G10" s="29">
        <v>4.5999999999999999E-2</v>
      </c>
      <c r="H10" s="7">
        <f t="shared" si="3"/>
        <v>7.8326188039300693E-2</v>
      </c>
      <c r="I10" s="7">
        <f t="shared" si="4"/>
        <v>0.74962078263012721</v>
      </c>
      <c r="J10" s="31">
        <f t="shared" si="0"/>
        <v>4.0404560183763857E-2</v>
      </c>
      <c r="K10" s="30">
        <f t="shared" si="5"/>
        <v>2.8968940646335356E-3</v>
      </c>
      <c r="L10" s="100">
        <f t="shared" si="12"/>
        <v>13.805389550376312</v>
      </c>
      <c r="M10" s="26">
        <f t="shared" si="2"/>
        <v>1099.0714595130526</v>
      </c>
      <c r="N10" s="30">
        <f t="shared" si="6"/>
        <v>49.764748785777115</v>
      </c>
      <c r="O10" s="30">
        <f t="shared" si="7"/>
        <v>4942.3816346242475</v>
      </c>
      <c r="P10" s="30">
        <f t="shared" si="8"/>
        <v>12173.843409308594</v>
      </c>
      <c r="Q10" s="26">
        <f t="shared" si="9"/>
        <v>4942.3824652798739</v>
      </c>
      <c r="R10" s="146">
        <f t="shared" si="10"/>
        <v>7.2824778095080616</v>
      </c>
      <c r="S10" s="26">
        <f t="shared" si="11"/>
        <v>8.2564032964356429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3"/>
      <c r="B11" s="24" t="s">
        <v>203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9.7676999999999996</v>
      </c>
      <c r="F11" s="29">
        <v>0.58799999999999997</v>
      </c>
      <c r="G11" s="29">
        <v>4.5999999999999999E-2</v>
      </c>
      <c r="H11" s="7">
        <f t="shared" si="3"/>
        <v>7.8326188039300693E-2</v>
      </c>
      <c r="I11" s="7">
        <f t="shared" si="4"/>
        <v>0.76506670691147738</v>
      </c>
      <c r="J11" s="31">
        <f t="shared" si="0"/>
        <v>4.1237095502528631E-2</v>
      </c>
      <c r="K11" s="30">
        <f t="shared" si="5"/>
        <v>2.8968940646335356E-3</v>
      </c>
      <c r="L11" s="100">
        <f t="shared" si="12"/>
        <v>26.390858453599154</v>
      </c>
      <c r="M11" s="26">
        <f t="shared" si="2"/>
        <v>2101.0228804162193</v>
      </c>
      <c r="N11" s="30">
        <f t="shared" si="6"/>
        <v>50.790150641537551</v>
      </c>
      <c r="O11" s="30">
        <f t="shared" si="7"/>
        <v>4942.3816175086013</v>
      </c>
      <c r="P11" s="30">
        <f t="shared" si="8"/>
        <v>11687.25019936514</v>
      </c>
      <c r="Q11" s="26">
        <f t="shared" si="9"/>
        <v>4942.3824652798739</v>
      </c>
      <c r="R11" s="146">
        <f t="shared" si="10"/>
        <v>8.9823973793980887</v>
      </c>
      <c r="S11" s="26">
        <f t="shared" si="11"/>
        <v>4.8332183964980393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3"/>
      <c r="B12" s="24" t="s">
        <v>204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8.1851000000000003</v>
      </c>
      <c r="F12" s="29">
        <v>0.58799999999999997</v>
      </c>
      <c r="G12" s="29">
        <v>4.5999999999999999E-2</v>
      </c>
      <c r="H12" s="7">
        <f t="shared" si="3"/>
        <v>7.8326188039300693E-2</v>
      </c>
      <c r="I12" s="7">
        <f t="shared" si="4"/>
        <v>0.64110768172048016</v>
      </c>
      <c r="J12" s="31">
        <f t="shared" si="0"/>
        <v>3.4555704044733883E-2</v>
      </c>
      <c r="K12" s="30">
        <f t="shared" si="5"/>
        <v>2.8968940646335356E-3</v>
      </c>
      <c r="L12" s="100">
        <f t="shared" si="12"/>
        <v>25.378367852466717</v>
      </c>
      <c r="M12" s="26">
        <f t="shared" si="2"/>
        <v>2020.4167143483053</v>
      </c>
      <c r="N12" s="30">
        <f t="shared" si="6"/>
        <v>42.560936762600107</v>
      </c>
      <c r="O12" s="30">
        <f t="shared" si="7"/>
        <v>4942.3817548677353</v>
      </c>
      <c r="P12" s="30">
        <f t="shared" si="8"/>
        <v>16643.665810518829</v>
      </c>
      <c r="Q12" s="26">
        <f t="shared" si="9"/>
        <v>4942.3824652798739</v>
      </c>
      <c r="R12" s="146">
        <f t="shared" si="10"/>
        <v>5.2582082899832123</v>
      </c>
      <c r="S12" s="26">
        <f t="shared" si="11"/>
        <v>1.692050316802812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84"/>
      <c r="B13" s="93" t="s">
        <v>205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6.726</v>
      </c>
      <c r="F13" s="159">
        <v>0.58799999999999997</v>
      </c>
      <c r="G13" s="159">
        <v>4.5999999999999999E-2</v>
      </c>
      <c r="H13" s="8">
        <f t="shared" si="3"/>
        <v>7.8326188039300693E-2</v>
      </c>
      <c r="I13" s="8">
        <f t="shared" si="4"/>
        <v>0.52682194075233646</v>
      </c>
      <c r="J13" s="94">
        <f t="shared" si="0"/>
        <v>2.8395702606550936E-2</v>
      </c>
      <c r="K13" s="95">
        <f t="shared" si="5"/>
        <v>2.8968940646335356E-3</v>
      </c>
      <c r="L13" s="100">
        <f t="shared" si="12"/>
        <v>6.726033933045513</v>
      </c>
      <c r="M13" s="100">
        <f t="shared" si="2"/>
        <v>378.63549195022387</v>
      </c>
      <c r="N13" s="95">
        <f t="shared" si="6"/>
        <v>34.973898995155622</v>
      </c>
      <c r="O13" s="95">
        <f t="shared" si="7"/>
        <v>4942.3812977359121</v>
      </c>
      <c r="P13" s="95">
        <f t="shared" si="8"/>
        <v>12324.044129261996</v>
      </c>
      <c r="Q13" s="145">
        <f t="shared" si="9"/>
        <v>4942.3824652798739</v>
      </c>
      <c r="R13" s="145">
        <f t="shared" si="10"/>
        <v>1.840834051556163</v>
      </c>
      <c r="S13" s="97" cm="1">
        <f t="array" ref="S13">$W$7/(MAX(C13:D13/H13))</f>
        <v>1.692050316802812</v>
      </c>
      <c r="T13" s="21" t="s">
        <v>232</v>
      </c>
      <c r="U13" s="98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5" t="s">
        <v>211</v>
      </c>
      <c r="C1" s="185"/>
      <c r="D1" s="185"/>
      <c r="E1" s="185"/>
      <c r="F1" s="186" t="s">
        <v>212</v>
      </c>
      <c r="G1" s="186"/>
      <c r="H1" s="186"/>
      <c r="I1" s="186"/>
      <c r="J1" s="158"/>
    </row>
    <row r="2" spans="1:18" x14ac:dyDescent="0.35">
      <c r="B2" t="s">
        <v>201</v>
      </c>
      <c r="C2" t="s">
        <v>202</v>
      </c>
      <c r="D2" t="s">
        <v>203</v>
      </c>
      <c r="E2" t="s">
        <v>204</v>
      </c>
      <c r="F2" t="s">
        <v>201</v>
      </c>
      <c r="G2" t="s">
        <v>202</v>
      </c>
      <c r="H2" t="s">
        <v>203</v>
      </c>
      <c r="I2" t="s">
        <v>204</v>
      </c>
      <c r="J2" t="s">
        <v>208</v>
      </c>
      <c r="L2" s="104" t="s">
        <v>243</v>
      </c>
      <c r="M2">
        <v>2860</v>
      </c>
      <c r="N2" t="s">
        <v>244</v>
      </c>
      <c r="O2" t="s">
        <v>245</v>
      </c>
    </row>
    <row r="3" spans="1:18" x14ac:dyDescent="0.35">
      <c r="A3" t="s">
        <v>243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246</v>
      </c>
      <c r="M3">
        <v>0.5</v>
      </c>
      <c r="N3" s="104" t="s">
        <v>247</v>
      </c>
      <c r="O3">
        <v>0.42</v>
      </c>
    </row>
    <row r="4" spans="1:18" x14ac:dyDescent="0.35">
      <c r="A4" t="s">
        <v>248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178.67920000000001</v>
      </c>
      <c r="E4">
        <f>IF('Steel A-Arm Tube Force Analysis'!D6&lt;$M$4,'Steel A-Arm Tube Force Analysis'!D6,$O$4)</f>
        <v>532.88669286934805</v>
      </c>
      <c r="F4">
        <f>IF('Steel A-Arm Tube Force Analysis'!D9&lt;$M$4,'Steel A-Arm Tube Force Analysis'!D9,$O$4)</f>
        <v>962.62070000000006</v>
      </c>
      <c r="G4">
        <f>IF('Steel A-Arm Tube Force Analysis'!D10&lt;$M$4,'Steel A-Arm Tube Force Analysis'!D10,$O$4)</f>
        <v>678.66769999999997</v>
      </c>
      <c r="H4">
        <f>IF('Steel A-Arm Tube Force Analysis'!D11&lt;$M$4,'Steel A-Arm Tube Force Analysis'!D11,$O$4)</f>
        <v>550.22977235628196</v>
      </c>
      <c r="I4">
        <f>IF('Steel A-Arm Tube Force Analysis'!D12&lt;$M$4,'Steel A-Arm Tube Force Analysis'!D12,$O$4)</f>
        <v>939.93660819694401</v>
      </c>
      <c r="J4">
        <f>IF('Steel A-Arm Tube Force Analysis'!D8&lt;$M$4,'Steel A-Arm Tube Force Analysis'!D8,$O$4)</f>
        <v>746.92421056148896</v>
      </c>
      <c r="L4" t="s">
        <v>249</v>
      </c>
      <c r="M4">
        <f>M3*$M$2</f>
        <v>1430</v>
      </c>
      <c r="O4">
        <f>O3*$M$2</f>
        <v>1201.2</v>
      </c>
    </row>
    <row r="5" spans="1:18" x14ac:dyDescent="0.35">
      <c r="A5" t="s">
        <v>250</v>
      </c>
      <c r="B5">
        <f>IF('Steel A-Arm Tube Force Analysis'!C3&lt;$M$4,'Steel A-Arm Tube Force Analysis'!C3,$O$4)</f>
        <v>108.4573</v>
      </c>
      <c r="C5">
        <f>IF('Steel A-Arm Tube Force Analysis'!C4&lt;$M$4,'Steel A-Arm Tube Force Analysis'!C4,$O$4)</f>
        <v>1060.3255974767301</v>
      </c>
      <c r="D5">
        <f>IF('Steel A-Arm Tube Force Analysis'!C5&lt;$M$4,'Steel A-Arm Tube Force Analysis'!C5,$O$4)</f>
        <v>1110.6606947287701</v>
      </c>
      <c r="E5">
        <f>IF('Steel A-Arm Tube Force Analysis'!C6&lt;$M$4,'Steel A-Arm Tube Force Analysis'!C6,$O$4)</f>
        <v>875.32568704031098</v>
      </c>
      <c r="F5">
        <f>IF('Steel A-Arm Tube Force Analysis'!C9&lt;$M$4,'Steel A-Arm Tube Force Analysis'!C9,$O$4)</f>
        <v>824.50890000000004</v>
      </c>
      <c r="G5">
        <f>IF('Steel A-Arm Tube Force Analysis'!C10&lt;$M$4,'Steel A-Arm Tube Force Analysis'!C10,$O$4)</f>
        <v>637.29790000000003</v>
      </c>
      <c r="H5">
        <f>IF('Steel A-Arm Tube Force Analysis'!C11&lt;$M$4,'Steel A-Arm Tube Force Analysis'!C11,$O$4)</f>
        <v>174.39449999999999</v>
      </c>
      <c r="I5">
        <f>IF('Steel A-Arm Tube Force Analysis'!C12&lt;$M$4,'Steel A-Arm Tube Force Analysis'!C12,$O$4)</f>
        <v>188.5873</v>
      </c>
      <c r="J5">
        <f>IF('Steel A-Arm Tube Force Analysis'!C8&lt;$M$4,'Steel A-Arm Tube Force Analysis'!C8,$O$4)</f>
        <v>169.97730000000001</v>
      </c>
    </row>
    <row r="6" spans="1:18" x14ac:dyDescent="0.35">
      <c r="Q6" s="104"/>
      <c r="R6" s="109" t="s">
        <v>251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K44" sqref="K44"/>
    </sheetView>
  </sheetViews>
  <sheetFormatPr defaultRowHeight="14.5" x14ac:dyDescent="0.35"/>
  <sheetData>
    <row r="1" spans="1:16" x14ac:dyDescent="0.35">
      <c r="A1" s="46" t="s">
        <v>211</v>
      </c>
      <c r="D1" s="46" t="s">
        <v>212</v>
      </c>
      <c r="G1" s="105" t="s">
        <v>252</v>
      </c>
    </row>
    <row r="2" spans="1:16" x14ac:dyDescent="0.35">
      <c r="A2" s="104" t="s">
        <v>253</v>
      </c>
      <c r="B2">
        <v>2</v>
      </c>
      <c r="D2" s="104" t="s">
        <v>253</v>
      </c>
      <c r="E2">
        <v>2</v>
      </c>
      <c r="O2" s="104"/>
      <c r="P2" s="109" t="s">
        <v>251</v>
      </c>
    </row>
    <row r="3" spans="1:16" x14ac:dyDescent="0.35">
      <c r="A3" s="104" t="s">
        <v>254</v>
      </c>
      <c r="B3">
        <v>-0.13500000000000001</v>
      </c>
      <c r="D3" s="104" t="s">
        <v>254</v>
      </c>
      <c r="E3">
        <v>-0.23960000000000001</v>
      </c>
    </row>
    <row r="4" spans="1:16" x14ac:dyDescent="0.35">
      <c r="A4" s="104" t="s">
        <v>255</v>
      </c>
      <c r="B4">
        <v>2.0299999999999998</v>
      </c>
      <c r="D4" s="104" t="s">
        <v>255</v>
      </c>
      <c r="E4">
        <v>2.2869999999999999</v>
      </c>
    </row>
    <row r="5" spans="1:16" x14ac:dyDescent="0.35">
      <c r="A5" s="104" t="s">
        <v>256</v>
      </c>
      <c r="B5">
        <v>1.1100000000000001</v>
      </c>
      <c r="D5" s="104" t="s">
        <v>256</v>
      </c>
      <c r="E5">
        <v>1.1140000000000001</v>
      </c>
    </row>
    <row r="6" spans="1:16" x14ac:dyDescent="0.35">
      <c r="A6" s="104" t="s">
        <v>257</v>
      </c>
      <c r="B6">
        <v>3.78</v>
      </c>
      <c r="D6" s="104" t="s">
        <v>257</v>
      </c>
      <c r="E6">
        <v>2.5196999999999998</v>
      </c>
    </row>
    <row r="7" spans="1:16" x14ac:dyDescent="0.35">
      <c r="A7" s="104" t="s">
        <v>258</v>
      </c>
      <c r="B7">
        <v>8</v>
      </c>
      <c r="D7" s="104" t="s">
        <v>258</v>
      </c>
      <c r="E7">
        <v>8</v>
      </c>
    </row>
    <row r="8" spans="1:16" x14ac:dyDescent="0.35">
      <c r="A8" t="s">
        <v>259</v>
      </c>
      <c r="D8" t="s">
        <v>259</v>
      </c>
    </row>
    <row r="10" spans="1:16" x14ac:dyDescent="0.35">
      <c r="A10" s="105" t="s">
        <v>252</v>
      </c>
      <c r="D10" s="105" t="s">
        <v>252</v>
      </c>
    </row>
    <row r="11" spans="1:16" x14ac:dyDescent="0.35">
      <c r="A11" s="47" t="s">
        <v>260</v>
      </c>
      <c r="B11">
        <f>ABS('Geo Forces'!F13)</f>
        <v>919.68399999999997</v>
      </c>
      <c r="C11" s="109" t="s">
        <v>261</v>
      </c>
      <c r="D11" s="47" t="s">
        <v>260</v>
      </c>
      <c r="E11">
        <f>ABS('Geo Forces'!F31)</f>
        <v>1184.8</v>
      </c>
      <c r="F11" s="109" t="s">
        <v>261</v>
      </c>
    </row>
    <row r="12" spans="1:16" x14ac:dyDescent="0.35">
      <c r="A12" t="s">
        <v>262</v>
      </c>
      <c r="B12">
        <f>ABS('Geo Forces'!F14)</f>
        <v>617.33489999999995</v>
      </c>
      <c r="D12" t="s">
        <v>262</v>
      </c>
      <c r="E12">
        <f>ABS('Geo Forces'!F32)</f>
        <v>822.6934</v>
      </c>
    </row>
    <row r="14" spans="1:16" x14ac:dyDescent="0.35">
      <c r="A14" s="47" t="s">
        <v>263</v>
      </c>
      <c r="B14">
        <f>((B12*(B2+B3))-(B11*B7))/B2</f>
        <v>-3103.07120575</v>
      </c>
      <c r="D14" s="47" t="s">
        <v>263</v>
      </c>
      <c r="E14">
        <f>((E12*(E2+E3))-(E11*E7))/E2</f>
        <v>-4015.06526932</v>
      </c>
    </row>
    <row r="15" spans="1:16" x14ac:dyDescent="0.35">
      <c r="A15" s="47" t="s">
        <v>264</v>
      </c>
      <c r="B15">
        <f>B14-B12</f>
        <v>-3720.4061057499998</v>
      </c>
      <c r="D15" s="47" t="s">
        <v>264</v>
      </c>
      <c r="E15">
        <f>E14-E12</f>
        <v>-4837.7586693200001</v>
      </c>
      <c r="G15" s="105" t="s">
        <v>265</v>
      </c>
    </row>
    <row r="17" spans="1:7" x14ac:dyDescent="0.35">
      <c r="A17" s="105" t="s">
        <v>265</v>
      </c>
      <c r="D17" s="105" t="s">
        <v>265</v>
      </c>
    </row>
    <row r="18" spans="1:7" x14ac:dyDescent="0.35">
      <c r="A18" t="s">
        <v>266</v>
      </c>
      <c r="B18">
        <f>ABS('Geo Forces'!E12)</f>
        <v>867.63459999999998</v>
      </c>
      <c r="D18" t="s">
        <v>266</v>
      </c>
      <c r="E18">
        <f>ABS('Geo Forces'!E30)</f>
        <v>464.62740000000002</v>
      </c>
    </row>
    <row r="19" spans="1:7" x14ac:dyDescent="0.35">
      <c r="A19" t="s">
        <v>262</v>
      </c>
      <c r="B19">
        <f>ABS('Geo Forces'!E14)</f>
        <v>577.98410000000001</v>
      </c>
      <c r="D19" t="s">
        <v>262</v>
      </c>
      <c r="E19">
        <f>ABS('Geo Forces'!E32)</f>
        <v>286.38189999999997</v>
      </c>
    </row>
    <row r="21" spans="1:7" x14ac:dyDescent="0.35">
      <c r="A21" s="47" t="s">
        <v>267</v>
      </c>
      <c r="B21">
        <f>(B19*(B2+B3))/B2</f>
        <v>538.97017325000002</v>
      </c>
      <c r="D21" s="47" t="s">
        <v>267</v>
      </c>
      <c r="E21">
        <f>(E19*(E2+E3))/E2</f>
        <v>252.07334837999997</v>
      </c>
    </row>
    <row r="22" spans="1:7" x14ac:dyDescent="0.35">
      <c r="A22" s="47" t="s">
        <v>268</v>
      </c>
      <c r="B22">
        <f>(B18*(B2+B3))/B2</f>
        <v>809.06926450000003</v>
      </c>
      <c r="D22" s="47" t="s">
        <v>268</v>
      </c>
      <c r="E22">
        <f>(E18*(E2+E3))/E2</f>
        <v>408.96503748000003</v>
      </c>
    </row>
    <row r="23" spans="1:7" x14ac:dyDescent="0.35">
      <c r="A23" s="47" t="s">
        <v>269</v>
      </c>
      <c r="B23">
        <f>B21-B19</f>
        <v>-39.013926749999996</v>
      </c>
      <c r="D23" s="47" t="s">
        <v>269</v>
      </c>
      <c r="E23">
        <f>E21-E19</f>
        <v>-34.308551620000003</v>
      </c>
    </row>
    <row r="24" spans="1:7" x14ac:dyDescent="0.35">
      <c r="A24" s="47" t="s">
        <v>270</v>
      </c>
      <c r="B24">
        <f>B22-B18</f>
        <v>-58.565335499999946</v>
      </c>
      <c r="D24" s="47" t="s">
        <v>270</v>
      </c>
      <c r="E24">
        <f>E22-E18</f>
        <v>-55.662362519999988</v>
      </c>
    </row>
    <row r="25" spans="1:7" x14ac:dyDescent="0.35">
      <c r="A25" t="s">
        <v>271</v>
      </c>
      <c r="B25">
        <f>(B18*B7)/(B4+B5)</f>
        <v>2210.5340127388536</v>
      </c>
      <c r="D25" t="s">
        <v>271</v>
      </c>
      <c r="E25">
        <f>(E18*E7)/(E4+E5)</f>
        <v>1092.9194942663923</v>
      </c>
    </row>
    <row r="26" spans="1:7" x14ac:dyDescent="0.35">
      <c r="A26" s="47" t="s">
        <v>272</v>
      </c>
      <c r="B26">
        <f>B25/2</f>
        <v>1105.2670063694268</v>
      </c>
      <c r="D26" s="47" t="s">
        <v>272</v>
      </c>
      <c r="E26">
        <f>E25/2</f>
        <v>546.45974713319617</v>
      </c>
    </row>
    <row r="27" spans="1:7" x14ac:dyDescent="0.35">
      <c r="A27" s="47" t="s">
        <v>273</v>
      </c>
      <c r="B27">
        <f>(B25*B5)/B6</f>
        <v>649.12506723283809</v>
      </c>
      <c r="D27" s="47" t="s">
        <v>273</v>
      </c>
      <c r="E27">
        <f>(E25*E5)/E6</f>
        <v>483.19733167153282</v>
      </c>
    </row>
    <row r="29" spans="1:7" x14ac:dyDescent="0.35">
      <c r="D29" s="105" t="s">
        <v>274</v>
      </c>
      <c r="G29" s="105" t="s">
        <v>274</v>
      </c>
    </row>
    <row r="30" spans="1:7" x14ac:dyDescent="0.35">
      <c r="D30" t="s">
        <v>266</v>
      </c>
      <c r="E30">
        <f>ABS('Geo Forces'!D30)</f>
        <v>378.70310000000001</v>
      </c>
    </row>
    <row r="31" spans="1:7" x14ac:dyDescent="0.35">
      <c r="D31" t="s">
        <v>262</v>
      </c>
      <c r="E31">
        <f>ABS('Geo Forces'!D32)</f>
        <v>227.87809999999999</v>
      </c>
    </row>
    <row r="33" spans="4:5" x14ac:dyDescent="0.35">
      <c r="D33" s="47" t="s">
        <v>267</v>
      </c>
      <c r="E33">
        <f>(E31*(E2+E3))/E2</f>
        <v>200.57830361999999</v>
      </c>
    </row>
    <row r="34" spans="4:5" x14ac:dyDescent="0.35">
      <c r="D34" s="47" t="s">
        <v>268</v>
      </c>
      <c r="E34">
        <f>(E30*(E2+E3))/E2</f>
        <v>333.33446862</v>
      </c>
    </row>
    <row r="35" spans="4:5" x14ac:dyDescent="0.35">
      <c r="D35" s="47" t="s">
        <v>269</v>
      </c>
      <c r="E35">
        <f>E33-E31</f>
        <v>-27.299796380000004</v>
      </c>
    </row>
    <row r="36" spans="4:5" x14ac:dyDescent="0.35">
      <c r="D36" s="47" t="s">
        <v>270</v>
      </c>
      <c r="E36">
        <f>E34-E30</f>
        <v>-45.368631380000011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C10" sqref="C10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275</v>
      </c>
    </row>
    <row r="2" spans="1:7" x14ac:dyDescent="0.35">
      <c r="A2" s="154" t="s">
        <v>276</v>
      </c>
      <c r="B2" s="156" t="s">
        <v>211</v>
      </c>
      <c r="C2" s="157" t="s">
        <v>212</v>
      </c>
      <c r="D2" t="s">
        <v>277</v>
      </c>
      <c r="F2" t="s">
        <v>278</v>
      </c>
      <c r="G2">
        <v>4.4249999999999998</v>
      </c>
    </row>
    <row r="3" spans="1:7" x14ac:dyDescent="0.35">
      <c r="A3" t="s">
        <v>279</v>
      </c>
      <c r="B3">
        <f>-'Geo Forces'!H20</f>
        <v>1991.1782126860301</v>
      </c>
      <c r="C3">
        <f>-'Geo Forces'!H38</f>
        <v>1616.86379364101</v>
      </c>
      <c r="F3" t="s">
        <v>280</v>
      </c>
      <c r="G3">
        <f>G2-Parameters!K4</f>
        <v>3.4249999999999998</v>
      </c>
    </row>
    <row r="4" spans="1:7" x14ac:dyDescent="0.35">
      <c r="A4" t="s">
        <v>281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282</v>
      </c>
      <c r="G4">
        <v>2</v>
      </c>
    </row>
    <row r="5" spans="1:7" x14ac:dyDescent="0.35">
      <c r="A5" t="s">
        <v>283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284</v>
      </c>
    </row>
    <row r="7" spans="1:7" x14ac:dyDescent="0.35">
      <c r="A7" s="155" t="s">
        <v>285</v>
      </c>
      <c r="B7" s="156" t="s">
        <v>211</v>
      </c>
      <c r="C7" s="157" t="s">
        <v>212</v>
      </c>
      <c r="D7" t="s">
        <v>286</v>
      </c>
      <c r="F7" t="s">
        <v>287</v>
      </c>
    </row>
    <row r="8" spans="1:7" x14ac:dyDescent="0.35">
      <c r="A8" t="s">
        <v>279</v>
      </c>
      <c r="B8">
        <f>-'Geo Forces'!D20</f>
        <v>264.46089999999998</v>
      </c>
      <c r="C8">
        <f>-'Geo Forces'!E38</f>
        <v>631.51959999999997</v>
      </c>
    </row>
    <row r="9" spans="1:7" x14ac:dyDescent="0.35">
      <c r="A9" t="s">
        <v>281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283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2023-10-26T01:01:15Z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