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md0.sharepoint.com/sites/TeamsTerpsRacingEV/Shared Documents/General/Repeat Engineering Files/Vehicle Dynamics/VD Softwares &amp; Simulations/_Simulation/Ry/GitHub/YMD-Sim/"/>
    </mc:Choice>
  </mc:AlternateContent>
  <xr:revisionPtr revIDLastSave="2739" documentId="13_ncr:1_{25B62D78-2787-4D6A-9F3E-D571215EA930}" xr6:coauthVersionLast="47" xr6:coauthVersionMax="47" xr10:uidLastSave="{B14AEAEA-ED9D-4383-BD8F-F5505FC46552}"/>
  <bookViews>
    <workbookView xWindow="52695" yWindow="-7260" windowWidth="14610" windowHeight="15585" tabRatio="744" firstSheet="1" activeTab="3" xr2:uid="{9242884C-AB33-489A-BB7F-ADCF636164C6}"/>
  </bookViews>
  <sheets>
    <sheet name="Parameters" sheetId="4" r:id="rId1"/>
    <sheet name="Tire Data" sheetId="9" r:id="rId2"/>
    <sheet name="Geo Points" sheetId="5" r:id="rId3"/>
    <sheet name="BRS Camber &amp; Toe Gain" sheetId="17" r:id="rId4"/>
    <sheet name="Motor Data" sheetId="14" r:id="rId5"/>
    <sheet name="Damper Data --" sheetId="13" r:id="rId6"/>
    <sheet name="Tire Load Cases" sheetId="1" r:id="rId7"/>
    <sheet name="Geo Forces" sheetId="2" r:id="rId8"/>
    <sheet name="Steel A-Arm Tube Force Analysis" sheetId="3" r:id="rId9"/>
    <sheet name="CF A-Arm Tube Force Analysis" sheetId="15" r:id="rId10"/>
    <sheet name="A-Arm Mount Analysis" sheetId="19" r:id="rId11"/>
    <sheet name="Upright Force Analysis" sheetId="11" r:id="rId12"/>
    <sheet name="Bellcrank-ARB Force Analysis" sheetId="18" r:id="rId13"/>
    <sheet name="Setups" sheetId="12" r:id="rId1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13" i="3" l="1"/>
  <c r="I20" i="2"/>
  <c r="E10" i="15"/>
  <c r="E11" i="15"/>
  <c r="E12" i="15"/>
  <c r="E9" i="15"/>
  <c r="E4" i="15"/>
  <c r="E5" i="15"/>
  <c r="E6" i="15"/>
  <c r="E3" i="15"/>
  <c r="E2" i="15"/>
  <c r="E7" i="15" l="1"/>
  <c r="E8" i="15"/>
  <c r="E13" i="15"/>
  <c r="B54" i="14"/>
  <c r="B36" i="14"/>
  <c r="P3" i="3"/>
  <c r="G3" i="3" l="1"/>
  <c r="G4" i="3"/>
  <c r="G5" i="3"/>
  <c r="G6" i="3"/>
  <c r="G7" i="3"/>
  <c r="G8" i="3"/>
  <c r="G9" i="3"/>
  <c r="G10" i="3"/>
  <c r="G11" i="3"/>
  <c r="G12" i="3"/>
  <c r="G13" i="3"/>
  <c r="G2" i="3"/>
  <c r="F3" i="3"/>
  <c r="F4" i="3"/>
  <c r="F5" i="3"/>
  <c r="F6" i="3"/>
  <c r="F7" i="3"/>
  <c r="F8" i="3"/>
  <c r="F9" i="3"/>
  <c r="F10" i="3"/>
  <c r="F11" i="3"/>
  <c r="F12" i="3"/>
  <c r="F13" i="3"/>
  <c r="F2" i="3"/>
  <c r="O4" i="19"/>
  <c r="M4" i="19"/>
  <c r="C3" i="19"/>
  <c r="D3" i="19"/>
  <c r="E3" i="19"/>
  <c r="F3" i="19"/>
  <c r="G3" i="19"/>
  <c r="H3" i="19"/>
  <c r="I3" i="19"/>
  <c r="J3" i="19"/>
  <c r="B3" i="19"/>
  <c r="C37" i="14"/>
  <c r="C38" i="14"/>
  <c r="C39" i="14"/>
  <c r="C40" i="14"/>
  <c r="C41" i="14"/>
  <c r="C50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49" i="14" s="1"/>
  <c r="D33" i="14"/>
  <c r="C20" i="14"/>
  <c r="C21" i="14"/>
  <c r="C22" i="14"/>
  <c r="C23" i="14"/>
  <c r="C24" i="14"/>
  <c r="C25" i="14"/>
  <c r="C42" i="14" s="1"/>
  <c r="C26" i="14"/>
  <c r="C43" i="14" s="1"/>
  <c r="C27" i="14"/>
  <c r="C44" i="14" s="1"/>
  <c r="C28" i="14"/>
  <c r="C45" i="14" s="1"/>
  <c r="C29" i="14"/>
  <c r="C46" i="14" s="1"/>
  <c r="C30" i="14"/>
  <c r="C47" i="14" s="1"/>
  <c r="C31" i="14"/>
  <c r="C48" i="14" s="1"/>
  <c r="C32" i="14"/>
  <c r="C49" i="14" s="1"/>
  <c r="C33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A49" i="14"/>
  <c r="A50" i="14"/>
  <c r="D50" i="14" s="1"/>
  <c r="A32" i="14"/>
  <c r="A33" i="14" s="1"/>
  <c r="A15" i="14"/>
  <c r="A16" i="14"/>
  <c r="E50" i="14" l="1"/>
  <c r="E49" i="14"/>
  <c r="A36" i="14"/>
  <c r="B10" i="18"/>
  <c r="C10" i="18"/>
  <c r="C5" i="18"/>
  <c r="B5" i="18"/>
  <c r="C9" i="18"/>
  <c r="C4" i="18"/>
  <c r="B9" i="18"/>
  <c r="B4" i="18"/>
  <c r="G3" i="18"/>
  <c r="C8" i="18"/>
  <c r="B8" i="18"/>
  <c r="C3" i="18"/>
  <c r="B3" i="18"/>
  <c r="F42" i="4" l="1"/>
  <c r="F40" i="4"/>
  <c r="F41" i="4"/>
  <c r="F39" i="4"/>
  <c r="B15" i="4" l="1"/>
  <c r="I18" i="2" l="1"/>
  <c r="K13" i="15" l="1"/>
  <c r="P13" i="15" s="1"/>
  <c r="H13" i="15"/>
  <c r="Q13" i="15" s="1"/>
  <c r="K12" i="15"/>
  <c r="P12" i="15" s="1"/>
  <c r="H12" i="15"/>
  <c r="K11" i="15"/>
  <c r="P11" i="15" s="1"/>
  <c r="H11" i="15"/>
  <c r="Q11" i="15" s="1"/>
  <c r="K10" i="15"/>
  <c r="P10" i="15" s="1"/>
  <c r="H10" i="15"/>
  <c r="Q10" i="15" s="1"/>
  <c r="K9" i="15"/>
  <c r="P9" i="15" s="1"/>
  <c r="H9" i="15"/>
  <c r="K8" i="15"/>
  <c r="P8" i="15" s="1"/>
  <c r="H8" i="15"/>
  <c r="K7" i="15"/>
  <c r="P7" i="15" s="1"/>
  <c r="H7" i="15"/>
  <c r="Q7" i="15" s="1"/>
  <c r="K6" i="15"/>
  <c r="P6" i="15" s="1"/>
  <c r="H6" i="15"/>
  <c r="K5" i="15"/>
  <c r="P5" i="15" s="1"/>
  <c r="H5" i="15"/>
  <c r="K4" i="15"/>
  <c r="P4" i="15" s="1"/>
  <c r="H4" i="15"/>
  <c r="K3" i="15"/>
  <c r="P3" i="15" s="1"/>
  <c r="H3" i="15"/>
  <c r="K2" i="15"/>
  <c r="H2" i="15"/>
  <c r="O3" i="15" l="1"/>
  <c r="Q3" i="15"/>
  <c r="O4" i="15"/>
  <c r="Q4" i="15"/>
  <c r="O5" i="15"/>
  <c r="Q5" i="15"/>
  <c r="O6" i="15"/>
  <c r="Q6" i="15"/>
  <c r="I8" i="15"/>
  <c r="J8" i="15" s="1"/>
  <c r="Q8" i="15"/>
  <c r="I9" i="15"/>
  <c r="Q9" i="15"/>
  <c r="O12" i="15"/>
  <c r="Q12" i="15"/>
  <c r="Q2" i="15"/>
  <c r="O11" i="15"/>
  <c r="N9" i="15"/>
  <c r="O9" i="15"/>
  <c r="N5" i="15"/>
  <c r="I7" i="15"/>
  <c r="O13" i="15"/>
  <c r="J9" i="15"/>
  <c r="I5" i="15"/>
  <c r="N7" i="15"/>
  <c r="O7" i="15"/>
  <c r="I12" i="15"/>
  <c r="I3" i="15"/>
  <c r="I10" i="15"/>
  <c r="O10" i="15"/>
  <c r="O8" i="15"/>
  <c r="I13" i="15"/>
  <c r="N12" i="15"/>
  <c r="N3" i="15"/>
  <c r="N10" i="15"/>
  <c r="I6" i="15"/>
  <c r="N8" i="15"/>
  <c r="I4" i="15"/>
  <c r="N6" i="15"/>
  <c r="I11" i="15"/>
  <c r="N13" i="15"/>
  <c r="N4" i="15"/>
  <c r="N11" i="15"/>
  <c r="J7" i="15" l="1"/>
  <c r="J12" i="15"/>
  <c r="J5" i="15"/>
  <c r="J11" i="15"/>
  <c r="J4" i="15"/>
  <c r="J6" i="15"/>
  <c r="J13" i="15"/>
  <c r="J10" i="15"/>
  <c r="J3" i="15"/>
  <c r="C19" i="14" l="1"/>
  <c r="C36" i="14" s="1"/>
  <c r="B19" i="14"/>
  <c r="E19" i="14"/>
  <c r="D19" i="14"/>
  <c r="A20" i="14"/>
  <c r="A3" i="14"/>
  <c r="A4" i="14" s="1"/>
  <c r="A5" i="14" s="1"/>
  <c r="A6" i="14" s="1"/>
  <c r="A7" i="14" s="1"/>
  <c r="A8" i="14" s="1"/>
  <c r="A9" i="14" s="1"/>
  <c r="A10" i="14" s="1"/>
  <c r="A11" i="14" s="1"/>
  <c r="A12" i="14" s="1"/>
  <c r="A13" i="14" s="1"/>
  <c r="A14" i="14" s="1"/>
  <c r="A21" i="14" l="1"/>
  <c r="A37" i="14"/>
  <c r="B30" i="4"/>
  <c r="B21" i="4"/>
  <c r="B20" i="4"/>
  <c r="B18" i="4"/>
  <c r="B16" i="4"/>
  <c r="B17" i="4"/>
  <c r="D37" i="14" l="1"/>
  <c r="E37" i="14"/>
  <c r="A22" i="14"/>
  <c r="A38" i="14"/>
  <c r="B22" i="4"/>
  <c r="B19" i="4"/>
  <c r="H31" i="2"/>
  <c r="G31" i="2"/>
  <c r="F31" i="2"/>
  <c r="E11" i="11" s="1"/>
  <c r="E31" i="2"/>
  <c r="D31" i="2"/>
  <c r="C31" i="2"/>
  <c r="H23" i="2"/>
  <c r="H22" i="2"/>
  <c r="G22" i="2"/>
  <c r="F22" i="2"/>
  <c r="E22" i="2"/>
  <c r="D22" i="2"/>
  <c r="C22" i="2"/>
  <c r="H13" i="2"/>
  <c r="G13" i="2"/>
  <c r="F13" i="2"/>
  <c r="B11" i="11" s="1"/>
  <c r="E13" i="2"/>
  <c r="D13" i="2"/>
  <c r="C13" i="2"/>
  <c r="C4" i="2"/>
  <c r="H4" i="2"/>
  <c r="G4" i="2"/>
  <c r="E4" i="2"/>
  <c r="D4" i="2"/>
  <c r="F4" i="2"/>
  <c r="D38" i="14" l="1"/>
  <c r="E38" i="14"/>
  <c r="A23" i="14"/>
  <c r="A39" i="14"/>
  <c r="H32" i="2"/>
  <c r="H30" i="2"/>
  <c r="H21" i="2"/>
  <c r="H14" i="2"/>
  <c r="H12" i="2"/>
  <c r="H5" i="2"/>
  <c r="H3" i="2"/>
  <c r="G32" i="2"/>
  <c r="G30" i="2"/>
  <c r="G23" i="2"/>
  <c r="G21" i="2"/>
  <c r="G14" i="2"/>
  <c r="G12" i="2"/>
  <c r="G3" i="2"/>
  <c r="G5" i="2"/>
  <c r="F32" i="2"/>
  <c r="E12" i="11" s="1"/>
  <c r="E14" i="11" s="1"/>
  <c r="F30" i="2"/>
  <c r="F23" i="2"/>
  <c r="F21" i="2"/>
  <c r="F14" i="2"/>
  <c r="B12" i="11" s="1"/>
  <c r="B14" i="11" s="1"/>
  <c r="B15" i="11" s="1"/>
  <c r="F12" i="2"/>
  <c r="F3" i="2"/>
  <c r="F5" i="2"/>
  <c r="E32" i="2"/>
  <c r="E19" i="11" s="1"/>
  <c r="E21" i="11" s="1"/>
  <c r="E23" i="11" s="1"/>
  <c r="E30" i="2"/>
  <c r="E23" i="2"/>
  <c r="E21" i="2"/>
  <c r="E14" i="2"/>
  <c r="B19" i="11" s="1"/>
  <c r="B21" i="11" s="1"/>
  <c r="B23" i="11" s="1"/>
  <c r="E12" i="2"/>
  <c r="E5" i="2"/>
  <c r="E3" i="2"/>
  <c r="D32" i="2"/>
  <c r="E31" i="11" s="1"/>
  <c r="D30" i="2"/>
  <c r="D23" i="2"/>
  <c r="D21" i="2"/>
  <c r="D14" i="2"/>
  <c r="D12" i="2"/>
  <c r="D5" i="2"/>
  <c r="D3" i="2"/>
  <c r="C32" i="2"/>
  <c r="C30" i="2"/>
  <c r="C21" i="2"/>
  <c r="C23" i="2"/>
  <c r="C14" i="2"/>
  <c r="C12" i="2"/>
  <c r="C5" i="2"/>
  <c r="C3" i="2"/>
  <c r="M5" i="1"/>
  <c r="G36" i="5"/>
  <c r="F36" i="5"/>
  <c r="E36" i="5"/>
  <c r="G35" i="5"/>
  <c r="F35" i="5"/>
  <c r="E35" i="5"/>
  <c r="G34" i="5"/>
  <c r="F34" i="5"/>
  <c r="E34" i="5"/>
  <c r="G33" i="5"/>
  <c r="F33" i="5"/>
  <c r="E33" i="5"/>
  <c r="G32" i="5"/>
  <c r="F32" i="5"/>
  <c r="E32" i="5"/>
  <c r="G31" i="5"/>
  <c r="F31" i="5"/>
  <c r="E31" i="5"/>
  <c r="G30" i="5"/>
  <c r="F30" i="5"/>
  <c r="E30" i="5"/>
  <c r="G29" i="5"/>
  <c r="F29" i="5"/>
  <c r="E29" i="5"/>
  <c r="G28" i="5"/>
  <c r="F28" i="5"/>
  <c r="E28" i="5"/>
  <c r="G27" i="5"/>
  <c r="F27" i="5"/>
  <c r="E27" i="5"/>
  <c r="G26" i="5"/>
  <c r="F26" i="5"/>
  <c r="E26" i="5"/>
  <c r="G25" i="5"/>
  <c r="F25" i="5"/>
  <c r="E25" i="5"/>
  <c r="G24" i="5"/>
  <c r="F24" i="5"/>
  <c r="E24" i="5"/>
  <c r="G23" i="5"/>
  <c r="F23" i="5"/>
  <c r="E23" i="5"/>
  <c r="G22" i="5"/>
  <c r="F22" i="5"/>
  <c r="E22" i="5"/>
  <c r="G21" i="5"/>
  <c r="F21" i="5"/>
  <c r="E21" i="5"/>
  <c r="G20" i="5"/>
  <c r="F20" i="5"/>
  <c r="E20" i="5"/>
  <c r="G18" i="5"/>
  <c r="F18" i="5"/>
  <c r="E18" i="5"/>
  <c r="G17" i="5"/>
  <c r="F17" i="5"/>
  <c r="E17" i="5"/>
  <c r="G16" i="5"/>
  <c r="F16" i="5"/>
  <c r="E16" i="5"/>
  <c r="G15" i="5"/>
  <c r="F15" i="5"/>
  <c r="E15" i="5"/>
  <c r="G14" i="5"/>
  <c r="F14" i="5"/>
  <c r="E14" i="5"/>
  <c r="G13" i="5"/>
  <c r="F13" i="5"/>
  <c r="E13" i="5"/>
  <c r="G12" i="5"/>
  <c r="F12" i="5"/>
  <c r="E12" i="5"/>
  <c r="G11" i="5"/>
  <c r="F11" i="5"/>
  <c r="E11" i="5"/>
  <c r="G10" i="5"/>
  <c r="F10" i="5"/>
  <c r="E10" i="5"/>
  <c r="G9" i="5"/>
  <c r="F9" i="5"/>
  <c r="E9" i="5"/>
  <c r="G8" i="5"/>
  <c r="F8" i="5"/>
  <c r="E8" i="5"/>
  <c r="G7" i="5"/>
  <c r="F7" i="5"/>
  <c r="E7" i="5"/>
  <c r="G6" i="5"/>
  <c r="F6" i="5"/>
  <c r="E6" i="5"/>
  <c r="G5" i="5"/>
  <c r="F5" i="5"/>
  <c r="E5" i="5"/>
  <c r="G4" i="5"/>
  <c r="F4" i="5"/>
  <c r="E4" i="5"/>
  <c r="G3" i="5"/>
  <c r="F3" i="5"/>
  <c r="E3" i="5"/>
  <c r="G2" i="5"/>
  <c r="F2" i="5"/>
  <c r="E2" i="5"/>
  <c r="M10" i="1"/>
  <c r="K10" i="1"/>
  <c r="K5" i="1"/>
  <c r="D39" i="14" l="1"/>
  <c r="E39" i="14"/>
  <c r="A24" i="14"/>
  <c r="A40" i="14"/>
  <c r="E33" i="11"/>
  <c r="E35" i="11" s="1"/>
  <c r="E30" i="11"/>
  <c r="E34" i="11" s="1"/>
  <c r="E36" i="11" s="1"/>
  <c r="E15" i="11"/>
  <c r="E18" i="11"/>
  <c r="B18" i="11"/>
  <c r="B25" i="11" s="1"/>
  <c r="B26" i="11" s="1"/>
  <c r="J34" i="2"/>
  <c r="J35" i="2"/>
  <c r="J36" i="2"/>
  <c r="J37" i="2"/>
  <c r="J38" i="2"/>
  <c r="J33" i="2"/>
  <c r="I34" i="2"/>
  <c r="I35" i="2"/>
  <c r="I36" i="2"/>
  <c r="I37" i="2"/>
  <c r="I38" i="2"/>
  <c r="I33" i="2"/>
  <c r="J16" i="2"/>
  <c r="J17" i="2"/>
  <c r="J18" i="2"/>
  <c r="J19" i="2"/>
  <c r="J20" i="2"/>
  <c r="I16" i="2"/>
  <c r="I17" i="2"/>
  <c r="I19" i="2"/>
  <c r="J15" i="2"/>
  <c r="I15" i="2"/>
  <c r="J7" i="2"/>
  <c r="J8" i="2"/>
  <c r="J9" i="2"/>
  <c r="J10" i="2"/>
  <c r="J11" i="2"/>
  <c r="I7" i="2"/>
  <c r="I8" i="2"/>
  <c r="I9" i="2"/>
  <c r="I10" i="2"/>
  <c r="I11" i="2"/>
  <c r="J6" i="2"/>
  <c r="I6" i="2"/>
  <c r="K3" i="3"/>
  <c r="K4" i="3"/>
  <c r="P4" i="3" s="1"/>
  <c r="K5" i="3"/>
  <c r="P5" i="3" s="1"/>
  <c r="K6" i="3"/>
  <c r="P6" i="3" s="1"/>
  <c r="K7" i="3"/>
  <c r="P7" i="3" s="1"/>
  <c r="K8" i="3"/>
  <c r="P8" i="3" s="1"/>
  <c r="K9" i="3"/>
  <c r="P9" i="3" s="1"/>
  <c r="K10" i="3"/>
  <c r="P10" i="3" s="1"/>
  <c r="K11" i="3"/>
  <c r="P11" i="3" s="1"/>
  <c r="K12" i="3"/>
  <c r="P12" i="3" s="1"/>
  <c r="K13" i="3"/>
  <c r="P13" i="3" s="1"/>
  <c r="K2" i="3"/>
  <c r="H2" i="3"/>
  <c r="H3" i="3"/>
  <c r="H4" i="3"/>
  <c r="H5" i="3"/>
  <c r="Q5" i="3" s="1"/>
  <c r="H6" i="3"/>
  <c r="H7" i="3"/>
  <c r="H8" i="3"/>
  <c r="Q8" i="3" s="1"/>
  <c r="H9" i="3"/>
  <c r="Q9" i="3" s="1"/>
  <c r="H10" i="3"/>
  <c r="Q10" i="3" s="1"/>
  <c r="H11" i="3"/>
  <c r="Q11" i="3" s="1"/>
  <c r="H12" i="3"/>
  <c r="Q12" i="3" s="1"/>
  <c r="H13" i="3"/>
  <c r="Q13" i="3" s="1"/>
  <c r="O6" i="3" l="1"/>
  <c r="Q6" i="3"/>
  <c r="O4" i="3"/>
  <c r="Q4" i="3"/>
  <c r="O3" i="3"/>
  <c r="Q3" i="3"/>
  <c r="Q2" i="3"/>
  <c r="O2" i="3"/>
  <c r="P2" i="3"/>
  <c r="N2" i="3"/>
  <c r="Q7" i="3"/>
  <c r="O7" i="3"/>
  <c r="C3" i="3"/>
  <c r="D4" i="15"/>
  <c r="D3" i="15"/>
  <c r="D3" i="3"/>
  <c r="B4" i="19" s="1"/>
  <c r="R3" i="3"/>
  <c r="B5" i="19"/>
  <c r="I7" i="3"/>
  <c r="J7" i="3" s="1"/>
  <c r="I8" i="3"/>
  <c r="J8" i="3" s="1"/>
  <c r="O9" i="3"/>
  <c r="I11" i="3"/>
  <c r="J11" i="3" s="1"/>
  <c r="D40" i="14"/>
  <c r="E40" i="14"/>
  <c r="A25" i="14"/>
  <c r="A41" i="14"/>
  <c r="O13" i="3"/>
  <c r="O5" i="3"/>
  <c r="D7" i="15"/>
  <c r="C2" i="15"/>
  <c r="D2" i="15"/>
  <c r="C7" i="15"/>
  <c r="C6" i="15"/>
  <c r="C5" i="15"/>
  <c r="C4" i="15"/>
  <c r="C3" i="15"/>
  <c r="D6" i="15"/>
  <c r="D5" i="15"/>
  <c r="B22" i="11"/>
  <c r="B24" i="11" s="1"/>
  <c r="E25" i="11"/>
  <c r="E22" i="11"/>
  <c r="E24" i="11" s="1"/>
  <c r="D2" i="3"/>
  <c r="O12" i="3"/>
  <c r="O10" i="3"/>
  <c r="I3" i="3"/>
  <c r="I13" i="3"/>
  <c r="J13" i="3" s="1"/>
  <c r="I9" i="3"/>
  <c r="I5" i="3"/>
  <c r="J5" i="3" s="1"/>
  <c r="N9" i="3"/>
  <c r="I12" i="3"/>
  <c r="I4" i="3"/>
  <c r="N8" i="3"/>
  <c r="N7" i="3"/>
  <c r="O11" i="3"/>
  <c r="I10" i="3"/>
  <c r="N6" i="3"/>
  <c r="N13" i="3"/>
  <c r="N5" i="3"/>
  <c r="N12" i="3"/>
  <c r="N4" i="3"/>
  <c r="O8" i="3"/>
  <c r="N11" i="3"/>
  <c r="N3" i="3"/>
  <c r="I2" i="3"/>
  <c r="I6" i="3"/>
  <c r="N10" i="3"/>
  <c r="C7" i="3"/>
  <c r="D6" i="3"/>
  <c r="E4" i="19" s="1"/>
  <c r="C5" i="3"/>
  <c r="D4" i="3"/>
  <c r="C4" i="19" s="1"/>
  <c r="D7" i="3"/>
  <c r="D5" i="3"/>
  <c r="D4" i="19" s="1"/>
  <c r="C4" i="3"/>
  <c r="C6" i="3"/>
  <c r="C2" i="3"/>
  <c r="R4" i="15" l="1"/>
  <c r="M5" i="15"/>
  <c r="R5" i="15"/>
  <c r="L6" i="15"/>
  <c r="R6" i="15"/>
  <c r="M7" i="15"/>
  <c r="R7" i="15"/>
  <c r="L2" i="15"/>
  <c r="L2" i="3"/>
  <c r="R2" i="3"/>
  <c r="E5" i="19"/>
  <c r="R6" i="3"/>
  <c r="C5" i="19"/>
  <c r="R4" i="3"/>
  <c r="D5" i="19"/>
  <c r="R5" i="3"/>
  <c r="R7" i="3"/>
  <c r="M2" i="15"/>
  <c r="M3" i="15"/>
  <c r="R3" i="15"/>
  <c r="D41" i="14"/>
  <c r="E41" i="14"/>
  <c r="A26" i="14"/>
  <c r="A42" i="14"/>
  <c r="D42" i="14" s="1"/>
  <c r="L7" i="15"/>
  <c r="S6" i="15"/>
  <c r="S3" i="15"/>
  <c r="L5" i="15"/>
  <c r="S5" i="15"/>
  <c r="M6" i="15"/>
  <c r="L3" i="15"/>
  <c r="S2" i="15"/>
  <c r="M4" i="15"/>
  <c r="S4" i="15"/>
  <c r="L4" i="15"/>
  <c r="M5" i="3"/>
  <c r="L4" i="3"/>
  <c r="E27" i="11"/>
  <c r="E26" i="11"/>
  <c r="B27" i="11"/>
  <c r="M3" i="3"/>
  <c r="S2" i="3"/>
  <c r="M7" i="3"/>
  <c r="M2" i="3"/>
  <c r="J3" i="3"/>
  <c r="J9" i="3"/>
  <c r="J12" i="3"/>
  <c r="J4" i="3"/>
  <c r="J10" i="3"/>
  <c r="J2" i="3"/>
  <c r="J6" i="3"/>
  <c r="L7" i="3"/>
  <c r="S6" i="3"/>
  <c r="S4" i="3"/>
  <c r="L5" i="3"/>
  <c r="L3" i="3"/>
  <c r="L6" i="3"/>
  <c r="M6" i="3"/>
  <c r="S5" i="3"/>
  <c r="S3" i="3"/>
  <c r="M4" i="3"/>
  <c r="E42" i="14" l="1"/>
  <c r="A27" i="14"/>
  <c r="A43" i="14"/>
  <c r="J25" i="2"/>
  <c r="I28" i="2"/>
  <c r="I29" i="2"/>
  <c r="I27" i="2"/>
  <c r="I26" i="2"/>
  <c r="I25" i="2"/>
  <c r="J24" i="2"/>
  <c r="J27" i="2"/>
  <c r="J28" i="2"/>
  <c r="J29" i="2"/>
  <c r="I24" i="2"/>
  <c r="J26" i="2"/>
  <c r="D43" i="14" l="1"/>
  <c r="E43" i="14"/>
  <c r="A28" i="14"/>
  <c r="A44" i="14"/>
  <c r="D10" i="3"/>
  <c r="G4" i="19" s="1"/>
  <c r="D10" i="15"/>
  <c r="C9" i="3"/>
  <c r="C9" i="15"/>
  <c r="C11" i="3"/>
  <c r="C11" i="15"/>
  <c r="D13" i="3"/>
  <c r="D13" i="15"/>
  <c r="D8" i="3"/>
  <c r="J4" i="19" s="1"/>
  <c r="D8" i="15"/>
  <c r="C13" i="3"/>
  <c r="C13" i="15"/>
  <c r="C8" i="3"/>
  <c r="C8" i="15"/>
  <c r="C12" i="3"/>
  <c r="C12" i="15"/>
  <c r="D12" i="3"/>
  <c r="I4" i="19" s="1"/>
  <c r="D12" i="15"/>
  <c r="D11" i="3"/>
  <c r="H4" i="19" s="1"/>
  <c r="D11" i="15"/>
  <c r="C10" i="3"/>
  <c r="C10" i="15"/>
  <c r="D9" i="3"/>
  <c r="D9" i="15"/>
  <c r="R8" i="3" l="1"/>
  <c r="R8" i="15"/>
  <c r="R13" i="15"/>
  <c r="R11" i="15"/>
  <c r="R9" i="15"/>
  <c r="S8" i="3"/>
  <c r="H5" i="19"/>
  <c r="R11" i="3"/>
  <c r="R10" i="15"/>
  <c r="G5" i="19"/>
  <c r="R10" i="3"/>
  <c r="R12" i="15"/>
  <c r="I5" i="19"/>
  <c r="R12" i="3"/>
  <c r="F5" i="19"/>
  <c r="R9" i="3"/>
  <c r="F4" i="19"/>
  <c r="S7" i="3"/>
  <c r="J5" i="19"/>
  <c r="S9" i="3"/>
  <c r="S10" i="3"/>
  <c r="D44" i="14"/>
  <c r="E44" i="14"/>
  <c r="A29" i="14"/>
  <c r="A45" i="14"/>
  <c r="M12" i="3"/>
  <c r="L12" i="3"/>
  <c r="M10" i="3"/>
  <c r="L10" i="3"/>
  <c r="S11" i="15"/>
  <c r="M12" i="15"/>
  <c r="L12" i="15"/>
  <c r="L13" i="3"/>
  <c r="M13" i="3"/>
  <c r="S8" i="15"/>
  <c r="M9" i="15"/>
  <c r="L9" i="15"/>
  <c r="M13" i="15"/>
  <c r="L13" i="15"/>
  <c r="S12" i="15"/>
  <c r="S13" i="15" a="1"/>
  <c r="S13" i="15" s="1"/>
  <c r="S11" i="3"/>
  <c r="M9" i="3"/>
  <c r="L9" i="3"/>
  <c r="S10" i="15"/>
  <c r="M11" i="15"/>
  <c r="L11" i="15"/>
  <c r="L8" i="3"/>
  <c r="S9" i="15"/>
  <c r="M10" i="15"/>
  <c r="L10" i="15"/>
  <c r="M8" i="15"/>
  <c r="L8" i="15"/>
  <c r="S7" i="15"/>
  <c r="S13" i="3" a="1"/>
  <c r="S13" i="3" s="1"/>
  <c r="M11" i="3"/>
  <c r="L11" i="3"/>
  <c r="S12" i="3"/>
  <c r="M8" i="3"/>
  <c r="D45" i="14" l="1"/>
  <c r="E45" i="14"/>
  <c r="A30" i="14"/>
  <c r="A46" i="14"/>
  <c r="E46" i="14" l="1"/>
  <c r="D46" i="14"/>
  <c r="A31" i="14"/>
  <c r="A48" i="14" s="1"/>
  <c r="A47" i="14"/>
  <c r="E47" i="14" l="1"/>
  <c r="D47" i="14"/>
  <c r="D48" i="14"/>
  <c r="E48" i="14"/>
  <c r="P2" i="15"/>
  <c r="R2" i="15" s="1"/>
  <c r="I2" i="15"/>
  <c r="J2" i="15" s="1"/>
  <c r="N2" i="15"/>
  <c r="O2" i="1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<sst xmlns="http://schemas.openxmlformats.org/spreadsheetml/2006/main" count="739" uniqueCount="302">
  <si>
    <t>TREV 2 Parameters</t>
  </si>
  <si>
    <t>Car Parameters</t>
  </si>
  <si>
    <t>Alignment + Tuning Parameters</t>
  </si>
  <si>
    <t>Total Weight (lb)</t>
  </si>
  <si>
    <t>&lt;- input to MATLAB</t>
  </si>
  <si>
    <t>K_s F (lb/in)</t>
  </si>
  <si>
    <t>Preload Length (in)</t>
  </si>
  <si>
    <t>Front %</t>
  </si>
  <si>
    <t>K_s R (lb/in)</t>
  </si>
  <si>
    <t>Wheelbase (in)</t>
  </si>
  <si>
    <t>K_ARB F (lb/in)</t>
  </si>
  <si>
    <t>Front K_ARB Range</t>
  </si>
  <si>
    <t>0-1000</t>
  </si>
  <si>
    <t>lb/in</t>
  </si>
  <si>
    <t>Maximum K_ARB F</t>
  </si>
  <si>
    <t>Front Track Width (in)</t>
  </si>
  <si>
    <t>K_ARB R (lb/in)</t>
  </si>
  <si>
    <t>Rear K_ARB Range</t>
  </si>
  <si>
    <t>Maximum K_ARB R</t>
  </si>
  <si>
    <t>Rear Track Width (in)</t>
  </si>
  <si>
    <t>MRs F</t>
  </si>
  <si>
    <t>CoG Height (in)</t>
  </si>
  <si>
    <t>MRs R</t>
  </si>
  <si>
    <t>Front Axle h (in)</t>
  </si>
  <si>
    <t>MR_ARB F</t>
  </si>
  <si>
    <t>Rear Axle h (in)</t>
  </si>
  <si>
    <t>MR_ARB R</t>
  </si>
  <si>
    <t>Tire Radius (in)</t>
  </si>
  <si>
    <t>DampC_LowF ((lb*s)/in)</t>
  </si>
  <si>
    <t>Roll Axis F (in)</t>
  </si>
  <si>
    <t>DampC_LowR ((lb*s)/in)</t>
  </si>
  <si>
    <t>Roll Axis R (in)</t>
  </si>
  <si>
    <t>DampC_HighF ((lb*s)/in)</t>
  </si>
  <si>
    <t>Rear %</t>
  </si>
  <si>
    <t>&lt;- calculated</t>
  </si>
  <si>
    <t>DampC_HighR ((lb*s)/in)</t>
  </si>
  <si>
    <t>Front Axle to CoG (in)</t>
  </si>
  <si>
    <t>Ackermann (-1 = Anti, 1 = Ack)</t>
  </si>
  <si>
    <t>CoG to Rear Axle (in)</t>
  </si>
  <si>
    <t>Front Toe (deg)</t>
  </si>
  <si>
    <t>Front Corner Static Weight (lb)</t>
  </si>
  <si>
    <t>Rear Toe (deg)</t>
  </si>
  <si>
    <t>Rear Corner Static Weight (lb)</t>
  </si>
  <si>
    <t>Front Camber (deg)</t>
  </si>
  <si>
    <t>CoG_h -&gt; Zr_F (in)</t>
  </si>
  <si>
    <t>Rear Camber (deg)</t>
  </si>
  <si>
    <t>CoG_h -&gt; Zr_R (in)</t>
  </si>
  <si>
    <t>Front Tire Pressure (psi)</t>
  </si>
  <si>
    <t>CoG_h -&gt; Roll Axis (in)</t>
  </si>
  <si>
    <t>Rear Tire Pressure (psi)</t>
  </si>
  <si>
    <t>Aero Parameters</t>
  </si>
  <si>
    <t>Brake Parameters</t>
  </si>
  <si>
    <t>Coefficient of Lift</t>
  </si>
  <si>
    <t>Front Area of Brake Pad (in^2)</t>
  </si>
  <si>
    <t>Coefficient of Drag</t>
  </si>
  <si>
    <t>Front Piston Diameter (in)</t>
  </si>
  <si>
    <t>Frontal Area (in^2)</t>
  </si>
  <si>
    <t>Front Pad CoF</t>
  </si>
  <si>
    <t>Air Density (lb/in^3)</t>
  </si>
  <si>
    <t>Front # of Pistons</t>
  </si>
  <si>
    <t>Front Aero Percent</t>
  </si>
  <si>
    <t>Front Master Cylinder Bore (in)</t>
  </si>
  <si>
    <t>Rear Aero Percent</t>
  </si>
  <si>
    <t>Front Rotor Diameter (in)</t>
  </si>
  <si>
    <t>Rear Area of Brake Pad (in^2)</t>
  </si>
  <si>
    <t>Powertrain  Parameters</t>
  </si>
  <si>
    <t>Rear Piston Diameter (in)</t>
  </si>
  <si>
    <t>Final Drive Gear Ratio</t>
  </si>
  <si>
    <t>Rear Pad CoF</t>
  </si>
  <si>
    <t>Rear # of Pistons</t>
  </si>
  <si>
    <t>Rear Master Cylinder Bore (in)</t>
  </si>
  <si>
    <t>Rear Rotor Diameter (in)</t>
  </si>
  <si>
    <t>Brake Pedal Ratio</t>
  </si>
  <si>
    <t>Brake Bias</t>
  </si>
  <si>
    <t>Front Piston Area (in^2)</t>
  </si>
  <si>
    <t>Front Master Cylinder Area (in^2)</t>
  </si>
  <si>
    <t>Rear Piston Area (in^2)</t>
  </si>
  <si>
    <t>Rear Master Cylinder Area (in^2)</t>
  </si>
  <si>
    <t>Fy Plots</t>
  </si>
  <si>
    <t>Run 4,5</t>
  </si>
  <si>
    <t>Run 6</t>
  </si>
  <si>
    <t>Run 8</t>
  </si>
  <si>
    <t>Run 9</t>
  </si>
  <si>
    <r>
      <t>Pyrometer Readings</t>
    </r>
    <r>
      <rPr>
        <sz val="12"/>
        <rFont val="Calibri"/>
        <family val="2"/>
      </rPr>
      <t> </t>
    </r>
  </si>
  <si>
    <r>
      <t> </t>
    </r>
    <r>
      <rPr>
        <sz val="10"/>
        <rFont val="Arial"/>
        <family val="2"/>
      </rPr>
      <t> </t>
    </r>
  </si>
  <si>
    <r>
      <t>Temp. (F)</t>
    </r>
    <r>
      <rPr>
        <sz val="10"/>
        <rFont val="Arial"/>
        <family val="2"/>
      </rPr>
      <t> </t>
    </r>
  </si>
  <si>
    <r>
      <t>Run #</t>
    </r>
    <r>
      <rPr>
        <sz val="10"/>
        <rFont val="Arial"/>
        <family val="2"/>
      </rPr>
      <t> </t>
    </r>
  </si>
  <si>
    <r>
      <t>Tire #</t>
    </r>
    <r>
      <rPr>
        <sz val="10"/>
        <rFont val="Arial"/>
        <family val="2"/>
      </rPr>
      <t> </t>
    </r>
  </si>
  <si>
    <r>
      <t>Outboard </t>
    </r>
    <r>
      <rPr>
        <sz val="10"/>
        <rFont val="Arial"/>
        <family val="2"/>
      </rPr>
      <t> </t>
    </r>
  </si>
  <si>
    <r>
      <t>Center</t>
    </r>
    <r>
      <rPr>
        <sz val="10"/>
        <rFont val="Arial"/>
        <family val="2"/>
      </rPr>
      <t> </t>
    </r>
  </si>
  <si>
    <r>
      <t>Inboard</t>
    </r>
    <r>
      <rPr>
        <sz val="10"/>
        <rFont val="Arial"/>
        <family val="2"/>
      </rPr>
      <t> </t>
    </r>
  </si>
  <si>
    <t>Credits:</t>
  </si>
  <si>
    <t>Cpt. Hamilton</t>
  </si>
  <si>
    <t>Front Suspension Points</t>
  </si>
  <si>
    <t>x (mm)</t>
  </si>
  <si>
    <t>y (mm)</t>
  </si>
  <si>
    <t>z (mm)</t>
  </si>
  <si>
    <t>x (in)</t>
  </si>
  <si>
    <t>y (in)</t>
  </si>
  <si>
    <t>z (in)</t>
  </si>
  <si>
    <t>Point 1: Lower wishbone front pivot</t>
  </si>
  <si>
    <t>Point 2: Lower wishbone rear pivot</t>
  </si>
  <si>
    <t>Point 3: Lower wishbone outer ball joint</t>
  </si>
  <si>
    <t>Point 5: Upper wishbone front pivot</t>
  </si>
  <si>
    <t>Point 6: Upper wishbone rear pivot</t>
  </si>
  <si>
    <t>Point 7: Upper wishbone outer ball joint</t>
  </si>
  <si>
    <t>Point 8: Push rod wishbone end</t>
  </si>
  <si>
    <t>Point 9: Push rod rocker end</t>
  </si>
  <si>
    <t>Point 11: Outer track rod ball joint</t>
  </si>
  <si>
    <t>Point 12: Inner track rod ball joint</t>
  </si>
  <si>
    <t>Point 16: Damper to body point</t>
  </si>
  <si>
    <t>Point 17: Damper to rocker point</t>
  </si>
  <si>
    <t>Point 18: Wheel spindle point</t>
  </si>
  <si>
    <t>Point 19: Wheel centre point</t>
  </si>
  <si>
    <t>Point 20: Rocker axis 1st point</t>
  </si>
  <si>
    <t>Point 21: Rocker axis 2nd point</t>
  </si>
  <si>
    <t>Point 99: Tyre Contact Patch, x,y,z (mm)</t>
  </si>
  <si>
    <t>Rear Suspension Points</t>
  </si>
  <si>
    <t>*from Shark (right side of vehicle)</t>
  </si>
  <si>
    <t>BUMP</t>
  </si>
  <si>
    <t>ROLL</t>
  </si>
  <si>
    <t>STEER</t>
  </si>
  <si>
    <t>Camber</t>
  </si>
  <si>
    <t>Toe</t>
  </si>
  <si>
    <t>Limits</t>
  </si>
  <si>
    <t>Motor Speed (RPM)</t>
  </si>
  <si>
    <t>Peak Torque (Nm)</t>
  </si>
  <si>
    <t>Continuous Torque (Nm)</t>
  </si>
  <si>
    <t>Peak Power (kW)</t>
  </si>
  <si>
    <t>Continuous Power (kW)</t>
  </si>
  <si>
    <t>Peak Torque (lb*in)</t>
  </si>
  <si>
    <t>Continuous Torque (lb*in)</t>
  </si>
  <si>
    <t>Peak Power (Hp)</t>
  </si>
  <si>
    <t>Continuous Power (Hp)</t>
  </si>
  <si>
    <t>Car Velocity (mph)</t>
  </si>
  <si>
    <t>a_x due to peak torque (g's)</t>
  </si>
  <si>
    <t>a_x due to continuous torque (g's)</t>
  </si>
  <si>
    <t>a_x due to peak power (g's)</t>
  </si>
  <si>
    <t>a_x due to continuous power (g's)</t>
  </si>
  <si>
    <t>*not needed for analysis</t>
  </si>
  <si>
    <t>Test Transmission Gear Ratio</t>
  </si>
  <si>
    <t>- Dave</t>
  </si>
  <si>
    <t>*2-3% rolling losses</t>
  </si>
  <si>
    <t>-&gt; fish scale</t>
  </si>
  <si>
    <t>hill grade</t>
  </si>
  <si>
    <t>driveline losses</t>
  </si>
  <si>
    <t>force of drag for effective g's</t>
  </si>
  <si>
    <t>^ add tractive limit for good analysis</t>
  </si>
  <si>
    <t>TTX25 Data - Dampers</t>
  </si>
  <si>
    <t>0-4.3, 0-4.3</t>
  </si>
  <si>
    <t>2-4.3, 2-4.3</t>
  </si>
  <si>
    <t>4-4.3, 4-4.3</t>
  </si>
  <si>
    <t>6-4.3, 6-4.3</t>
  </si>
  <si>
    <t>10-4.3, 10-4.3</t>
  </si>
  <si>
    <t>15-4.3, 15-4.3</t>
  </si>
  <si>
    <t>25-4.3, 25-4.3</t>
  </si>
  <si>
    <t>*LSC-HSC, LSR-HSR</t>
  </si>
  <si>
    <t>TTX25 Data - Springs</t>
  </si>
  <si>
    <t>Setting C11/R11</t>
  </si>
  <si>
    <t>Low</t>
  </si>
  <si>
    <t>Note: low speed clicks from fully closed (clockwise)</t>
  </si>
  <si>
    <t>N/mm</t>
  </si>
  <si>
    <t>Note: high speed clicks from fully open (counter clockwise)</t>
  </si>
  <si>
    <t>High</t>
  </si>
  <si>
    <t>0-3, 0-3</t>
  </si>
  <si>
    <t>0-2, 0-2</t>
  </si>
  <si>
    <t>0-1, 0-1</t>
  </si>
  <si>
    <t>0-0, 0-0</t>
  </si>
  <si>
    <t>Setting C12/R12</t>
  </si>
  <si>
    <t>Setting C13/R13</t>
  </si>
  <si>
    <t>Setting C21/R21</t>
  </si>
  <si>
    <t>Setting C22/R22</t>
  </si>
  <si>
    <t>Setting C23/R23</t>
  </si>
  <si>
    <t>*data in (lb-s/in)</t>
  </si>
  <si>
    <t>Load Cases (FSAE Coordinates)</t>
  </si>
  <si>
    <t xml:space="preserve">0g Static </t>
  </si>
  <si>
    <t>FL</t>
  </si>
  <si>
    <t>FR</t>
  </si>
  <si>
    <t xml:space="preserve">Cone Strike (5g Static) </t>
  </si>
  <si>
    <t>F_x</t>
  </si>
  <si>
    <t>F_y</t>
  </si>
  <si>
    <t>F_z</t>
  </si>
  <si>
    <t>RL</t>
  </si>
  <si>
    <t>RR</t>
  </si>
  <si>
    <t>*starting from 0 mph</t>
  </si>
  <si>
    <t>*maximum velocity analysis</t>
  </si>
  <si>
    <t>Tilt Test (1.7g C)</t>
  </si>
  <si>
    <t>Tire</t>
  </si>
  <si>
    <t>Component</t>
  </si>
  <si>
    <t>0g Static</t>
  </si>
  <si>
    <t>Max Acceleration @ Tire Limits</t>
  </si>
  <si>
    <t>Max Deceleration @ Tire Limits</t>
  </si>
  <si>
    <t>Max Cornering @ Tire Limits</t>
  </si>
  <si>
    <t>Maximum Compression</t>
  </si>
  <si>
    <t>Maximum Tension</t>
  </si>
  <si>
    <t>(lbs)</t>
  </si>
  <si>
    <t>Front Left (FL)</t>
  </si>
  <si>
    <t>Longitudinal</t>
  </si>
  <si>
    <t>---</t>
  </si>
  <si>
    <t>Lateral</t>
  </si>
  <si>
    <t>Vertical</t>
  </si>
  <si>
    <t>Steering Rod</t>
  </si>
  <si>
    <t>LAA Fore</t>
  </si>
  <si>
    <t>LAA Aft</t>
  </si>
  <si>
    <t>UAA Fore</t>
  </si>
  <si>
    <t>UAA Aft</t>
  </si>
  <si>
    <t>PR</t>
  </si>
  <si>
    <t xml:space="preserve"> Front Right (FR)</t>
  </si>
  <si>
    <t>Rear Left (RL)</t>
  </si>
  <si>
    <t>Tie Rod</t>
  </si>
  <si>
    <t>Rear Right (RR)</t>
  </si>
  <si>
    <t>*Forces are in matrix coordinates</t>
  </si>
  <si>
    <t>Front</t>
  </si>
  <si>
    <t>Rear</t>
  </si>
  <si>
    <t>Maximum Compression (lbs)</t>
  </si>
  <si>
    <t>Maximum Tension (lbs)</t>
  </si>
  <si>
    <t>Length (in)</t>
  </si>
  <si>
    <t>Outside Diameter (in)</t>
  </si>
  <si>
    <t>Wall Thickness (in)</t>
  </si>
  <si>
    <t>Area (in^2)</t>
  </si>
  <si>
    <t>Volume (in^3)</t>
  </si>
  <si>
    <t>Weight (lbs)</t>
  </si>
  <si>
    <t>Moment of Inertia (in^4)</t>
  </si>
  <si>
    <t>(l/k)2</t>
  </si>
  <si>
    <t>(l/k)1</t>
  </si>
  <si>
    <t>(l/k)</t>
  </si>
  <si>
    <t>Int-Length Critical Buckling (lbs)</t>
  </si>
  <si>
    <t>Euler Critical Buckling (lbs)</t>
  </si>
  <si>
    <t>Critical Yield (lbs)</t>
  </si>
  <si>
    <t>Calculated FoS</t>
  </si>
  <si>
    <t>Fatigue Strength</t>
  </si>
  <si>
    <t>Situation</t>
  </si>
  <si>
    <t>Constant for Buckling</t>
  </si>
  <si>
    <t>Pin Pin</t>
  </si>
  <si>
    <t>Fixed Pin</t>
  </si>
  <si>
    <t>Givens</t>
  </si>
  <si>
    <t>Density</t>
  </si>
  <si>
    <t>lb/in^3</t>
  </si>
  <si>
    <t>Yield Strength</t>
  </si>
  <si>
    <t>psi</t>
  </si>
  <si>
    <t>E</t>
  </si>
  <si>
    <t>ksi</t>
  </si>
  <si>
    <t>*0.5*Sut</t>
  </si>
  <si>
    <t>? -----&gt;</t>
  </si>
  <si>
    <t>Clamping Force (lb)</t>
  </si>
  <si>
    <t>*for 1/4-20</t>
  </si>
  <si>
    <t>*reference: https://sabreindustrial.com/content/Tech%20PDFS/003%20Bolt%20Clamp%20Load%20Chart.pdf</t>
  </si>
  <si>
    <t>mu_static</t>
  </si>
  <si>
    <t>mu_kinetic</t>
  </si>
  <si>
    <t>Max Tension (lb)</t>
  </si>
  <si>
    <t>F_clamp</t>
  </si>
  <si>
    <t>Max Compression (lb)</t>
  </si>
  <si>
    <t>-&gt; requires input</t>
  </si>
  <si>
    <t>Max Cornering</t>
  </si>
  <si>
    <t>l1</t>
  </si>
  <si>
    <t>l2</t>
  </si>
  <si>
    <t>l3</t>
  </si>
  <si>
    <t>l4</t>
  </si>
  <si>
    <t>l5</t>
  </si>
  <si>
    <t>Rr</t>
  </si>
  <si>
    <t>*inches</t>
  </si>
  <si>
    <t>W_lat</t>
  </si>
  <si>
    <t>&lt;- F_lat</t>
  </si>
  <si>
    <t>W_vert</t>
  </si>
  <si>
    <t>F_outer</t>
  </si>
  <si>
    <t>F_inner</t>
  </si>
  <si>
    <t>Max Braking</t>
  </si>
  <si>
    <t>W_long</t>
  </si>
  <si>
    <t>V_outer</t>
  </si>
  <si>
    <t>H_outer</t>
  </si>
  <si>
    <t>V_inner</t>
  </si>
  <si>
    <t>H_inner</t>
  </si>
  <si>
    <t>F_brake</t>
  </si>
  <si>
    <t>V_brake</t>
  </si>
  <si>
    <t>H_brake</t>
  </si>
  <si>
    <t>Max Acceleration</t>
  </si>
  <si>
    <t>Bellcrank &amp; ARB Force Analysis</t>
  </si>
  <si>
    <t>Bump</t>
  </si>
  <si>
    <t>*Cone Strike</t>
  </si>
  <si>
    <t>Hyperco Spring Length (unloaded) (in)</t>
  </si>
  <si>
    <t>F_PR</t>
  </si>
  <si>
    <t>Static Spring Length (in)</t>
  </si>
  <si>
    <t>F_spring</t>
  </si>
  <si>
    <t>Total Suspension Travel (in)</t>
  </si>
  <si>
    <t>F_ARB</t>
  </si>
  <si>
    <t>*assumption: cases will cause full suspension travel</t>
  </si>
  <si>
    <t>Droop</t>
  </si>
  <si>
    <t>*Max Accel/Decel</t>
  </si>
  <si>
    <t>^ conservative estimate</t>
  </si>
  <si>
    <t>FRONT</t>
  </si>
  <si>
    <t>REAR</t>
  </si>
  <si>
    <t>c</t>
  </si>
  <si>
    <t>c1</t>
  </si>
  <si>
    <t>c2</t>
  </si>
  <si>
    <t>c3</t>
  </si>
  <si>
    <t>*MATLAB INPUT -&gt; (c) + (c1x) + (c2x^2) + (c3x^3)</t>
  </si>
  <si>
    <t>[-25.4-&gt;25.4] mm</t>
  </si>
  <si>
    <t>[-3-&gt;3] deg</t>
  </si>
  <si>
    <t>[-30-&gt;30] mm</t>
  </si>
  <si>
    <t>***(+) deg -&gt; RH Turn</t>
  </si>
  <si>
    <t>***(+) mm -&gt; Bump</t>
  </si>
  <si>
    <t>***(+) mm -&gt; LH Turn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</si>
</sst>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9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FFF00"/>
      <name val="Calibri"/>
      <family val="2"/>
      <scheme val="minor"/>
    </font>
    <font>
      <sz val="11"/>
      <color rgb="FF000000"/>
      <name val="Calibri"/>
      <family val="2"/>
      <scheme val="minor"/>
    </font>
    <font>
      <sz val="9"/>
      <color rgb="FF444444"/>
      <name val="Calibri"/>
      <family val="2"/>
      <scheme val="minor"/>
    </font>
    <font>
      <sz val="11"/>
      <color rgb="FFFFFF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rgb="FFFFFF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2"/>
      <name val="Calibri"/>
      <family val="2"/>
    </font>
    <font>
      <b/>
      <sz val="11"/>
      <color theme="7"/>
      <name val="Calibri"/>
      <family val="2"/>
      <scheme val="minor"/>
    </font>
    <font>
      <b/>
      <sz val="11"/>
      <color theme="5"/>
      <name val="Calibri"/>
      <family val="2"/>
      <scheme val="minor"/>
    </font>
    <font>
      <b/>
      <sz val="11"/>
      <color theme="9"/>
      <name val="Calibri"/>
      <family val="2"/>
      <scheme val="minor"/>
    </font>
    <font>
      <b/>
      <sz val="11"/>
      <color theme="8"/>
      <name val="Calibri"/>
      <family val="2"/>
      <scheme val="minor"/>
    </font>
    <font>
      <b/>
      <sz val="18"/>
      <color theme="1"/>
      <name val="Trebuchet MS"/>
      <family val="2"/>
    </font>
    <font>
      <b/>
      <sz val="12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sz val="11"/>
      <name val="Calibri"/>
      <family val="2"/>
    </font>
    <font>
      <sz val="16"/>
      <name val="Calibri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rgb="FFC00000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sz val="11"/>
      <color rgb="FF444444"/>
      <name val="Consolas"/>
      <family val="3"/>
    </font>
    <font>
      <b/>
      <sz val="11"/>
      <color theme="4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rgb="FF00B0F0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F8CBAD"/>
        <bgColor rgb="FF000000"/>
      </patternFill>
    </fill>
    <fill>
      <patternFill patternType="solid">
        <fgColor rgb="FF92D050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rgb="FF000000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7C80"/>
        <bgColor indexed="64"/>
      </patternFill>
    </fill>
  </fills>
  <borders count="58">
    <border>
      <left/>
      <right/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rgb="FF909090"/>
      </right>
      <top style="thin">
        <color rgb="FF000000"/>
      </top>
      <bottom style="medium">
        <color rgb="FF909090"/>
      </bottom>
      <diagonal/>
    </border>
    <border>
      <left style="medium">
        <color rgb="FF909090"/>
      </left>
      <right style="medium">
        <color rgb="FF909090"/>
      </right>
      <top style="thin">
        <color rgb="FF000000"/>
      </top>
      <bottom style="medium">
        <color rgb="FF909090"/>
      </bottom>
      <diagonal/>
    </border>
    <border>
      <left style="medium">
        <color rgb="FF909090"/>
      </left>
      <right style="thin">
        <color rgb="FF000000"/>
      </right>
      <top style="thin">
        <color rgb="FF000000"/>
      </top>
      <bottom style="medium">
        <color rgb="FF909090"/>
      </bottom>
      <diagonal/>
    </border>
    <border>
      <left style="thin">
        <color rgb="FF000000"/>
      </left>
      <right style="medium">
        <color rgb="FF909090"/>
      </right>
      <top style="medium">
        <color rgb="FF909090"/>
      </top>
      <bottom style="medium">
        <color rgb="FF909090"/>
      </bottom>
      <diagonal/>
    </border>
    <border>
      <left style="medium">
        <color rgb="FF909090"/>
      </left>
      <right style="medium">
        <color rgb="FF909090"/>
      </right>
      <top style="medium">
        <color rgb="FF909090"/>
      </top>
      <bottom style="medium">
        <color rgb="FF909090"/>
      </bottom>
      <diagonal/>
    </border>
    <border>
      <left style="medium">
        <color rgb="FF909090"/>
      </left>
      <right style="thin">
        <color rgb="FF000000"/>
      </right>
      <top style="medium">
        <color rgb="FF909090"/>
      </top>
      <bottom style="medium">
        <color rgb="FF909090"/>
      </bottom>
      <diagonal/>
    </border>
    <border>
      <left style="thin">
        <color rgb="FF000000"/>
      </left>
      <right style="medium">
        <color rgb="FF909090"/>
      </right>
      <top style="medium">
        <color rgb="FF909090"/>
      </top>
      <bottom style="thin">
        <color rgb="FF000000"/>
      </bottom>
      <diagonal/>
    </border>
    <border>
      <left style="medium">
        <color rgb="FF909090"/>
      </left>
      <right style="medium">
        <color rgb="FF909090"/>
      </right>
      <top style="medium">
        <color rgb="FF909090"/>
      </top>
      <bottom style="thin">
        <color rgb="FF000000"/>
      </bottom>
      <diagonal/>
    </border>
    <border>
      <left style="medium">
        <color rgb="FF909090"/>
      </left>
      <right style="thin">
        <color rgb="FF000000"/>
      </right>
      <top style="medium">
        <color rgb="FF90909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23" fillId="0" borderId="0"/>
  </cellStyleXfs>
  <cellXfs count="191">
    <xf numFmtId="0" fontId="0" fillId="0" borderId="0" xfId="0"/>
    <xf numFmtId="0" fontId="3" fillId="3" borderId="2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3" fillId="0" borderId="0" xfId="0" applyFont="1"/>
    <xf numFmtId="0" fontId="2" fillId="2" borderId="10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3" borderId="4" xfId="0" quotePrefix="1" applyFont="1" applyFill="1" applyBorder="1" applyAlignment="1">
      <alignment horizontal="center" vertical="center" wrapText="1"/>
    </xf>
    <xf numFmtId="0" fontId="3" fillId="3" borderId="6" xfId="0" quotePrefix="1" applyFont="1" applyFill="1" applyBorder="1" applyAlignment="1">
      <alignment horizontal="center" vertical="center" wrapText="1"/>
    </xf>
    <xf numFmtId="0" fontId="3" fillId="3" borderId="9" xfId="0" applyFont="1" applyFill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/>
    </xf>
    <xf numFmtId="0" fontId="3" fillId="3" borderId="20" xfId="0" applyFont="1" applyFill="1" applyBorder="1" applyAlignment="1">
      <alignment horizontal="center" vertical="center" wrapText="1"/>
    </xf>
    <xf numFmtId="0" fontId="3" fillId="3" borderId="21" xfId="0" applyFont="1" applyFill="1" applyBorder="1" applyAlignment="1">
      <alignment horizontal="center" vertical="center" wrapText="1"/>
    </xf>
    <xf numFmtId="0" fontId="3" fillId="0" borderId="21" xfId="0" applyFont="1" applyBorder="1" applyAlignment="1">
      <alignment horizontal="center" vertical="center" wrapText="1"/>
    </xf>
    <xf numFmtId="0" fontId="3" fillId="0" borderId="22" xfId="0" applyFont="1" applyBorder="1" applyAlignment="1">
      <alignment horizontal="center" vertical="center" wrapText="1"/>
    </xf>
    <xf numFmtId="0" fontId="3" fillId="3" borderId="23" xfId="0" applyFont="1" applyFill="1" applyBorder="1" applyAlignment="1">
      <alignment horizontal="center" vertical="center" wrapText="1"/>
    </xf>
    <xf numFmtId="0" fontId="3" fillId="4" borderId="2" xfId="0" applyFont="1" applyFill="1" applyBorder="1" applyAlignment="1">
      <alignment horizontal="center" vertical="center" wrapText="1"/>
    </xf>
    <xf numFmtId="0" fontId="3" fillId="4" borderId="4" xfId="0" applyFont="1" applyFill="1" applyBorder="1" applyAlignment="1">
      <alignment horizontal="center" vertical="center" wrapText="1"/>
    </xf>
    <xf numFmtId="0" fontId="3" fillId="4" borderId="14" xfId="0" applyFont="1" applyFill="1" applyBorder="1" applyAlignment="1">
      <alignment horizontal="center" vertical="center" wrapText="1"/>
    </xf>
    <xf numFmtId="0" fontId="3" fillId="4" borderId="6" xfId="0" applyFont="1" applyFill="1" applyBorder="1" applyAlignment="1">
      <alignment horizontal="center" vertical="center" wrapText="1"/>
    </xf>
    <xf numFmtId="0" fontId="3" fillId="4" borderId="15" xfId="0" applyFont="1" applyFill="1" applyBorder="1" applyAlignment="1">
      <alignment horizontal="center" vertical="center" wrapText="1"/>
    </xf>
    <xf numFmtId="0" fontId="3" fillId="4" borderId="9" xfId="0" applyFont="1" applyFill="1" applyBorder="1" applyAlignment="1">
      <alignment horizontal="center" vertical="center" wrapText="1"/>
    </xf>
    <xf numFmtId="0" fontId="3" fillId="4" borderId="8" xfId="0" applyFont="1" applyFill="1" applyBorder="1" applyAlignment="1">
      <alignment horizontal="center" vertical="center" wrapText="1"/>
    </xf>
    <xf numFmtId="0" fontId="4" fillId="0" borderId="0" xfId="0" applyFont="1"/>
    <xf numFmtId="0" fontId="4" fillId="0" borderId="4" xfId="0" applyFont="1" applyBorder="1"/>
    <xf numFmtId="0" fontId="2" fillId="2" borderId="1" xfId="0" applyFont="1" applyFill="1" applyBorder="1" applyAlignment="1">
      <alignment horizontal="center" vertical="center" wrapText="1"/>
    </xf>
    <xf numFmtId="0" fontId="3" fillId="5" borderId="2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1" fillId="6" borderId="2" xfId="0" applyFont="1" applyFill="1" applyBorder="1" applyAlignment="1">
      <alignment horizontal="center" vertical="center" wrapText="1"/>
    </xf>
    <xf numFmtId="0" fontId="3" fillId="4" borderId="3" xfId="0" applyFont="1" applyFill="1" applyBorder="1" applyAlignment="1">
      <alignment horizontal="center" vertical="center" wrapText="1"/>
    </xf>
    <xf numFmtId="0" fontId="3" fillId="0" borderId="27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8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 wrapText="1"/>
    </xf>
    <xf numFmtId="0" fontId="3" fillId="4" borderId="7" xfId="0" applyFont="1" applyFill="1" applyBorder="1" applyAlignment="1">
      <alignment horizontal="center" vertical="center" wrapText="1"/>
    </xf>
    <xf numFmtId="0" fontId="5" fillId="7" borderId="0" xfId="0" applyFont="1" applyFill="1"/>
    <xf numFmtId="0" fontId="4" fillId="0" borderId="2" xfId="0" applyFont="1" applyBorder="1"/>
    <xf numFmtId="0" fontId="3" fillId="0" borderId="30" xfId="0" applyFont="1" applyBorder="1" applyAlignment="1">
      <alignment horizontal="center" vertical="center" wrapText="1"/>
    </xf>
    <xf numFmtId="0" fontId="3" fillId="0" borderId="31" xfId="0" applyFont="1" applyBorder="1" applyAlignment="1">
      <alignment horizontal="center" vertical="center" wrapText="1"/>
    </xf>
    <xf numFmtId="0" fontId="3" fillId="0" borderId="28" xfId="0" applyFont="1" applyBorder="1" applyAlignment="1">
      <alignment horizontal="center" vertical="center" wrapText="1"/>
    </xf>
    <xf numFmtId="0" fontId="6" fillId="0" borderId="0" xfId="0" applyFont="1"/>
    <xf numFmtId="0" fontId="0" fillId="8" borderId="0" xfId="0" applyFill="1"/>
    <xf numFmtId="11" fontId="0" fillId="0" borderId="0" xfId="0" applyNumberFormat="1"/>
    <xf numFmtId="0" fontId="2" fillId="2" borderId="32" xfId="0" applyFont="1" applyFill="1" applyBorder="1" applyAlignment="1">
      <alignment horizontal="center" vertical="center" wrapText="1"/>
    </xf>
    <xf numFmtId="0" fontId="2" fillId="2" borderId="17" xfId="0" applyFont="1" applyFill="1" applyBorder="1" applyAlignment="1">
      <alignment horizontal="center" vertical="center" wrapText="1"/>
    </xf>
    <xf numFmtId="0" fontId="0" fillId="0" borderId="18" xfId="0" applyBorder="1"/>
    <xf numFmtId="0" fontId="0" fillId="0" borderId="33" xfId="0" applyBorder="1"/>
    <xf numFmtId="0" fontId="0" fillId="0" borderId="34" xfId="0" applyBorder="1"/>
    <xf numFmtId="0" fontId="0" fillId="0" borderId="19" xfId="0" applyBorder="1"/>
    <xf numFmtId="0" fontId="0" fillId="0" borderId="35" xfId="0" applyBorder="1"/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6" fillId="9" borderId="37" xfId="0" applyFont="1" applyFill="1" applyBorder="1"/>
    <xf numFmtId="0" fontId="0" fillId="9" borderId="38" xfId="0" applyFill="1" applyBorder="1"/>
    <xf numFmtId="0" fontId="6" fillId="9" borderId="39" xfId="0" applyFont="1" applyFill="1" applyBorder="1"/>
    <xf numFmtId="0" fontId="0" fillId="0" borderId="40" xfId="0" applyBorder="1"/>
    <xf numFmtId="0" fontId="0" fillId="0" borderId="41" xfId="0" applyBorder="1"/>
    <xf numFmtId="0" fontId="0" fillId="10" borderId="40" xfId="0" applyFill="1" applyBorder="1"/>
    <xf numFmtId="0" fontId="0" fillId="10" borderId="0" xfId="0" applyFill="1"/>
    <xf numFmtId="0" fontId="0" fillId="10" borderId="33" xfId="0" applyFill="1" applyBorder="1"/>
    <xf numFmtId="0" fontId="0" fillId="10" borderId="41" xfId="0" applyFill="1" applyBorder="1"/>
    <xf numFmtId="0" fontId="6" fillId="11" borderId="40" xfId="0" applyFont="1" applyFill="1" applyBorder="1"/>
    <xf numFmtId="0" fontId="0" fillId="11" borderId="0" xfId="0" applyFill="1"/>
    <xf numFmtId="0" fontId="6" fillId="11" borderId="33" xfId="0" applyFont="1" applyFill="1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8" xfId="0" applyBorder="1"/>
    <xf numFmtId="0" fontId="5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8" fillId="0" borderId="0" xfId="0" applyFont="1" applyAlignment="1">
      <alignment vertical="center" wrapText="1"/>
    </xf>
    <xf numFmtId="0" fontId="0" fillId="9" borderId="30" xfId="0" applyFill="1" applyBorder="1"/>
    <xf numFmtId="0" fontId="3" fillId="3" borderId="6" xfId="0" applyFont="1" applyFill="1" applyBorder="1" applyAlignment="1">
      <alignment horizontal="center" vertical="center" wrapText="1"/>
    </xf>
    <xf numFmtId="0" fontId="4" fillId="0" borderId="14" xfId="0" applyFont="1" applyBorder="1"/>
    <xf numFmtId="0" fontId="3" fillId="3" borderId="3" xfId="0" quotePrefix="1" applyFont="1" applyFill="1" applyBorder="1" applyAlignment="1">
      <alignment horizontal="center" vertical="center" wrapText="1"/>
    </xf>
    <xf numFmtId="0" fontId="3" fillId="3" borderId="5" xfId="0" quotePrefix="1" applyFont="1" applyFill="1" applyBorder="1" applyAlignment="1">
      <alignment horizontal="center" vertical="center" wrapText="1"/>
    </xf>
    <xf numFmtId="0" fontId="4" fillId="0" borderId="5" xfId="0" applyFont="1" applyBorder="1"/>
    <xf numFmtId="0" fontId="4" fillId="0" borderId="24" xfId="0" applyFont="1" applyBorder="1"/>
    <xf numFmtId="0" fontId="3" fillId="3" borderId="7" xfId="0" quotePrefix="1" applyFont="1" applyFill="1" applyBorder="1" applyAlignment="1">
      <alignment horizontal="center" vertical="center" wrapText="1"/>
    </xf>
    <xf numFmtId="0" fontId="2" fillId="13" borderId="12" xfId="0" applyFont="1" applyFill="1" applyBorder="1" applyAlignment="1">
      <alignment horizontal="center" vertical="center" wrapText="1"/>
    </xf>
    <xf numFmtId="0" fontId="2" fillId="13" borderId="13" xfId="0" applyFont="1" applyFill="1" applyBorder="1" applyAlignment="1">
      <alignment horizontal="center" vertical="center" wrapText="1"/>
    </xf>
    <xf numFmtId="0" fontId="3" fillId="3" borderId="45" xfId="0" applyFont="1" applyFill="1" applyBorder="1" applyAlignment="1">
      <alignment horizontal="center" vertical="center" wrapText="1"/>
    </xf>
    <xf numFmtId="0" fontId="3" fillId="3" borderId="46" xfId="0" applyFont="1" applyFill="1" applyBorder="1" applyAlignment="1">
      <alignment horizontal="center" vertical="center" wrapText="1"/>
    </xf>
    <xf numFmtId="0" fontId="3" fillId="3" borderId="27" xfId="0" applyFont="1" applyFill="1" applyBorder="1" applyAlignment="1">
      <alignment horizontal="center" vertical="center" wrapText="1"/>
    </xf>
    <xf numFmtId="0" fontId="3" fillId="4" borderId="28" xfId="0" applyFont="1" applyFill="1" applyBorder="1" applyAlignment="1">
      <alignment horizontal="center" vertical="center" wrapText="1"/>
    </xf>
    <xf numFmtId="0" fontId="1" fillId="6" borderId="47" xfId="0" applyFont="1" applyFill="1" applyBorder="1" applyAlignment="1">
      <alignment horizontal="center" vertical="center" wrapText="1"/>
    </xf>
    <xf numFmtId="0" fontId="3" fillId="0" borderId="47" xfId="0" applyFont="1" applyBorder="1" applyAlignment="1">
      <alignment horizontal="center" vertical="center" wrapText="1"/>
    </xf>
    <xf numFmtId="0" fontId="4" fillId="0" borderId="47" xfId="0" applyFont="1" applyBorder="1"/>
    <xf numFmtId="0" fontId="4" fillId="0" borderId="34" xfId="0" applyFont="1" applyBorder="1"/>
    <xf numFmtId="0" fontId="3" fillId="4" borderId="24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vertical="center" wrapText="1"/>
    </xf>
    <xf numFmtId="0" fontId="4" fillId="0" borderId="6" xfId="0" applyFont="1" applyBorder="1"/>
    <xf numFmtId="0" fontId="9" fillId="0" borderId="0" xfId="0" applyFont="1"/>
    <xf numFmtId="0" fontId="3" fillId="0" borderId="0" xfId="0" applyFont="1" applyAlignment="1">
      <alignment horizontal="center" vertical="center"/>
    </xf>
    <xf numFmtId="0" fontId="10" fillId="2" borderId="36" xfId="0" applyFont="1" applyFill="1" applyBorder="1" applyAlignment="1">
      <alignment horizontal="center" vertical="center" wrapText="1"/>
    </xf>
    <xf numFmtId="0" fontId="0" fillId="14" borderId="0" xfId="0" applyFill="1"/>
    <xf numFmtId="0" fontId="11" fillId="0" borderId="0" xfId="0" applyFont="1"/>
    <xf numFmtId="0" fontId="0" fillId="15" borderId="0" xfId="0" applyFill="1" applyAlignment="1">
      <alignment horizontal="center" vertical="center"/>
    </xf>
    <xf numFmtId="0" fontId="12" fillId="0" borderId="0" xfId="0" applyFont="1" applyAlignment="1">
      <alignment horizontal="left" vertical="center" wrapText="1"/>
    </xf>
    <xf numFmtId="0" fontId="0" fillId="9" borderId="0" xfId="0" applyFill="1" applyAlignment="1">
      <alignment horizontal="center" vertical="center"/>
    </xf>
    <xf numFmtId="0" fontId="0" fillId="0" borderId="0" xfId="0" quotePrefix="1"/>
    <xf numFmtId="0" fontId="14" fillId="0" borderId="0" xfId="0" applyFont="1"/>
    <xf numFmtId="0" fontId="0" fillId="16" borderId="0" xfId="0" applyFill="1"/>
    <xf numFmtId="0" fontId="15" fillId="0" borderId="0" xfId="0" applyFont="1"/>
    <xf numFmtId="0" fontId="0" fillId="17" borderId="0" xfId="0" applyFill="1"/>
    <xf numFmtId="0" fontId="16" fillId="0" borderId="0" xfId="0" applyFont="1"/>
    <xf numFmtId="0" fontId="0" fillId="18" borderId="0" xfId="0" applyFill="1"/>
    <xf numFmtId="0" fontId="17" fillId="0" borderId="0" xfId="0" applyFont="1"/>
    <xf numFmtId="0" fontId="13" fillId="0" borderId="0" xfId="0" applyFont="1"/>
    <xf numFmtId="0" fontId="18" fillId="0" borderId="0" xfId="0" applyFont="1" applyAlignment="1">
      <alignment horizontal="left" vertical="center"/>
    </xf>
    <xf numFmtId="0" fontId="19" fillId="0" borderId="48" xfId="0" applyFont="1" applyBorder="1" applyAlignment="1">
      <alignment horizontal="center" vertical="center" wrapText="1"/>
    </xf>
    <xf numFmtId="0" fontId="21" fillId="0" borderId="49" xfId="0" applyFont="1" applyBorder="1" applyAlignment="1">
      <alignment horizontal="left" vertical="center" wrapText="1"/>
    </xf>
    <xf numFmtId="0" fontId="19" fillId="0" borderId="49" xfId="0" applyFont="1" applyBorder="1" applyAlignment="1">
      <alignment horizontal="center" vertical="center" wrapText="1"/>
    </xf>
    <xf numFmtId="0" fontId="21" fillId="0" borderId="50" xfId="0" applyFont="1" applyBorder="1" applyAlignment="1">
      <alignment horizontal="left" vertical="center" wrapText="1"/>
    </xf>
    <xf numFmtId="0" fontId="19" fillId="0" borderId="51" xfId="0" applyFont="1" applyBorder="1" applyAlignment="1">
      <alignment horizontal="center" vertical="center" wrapText="1"/>
    </xf>
    <xf numFmtId="0" fontId="19" fillId="0" borderId="52" xfId="0" applyFont="1" applyBorder="1" applyAlignment="1">
      <alignment horizontal="center" vertical="center" wrapText="1"/>
    </xf>
    <xf numFmtId="0" fontId="19" fillId="0" borderId="53" xfId="0" applyFont="1" applyBorder="1" applyAlignment="1">
      <alignment horizontal="center" vertical="center" wrapText="1"/>
    </xf>
    <xf numFmtId="0" fontId="0" fillId="0" borderId="4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20" fillId="0" borderId="51" xfId="0" applyFont="1" applyBorder="1" applyAlignment="1">
      <alignment horizontal="center" vertical="center" wrapText="1"/>
    </xf>
    <xf numFmtId="0" fontId="20" fillId="0" borderId="52" xfId="0" applyFont="1" applyBorder="1" applyAlignment="1">
      <alignment horizontal="center" vertical="center" wrapText="1"/>
    </xf>
    <xf numFmtId="0" fontId="20" fillId="0" borderId="53" xfId="0" applyFont="1" applyBorder="1" applyAlignment="1">
      <alignment horizontal="center" vertical="center" wrapText="1"/>
    </xf>
    <xf numFmtId="0" fontId="20" fillId="0" borderId="54" xfId="0" applyFont="1" applyBorder="1" applyAlignment="1">
      <alignment horizontal="center" vertical="center" wrapText="1"/>
    </xf>
    <xf numFmtId="0" fontId="20" fillId="0" borderId="55" xfId="0" applyFont="1" applyBorder="1" applyAlignment="1">
      <alignment horizontal="center" vertical="center" wrapText="1"/>
    </xf>
    <xf numFmtId="0" fontId="20" fillId="0" borderId="56" xfId="0" applyFont="1" applyBorder="1" applyAlignment="1">
      <alignment horizontal="center" vertical="center" wrapText="1"/>
    </xf>
    <xf numFmtId="0" fontId="22" fillId="0" borderId="0" xfId="0" applyFont="1" applyAlignment="1">
      <alignment horizontal="left" vertical="center" wrapText="1"/>
    </xf>
    <xf numFmtId="0" fontId="24" fillId="0" borderId="0" xfId="1" applyFont="1" applyAlignment="1">
      <alignment horizontal="center" vertical="center" wrapText="1"/>
    </xf>
    <xf numFmtId="0" fontId="23" fillId="0" borderId="0" xfId="1" applyAlignment="1">
      <alignment horizontal="center"/>
    </xf>
    <xf numFmtId="0" fontId="0" fillId="0" borderId="0" xfId="0" applyAlignment="1">
      <alignment horizontal="center"/>
    </xf>
    <xf numFmtId="0" fontId="3" fillId="0" borderId="6" xfId="0" applyFont="1" applyBorder="1"/>
    <xf numFmtId="0" fontId="3" fillId="0" borderId="13" xfId="0" applyFont="1" applyBorder="1"/>
    <xf numFmtId="0" fontId="3" fillId="0" borderId="4" xfId="0" applyFont="1" applyBorder="1"/>
    <xf numFmtId="0" fontId="4" fillId="0" borderId="13" xfId="0" applyFont="1" applyBorder="1"/>
    <xf numFmtId="0" fontId="4" fillId="0" borderId="57" xfId="0" applyFont="1" applyBorder="1"/>
    <xf numFmtId="0" fontId="4" fillId="0" borderId="12" xfId="0" applyFont="1" applyBorder="1"/>
    <xf numFmtId="0" fontId="25" fillId="0" borderId="0" xfId="0" applyFont="1"/>
    <xf numFmtId="0" fontId="0" fillId="19" borderId="0" xfId="0" applyFill="1"/>
    <xf numFmtId="0" fontId="0" fillId="20" borderId="0" xfId="0" applyFill="1"/>
    <xf numFmtId="0" fontId="0" fillId="21" borderId="0" xfId="0" applyFill="1"/>
    <xf numFmtId="0" fontId="0" fillId="22" borderId="0" xfId="0" applyFill="1"/>
    <xf numFmtId="0" fontId="0" fillId="0" borderId="0" xfId="0" applyAlignment="1">
      <alignment horizontal="right"/>
    </xf>
    <xf numFmtId="0" fontId="26" fillId="23" borderId="0" xfId="0" applyFont="1" applyFill="1"/>
    <xf numFmtId="0" fontId="26" fillId="12" borderId="0" xfId="0" applyFont="1" applyFill="1"/>
    <xf numFmtId="0" fontId="0" fillId="9" borderId="0" xfId="0" applyFill="1"/>
    <xf numFmtId="0" fontId="0" fillId="24" borderId="0" xfId="0" applyFill="1"/>
    <xf numFmtId="0" fontId="0" fillId="11" borderId="0" xfId="0" applyFill="1" applyAlignment="1">
      <alignment horizontal="center"/>
    </xf>
    <xf numFmtId="0" fontId="2" fillId="2" borderId="47" xfId="0" applyFont="1" applyFill="1" applyBorder="1" applyAlignment="1">
      <alignment horizontal="center" vertical="center" wrapText="1"/>
    </xf>
    <xf numFmtId="0" fontId="27" fillId="0" borderId="0" xfId="0" applyFont="1"/>
    <xf numFmtId="11" fontId="0" fillId="0" borderId="41" xfId="0" applyNumberFormat="1" applyBorder="1"/>
    <xf numFmtId="0" fontId="7" fillId="0" borderId="0" xfId="0" applyFont="1" applyAlignment="1">
      <alignment horizontal="center"/>
    </xf>
    <xf numFmtId="0" fontId="28" fillId="0" borderId="0" xfId="0" applyFont="1" applyAlignment="1">
      <alignment horizontal="center"/>
    </xf>
    <xf numFmtId="0" fontId="0" fillId="14" borderId="0" xfId="0" applyFill="1" applyAlignment="1">
      <alignment horizontal="center"/>
    </xf>
    <xf numFmtId="0" fontId="2" fillId="12" borderId="4" xfId="0" applyFont="1" applyFill="1" applyBorder="1" applyAlignment="1">
      <alignment horizontal="center" vertical="center" wrapText="1"/>
    </xf>
    <xf numFmtId="0" fontId="8" fillId="12" borderId="4" xfId="0" applyFont="1" applyFill="1" applyBorder="1" applyAlignment="1">
      <alignment horizontal="center" vertical="center" wrapText="1"/>
    </xf>
    <xf numFmtId="0" fontId="2" fillId="9" borderId="4" xfId="0" applyFont="1" applyFill="1" applyBorder="1" applyAlignment="1">
      <alignment horizontal="center" vertical="center" wrapText="1"/>
    </xf>
    <xf numFmtId="0" fontId="8" fillId="9" borderId="4" xfId="0" applyFont="1" applyFill="1" applyBorder="1" applyAlignment="1">
      <alignment horizontal="center" vertical="center" wrapText="1"/>
    </xf>
    <xf numFmtId="0" fontId="2" fillId="11" borderId="17" xfId="0" applyFont="1" applyFill="1" applyBorder="1" applyAlignment="1">
      <alignment horizontal="center" vertical="center" wrapText="1"/>
    </xf>
    <xf numFmtId="0" fontId="2" fillId="11" borderId="18" xfId="0" applyFont="1" applyFill="1" applyBorder="1" applyAlignment="1">
      <alignment horizontal="center" vertical="center" wrapText="1"/>
    </xf>
    <xf numFmtId="0" fontId="2" fillId="11" borderId="19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2" fillId="9" borderId="17" xfId="0" applyFont="1" applyFill="1" applyBorder="1" applyAlignment="1">
      <alignment horizontal="center" vertical="center" wrapText="1"/>
    </xf>
    <xf numFmtId="0" fontId="5" fillId="9" borderId="18" xfId="0" applyFont="1" applyFill="1" applyBorder="1" applyAlignment="1">
      <alignment horizontal="center" vertical="center" wrapText="1"/>
    </xf>
    <xf numFmtId="0" fontId="5" fillId="9" borderId="19" xfId="0" applyFont="1" applyFill="1" applyBorder="1" applyAlignment="1">
      <alignment horizontal="center" vertical="center" wrapText="1"/>
    </xf>
    <xf numFmtId="0" fontId="2" fillId="9" borderId="18" xfId="0" applyFont="1" applyFill="1" applyBorder="1" applyAlignment="1">
      <alignment horizontal="center" vertical="center" wrapText="1"/>
    </xf>
    <xf numFmtId="0" fontId="3" fillId="0" borderId="25" xfId="0" applyFont="1" applyBorder="1" applyAlignment="1">
      <alignment horizontal="center" vertical="center"/>
    </xf>
    <xf numFmtId="0" fontId="3" fillId="0" borderId="26" xfId="0" applyFont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0" fontId="3" fillId="4" borderId="17" xfId="0" applyFont="1" applyFill="1" applyBorder="1" applyAlignment="1">
      <alignment horizontal="center" vertical="center" wrapText="1"/>
    </xf>
    <xf numFmtId="0" fontId="3" fillId="4" borderId="18" xfId="0" applyFont="1" applyFill="1" applyBorder="1" applyAlignment="1">
      <alignment horizontal="center" vertical="center" wrapText="1"/>
    </xf>
    <xf numFmtId="0" fontId="3" fillId="4" borderId="19" xfId="0" applyFont="1" applyFill="1" applyBorder="1" applyAlignment="1">
      <alignment horizontal="center" vertical="center" wrapText="1"/>
    </xf>
    <xf numFmtId="0" fontId="0" fillId="9" borderId="0" xfId="0" applyFill="1" applyAlignment="1">
      <alignment horizontal="center"/>
    </xf>
    <xf numFmtId="0" fontId="0" fillId="11" borderId="0" xfId="0" applyFill="1" applyAlignment="1">
      <alignment horizontal="center"/>
    </xf>
    <xf numFmtId="0" fontId="6" fillId="15" borderId="0" xfId="0" applyFont="1" applyFill="1"/>
    <xf numFmtId="0" fontId="0" fillId="15" borderId="0" xfId="0" applyFill="1"/>
    <xf numFmtId="0" fontId="6" fillId="17" borderId="0" xfId="0" applyFont="1" applyFill="1"/>
    <xf numFmtId="0" fontId="6" fillId="25" borderId="0" xfId="0" applyFont="1" applyFill="1"/>
    <xf numFmtId="0" fontId="0" fillId="25" borderId="0" xfId="0" applyFill="1"/>
  </cellXfs>
  <cellStyles count="2">
    <cellStyle name="Normal" xfId="0" builtinId="0"/>
    <cellStyle name="Normal 3" xfId="1" xr:uid="{553650D3-15FA-4C8D-9F15-6E5FE09735BB}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Torque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Peak Torque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Data'!$A$2:$A$16</c:f>
              <c:numCache>
                <c:formatCode>General</c:formatCode>
                <c:ptCount val="15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</c:numCache>
            </c:numRef>
          </c:xVal>
          <c:yVal>
            <c:numRef>
              <c:f>'Motor Data'!$B$2:$B$16</c:f>
              <c:numCache>
                <c:formatCode>General</c:formatCode>
                <c:ptCount val="15"/>
                <c:pt idx="0">
                  <c:v>140</c:v>
                </c:pt>
                <c:pt idx="1">
                  <c:v>150</c:v>
                </c:pt>
                <c:pt idx="2">
                  <c:v>150</c:v>
                </c:pt>
                <c:pt idx="3">
                  <c:v>150</c:v>
                </c:pt>
                <c:pt idx="4">
                  <c:v>150</c:v>
                </c:pt>
                <c:pt idx="5">
                  <c:v>150</c:v>
                </c:pt>
                <c:pt idx="6">
                  <c:v>150</c:v>
                </c:pt>
                <c:pt idx="7">
                  <c:v>150</c:v>
                </c:pt>
                <c:pt idx="8">
                  <c:v>150</c:v>
                </c:pt>
                <c:pt idx="9">
                  <c:v>150</c:v>
                </c:pt>
                <c:pt idx="10">
                  <c:v>150</c:v>
                </c:pt>
                <c:pt idx="11">
                  <c:v>150</c:v>
                </c:pt>
                <c:pt idx="12">
                  <c:v>135</c:v>
                </c:pt>
                <c:pt idx="13">
                  <c:v>120</c:v>
                </c:pt>
                <c:pt idx="14">
                  <c:v>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0E-42AE-9561-C4AC2CBCED8B}"/>
            </c:ext>
          </c:extLst>
        </c:ser>
        <c:ser>
          <c:idx val="1"/>
          <c:order val="1"/>
          <c:tx>
            <c:v>Continuous Torque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00B05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Data'!$A$2:$A$16</c:f>
              <c:numCache>
                <c:formatCode>General</c:formatCode>
                <c:ptCount val="15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</c:numCache>
            </c:numRef>
          </c:xVal>
          <c:yVal>
            <c:numRef>
              <c:f>'Motor Data'!$C$2:$C$16</c:f>
              <c:numCache>
                <c:formatCode>General</c:formatCode>
                <c:ptCount val="15"/>
                <c:pt idx="0">
                  <c:v>80</c:v>
                </c:pt>
                <c:pt idx="1">
                  <c:v>82</c:v>
                </c:pt>
                <c:pt idx="2">
                  <c:v>82</c:v>
                </c:pt>
                <c:pt idx="3">
                  <c:v>82</c:v>
                </c:pt>
                <c:pt idx="4">
                  <c:v>82</c:v>
                </c:pt>
                <c:pt idx="5">
                  <c:v>82</c:v>
                </c:pt>
                <c:pt idx="6">
                  <c:v>82</c:v>
                </c:pt>
                <c:pt idx="7">
                  <c:v>82</c:v>
                </c:pt>
                <c:pt idx="8">
                  <c:v>82</c:v>
                </c:pt>
                <c:pt idx="9">
                  <c:v>82</c:v>
                </c:pt>
                <c:pt idx="10">
                  <c:v>82</c:v>
                </c:pt>
                <c:pt idx="11">
                  <c:v>82</c:v>
                </c:pt>
                <c:pt idx="12">
                  <c:v>82</c:v>
                </c:pt>
                <c:pt idx="13">
                  <c:v>75</c:v>
                </c:pt>
                <c:pt idx="14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E0E-42AE-9561-C4AC2CBCED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7728"/>
        <c:axId val="561164048"/>
      </c:scatterChart>
      <c:valAx>
        <c:axId val="18697728"/>
        <c:scaling>
          <c:orientation val="minMax"/>
          <c:max val="7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Motor Speed (RPM)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164048"/>
        <c:crosses val="autoZero"/>
        <c:crossBetween val="midCat"/>
      </c:valAx>
      <c:valAx>
        <c:axId val="561164048"/>
        <c:scaling>
          <c:orientation val="minMax"/>
          <c:max val="17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Torque</a:t>
                </a:r>
                <a:r>
                  <a:rPr lang="en-US" baseline="0"/>
                  <a:t> (Nm)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7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Power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Peak Power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Data'!$A$2:$A$16</c:f>
              <c:numCache>
                <c:formatCode>General</c:formatCode>
                <c:ptCount val="15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</c:numCache>
            </c:numRef>
          </c:xVal>
          <c:yVal>
            <c:numRef>
              <c:f>'Motor Data'!$D$2:$D$16</c:f>
              <c:numCache>
                <c:formatCode>General</c:formatCode>
                <c:ptCount val="15"/>
                <c:pt idx="0">
                  <c:v>0</c:v>
                </c:pt>
                <c:pt idx="1">
                  <c:v>8</c:v>
                </c:pt>
                <c:pt idx="2">
                  <c:v>16</c:v>
                </c:pt>
                <c:pt idx="3">
                  <c:v>24</c:v>
                </c:pt>
                <c:pt idx="4">
                  <c:v>32</c:v>
                </c:pt>
                <c:pt idx="5">
                  <c:v>40</c:v>
                </c:pt>
                <c:pt idx="6">
                  <c:v>48</c:v>
                </c:pt>
                <c:pt idx="7">
                  <c:v>56</c:v>
                </c:pt>
                <c:pt idx="8">
                  <c:v>64</c:v>
                </c:pt>
                <c:pt idx="9">
                  <c:v>72</c:v>
                </c:pt>
                <c:pt idx="10">
                  <c:v>78</c:v>
                </c:pt>
                <c:pt idx="11">
                  <c:v>85</c:v>
                </c:pt>
                <c:pt idx="12">
                  <c:v>83</c:v>
                </c:pt>
                <c:pt idx="13">
                  <c:v>80</c:v>
                </c:pt>
                <c:pt idx="14">
                  <c:v>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FE-4620-9B5A-211E6A7B49C8}"/>
            </c:ext>
          </c:extLst>
        </c:ser>
        <c:ser>
          <c:idx val="1"/>
          <c:order val="1"/>
          <c:tx>
            <c:v>Continuous Power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00B05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Data'!$A$2:$A$16</c:f>
              <c:numCache>
                <c:formatCode>General</c:formatCode>
                <c:ptCount val="15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</c:numCache>
            </c:numRef>
          </c:xVal>
          <c:yVal>
            <c:numRef>
              <c:f>'Motor Data'!$E$2:$E$16</c:f>
              <c:numCache>
                <c:formatCode>General</c:formatCode>
                <c:ptCount val="15"/>
                <c:pt idx="0">
                  <c:v>0</c:v>
                </c:pt>
                <c:pt idx="1">
                  <c:v>4.5</c:v>
                </c:pt>
                <c:pt idx="2">
                  <c:v>9</c:v>
                </c:pt>
                <c:pt idx="3">
                  <c:v>13.5</c:v>
                </c:pt>
                <c:pt idx="4">
                  <c:v>18</c:v>
                </c:pt>
                <c:pt idx="5">
                  <c:v>22.5</c:v>
                </c:pt>
                <c:pt idx="6">
                  <c:v>27</c:v>
                </c:pt>
                <c:pt idx="7">
                  <c:v>31.5</c:v>
                </c:pt>
                <c:pt idx="8">
                  <c:v>36</c:v>
                </c:pt>
                <c:pt idx="9">
                  <c:v>40.5</c:v>
                </c:pt>
                <c:pt idx="10">
                  <c:v>45</c:v>
                </c:pt>
                <c:pt idx="11">
                  <c:v>48</c:v>
                </c:pt>
                <c:pt idx="12">
                  <c:v>52</c:v>
                </c:pt>
                <c:pt idx="13">
                  <c:v>51</c:v>
                </c:pt>
                <c:pt idx="14">
                  <c:v>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FFE-4620-9B5A-211E6A7B4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7728"/>
        <c:axId val="561164048"/>
      </c:scatterChart>
      <c:valAx>
        <c:axId val="18697728"/>
        <c:scaling>
          <c:orientation val="minMax"/>
          <c:max val="7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Motor Speed (RPM)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164048"/>
        <c:crosses val="autoZero"/>
        <c:crossBetween val="midCat"/>
      </c:valAx>
      <c:valAx>
        <c:axId val="561164048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Power</a:t>
                </a:r>
                <a:r>
                  <a:rPr lang="en-US" baseline="0"/>
                  <a:t> (kW)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7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Max Acceleration</a:t>
            </a:r>
            <a:r>
              <a:rPr lang="en-US" baseline="0"/>
              <a:t> Possible by Motor Given Vehicle Speed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'Motor Data'!$B$35</c:f>
              <c:strCache>
                <c:ptCount val="1"/>
                <c:pt idx="0">
                  <c:v>a_x due to peak torque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Data'!$A$36:$A$48</c:f>
              <c:numCache>
                <c:formatCode>General</c:formatCode>
                <c:ptCount val="13"/>
                <c:pt idx="0">
                  <c:v>0</c:v>
                </c:pt>
                <c:pt idx="1">
                  <c:v>6.1705830791548335</c:v>
                </c:pt>
                <c:pt idx="2">
                  <c:v>12.341166158309667</c:v>
                </c:pt>
                <c:pt idx="3">
                  <c:v>18.5117492374645</c:v>
                </c:pt>
                <c:pt idx="4">
                  <c:v>24.682332316619334</c:v>
                </c:pt>
                <c:pt idx="5">
                  <c:v>30.852915395774161</c:v>
                </c:pt>
                <c:pt idx="6">
                  <c:v>37.023498474928999</c:v>
                </c:pt>
                <c:pt idx="7">
                  <c:v>43.19408155408383</c:v>
                </c:pt>
                <c:pt idx="8">
                  <c:v>49.364664633238668</c:v>
                </c:pt>
                <c:pt idx="9">
                  <c:v>55.535247712393499</c:v>
                </c:pt>
                <c:pt idx="10">
                  <c:v>61.705830791548323</c:v>
                </c:pt>
                <c:pt idx="11">
                  <c:v>67.876413870703161</c:v>
                </c:pt>
                <c:pt idx="12">
                  <c:v>74.046996949857999</c:v>
                </c:pt>
              </c:numCache>
            </c:numRef>
          </c:xVal>
          <c:yVal>
            <c:numRef>
              <c:f>'Motor Data'!$B$36:$B$48</c:f>
              <c:numCache>
                <c:formatCode>General</c:formatCode>
                <c:ptCount val="13"/>
                <c:pt idx="0">
                  <c:v>0.9190816817538463</c:v>
                </c:pt>
                <c:pt idx="1">
                  <c:v>0.98473037330769242</c:v>
                </c:pt>
                <c:pt idx="2">
                  <c:v>0.98473037330769242</c:v>
                </c:pt>
                <c:pt idx="3">
                  <c:v>0.98473037330769242</c:v>
                </c:pt>
                <c:pt idx="4">
                  <c:v>0.98473037330769242</c:v>
                </c:pt>
                <c:pt idx="5">
                  <c:v>0.98473037330769242</c:v>
                </c:pt>
                <c:pt idx="6">
                  <c:v>0.98473037330769242</c:v>
                </c:pt>
                <c:pt idx="7">
                  <c:v>0.98473037330769242</c:v>
                </c:pt>
                <c:pt idx="8">
                  <c:v>0.98473037330769242</c:v>
                </c:pt>
                <c:pt idx="9">
                  <c:v>0.98473037330769242</c:v>
                </c:pt>
                <c:pt idx="10">
                  <c:v>0.98473037330769242</c:v>
                </c:pt>
                <c:pt idx="11">
                  <c:v>0.98473037330769242</c:v>
                </c:pt>
                <c:pt idx="12">
                  <c:v>0.88625733597692335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FF-4581-87E4-754833943634}"/>
            </c:ext>
          </c:extLst>
        </c:ser>
        <c:ser>
          <c:idx val="1"/>
          <c:order val="1"/>
          <c:tx>
            <c:strRef>
              <c:f>'Motor Data'!$C$35</c:f>
              <c:strCache>
                <c:ptCount val="1"/>
                <c:pt idx="0">
                  <c:v>a_x due to continuous torque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92D05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Data'!$A$36:$A$48</c:f>
              <c:numCache>
                <c:formatCode>General</c:formatCode>
                <c:ptCount val="13"/>
                <c:pt idx="0">
                  <c:v>0</c:v>
                </c:pt>
                <c:pt idx="1">
                  <c:v>6.1705830791548335</c:v>
                </c:pt>
                <c:pt idx="2">
                  <c:v>12.341166158309667</c:v>
                </c:pt>
                <c:pt idx="3">
                  <c:v>18.5117492374645</c:v>
                </c:pt>
                <c:pt idx="4">
                  <c:v>24.682332316619334</c:v>
                </c:pt>
                <c:pt idx="5">
                  <c:v>30.852915395774161</c:v>
                </c:pt>
                <c:pt idx="6">
                  <c:v>37.023498474928999</c:v>
                </c:pt>
                <c:pt idx="7">
                  <c:v>43.19408155408383</c:v>
                </c:pt>
                <c:pt idx="8">
                  <c:v>49.364664633238668</c:v>
                </c:pt>
                <c:pt idx="9">
                  <c:v>55.535247712393499</c:v>
                </c:pt>
                <c:pt idx="10">
                  <c:v>61.705830791548323</c:v>
                </c:pt>
                <c:pt idx="11">
                  <c:v>67.876413870703161</c:v>
                </c:pt>
                <c:pt idx="12">
                  <c:v>74.046996949857999</c:v>
                </c:pt>
              </c:numCache>
            </c:numRef>
          </c:xVal>
          <c:yVal>
            <c:numRef>
              <c:f>'Motor Data'!$C$36:$C$48</c:f>
              <c:numCache>
                <c:formatCode>General</c:formatCode>
                <c:ptCount val="13"/>
                <c:pt idx="0">
                  <c:v>0.52518953243076927</c:v>
                </c:pt>
                <c:pt idx="1">
                  <c:v>0.53831927074153851</c:v>
                </c:pt>
                <c:pt idx="2">
                  <c:v>0.53831927074153851</c:v>
                </c:pt>
                <c:pt idx="3">
                  <c:v>0.53831927074153851</c:v>
                </c:pt>
                <c:pt idx="4">
                  <c:v>0.53831927074153851</c:v>
                </c:pt>
                <c:pt idx="5">
                  <c:v>0.53831927074153851</c:v>
                </c:pt>
                <c:pt idx="6">
                  <c:v>0.53831927074153851</c:v>
                </c:pt>
                <c:pt idx="7">
                  <c:v>0.53831927074153851</c:v>
                </c:pt>
                <c:pt idx="8">
                  <c:v>0.53831927074153851</c:v>
                </c:pt>
                <c:pt idx="9">
                  <c:v>0.53831927074153851</c:v>
                </c:pt>
                <c:pt idx="10">
                  <c:v>0.53831927074153851</c:v>
                </c:pt>
                <c:pt idx="11">
                  <c:v>0.53831927074153851</c:v>
                </c:pt>
                <c:pt idx="12">
                  <c:v>0.53831927074153851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5FF-4581-87E4-754833943634}"/>
            </c:ext>
          </c:extLst>
        </c:ser>
        <c:ser>
          <c:idx val="2"/>
          <c:order val="2"/>
          <c:tx>
            <c:strRef>
              <c:f>'Motor Data'!$D$35</c:f>
              <c:strCache>
                <c:ptCount val="1"/>
                <c:pt idx="0">
                  <c:v>a_x due to peak power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C0000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Data'!$A$36:$A$48</c:f>
              <c:numCache>
                <c:formatCode>General</c:formatCode>
                <c:ptCount val="13"/>
                <c:pt idx="0">
                  <c:v>0</c:v>
                </c:pt>
                <c:pt idx="1">
                  <c:v>6.1705830791548335</c:v>
                </c:pt>
                <c:pt idx="2">
                  <c:v>12.341166158309667</c:v>
                </c:pt>
                <c:pt idx="3">
                  <c:v>18.5117492374645</c:v>
                </c:pt>
                <c:pt idx="4">
                  <c:v>24.682332316619334</c:v>
                </c:pt>
                <c:pt idx="5">
                  <c:v>30.852915395774161</c:v>
                </c:pt>
                <c:pt idx="6">
                  <c:v>37.023498474928999</c:v>
                </c:pt>
                <c:pt idx="7">
                  <c:v>43.19408155408383</c:v>
                </c:pt>
                <c:pt idx="8">
                  <c:v>49.364664633238668</c:v>
                </c:pt>
                <c:pt idx="9">
                  <c:v>55.535247712393499</c:v>
                </c:pt>
                <c:pt idx="10">
                  <c:v>61.705830791548323</c:v>
                </c:pt>
                <c:pt idx="11">
                  <c:v>67.876413870703161</c:v>
                </c:pt>
                <c:pt idx="12">
                  <c:v>74.046996949857999</c:v>
                </c:pt>
              </c:numCache>
            </c:numRef>
          </c:xVal>
          <c:yVal>
            <c:numRef>
              <c:f>'Motor Data'!$D$36:$D$48</c:f>
              <c:numCache>
                <c:formatCode>General</c:formatCode>
                <c:ptCount val="13"/>
                <c:pt idx="0">
                  <c:v>0</c:v>
                </c:pt>
                <c:pt idx="1">
                  <c:v>1.0030367618203748</c:v>
                </c:pt>
                <c:pt idx="2">
                  <c:v>1.0030367618203748</c:v>
                </c:pt>
                <c:pt idx="3">
                  <c:v>1.0030367618203748</c:v>
                </c:pt>
                <c:pt idx="4">
                  <c:v>1.0030367618203748</c:v>
                </c:pt>
                <c:pt idx="5">
                  <c:v>1.003036761820375</c:v>
                </c:pt>
                <c:pt idx="6">
                  <c:v>1.0030367618203748</c:v>
                </c:pt>
                <c:pt idx="7">
                  <c:v>1.003036761820375</c:v>
                </c:pt>
                <c:pt idx="8">
                  <c:v>1.0030367618203748</c:v>
                </c:pt>
                <c:pt idx="9">
                  <c:v>1.0030367618203748</c:v>
                </c:pt>
                <c:pt idx="10">
                  <c:v>0.97796084277486561</c:v>
                </c:pt>
                <c:pt idx="11">
                  <c:v>0.96884232675831672</c:v>
                </c:pt>
                <c:pt idx="12">
                  <c:v>0.86720886699053246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5FF-4581-87E4-754833943634}"/>
            </c:ext>
          </c:extLst>
        </c:ser>
        <c:ser>
          <c:idx val="3"/>
          <c:order val="3"/>
          <c:tx>
            <c:strRef>
              <c:f>'Motor Data'!$E$35</c:f>
              <c:strCache>
                <c:ptCount val="1"/>
                <c:pt idx="0">
                  <c:v>a_x due to continuous power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00B050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'Motor Data'!$A$36:$A$48</c:f>
              <c:numCache>
                <c:formatCode>General</c:formatCode>
                <c:ptCount val="13"/>
                <c:pt idx="0">
                  <c:v>0</c:v>
                </c:pt>
                <c:pt idx="1">
                  <c:v>6.1705830791548335</c:v>
                </c:pt>
                <c:pt idx="2">
                  <c:v>12.341166158309667</c:v>
                </c:pt>
                <c:pt idx="3">
                  <c:v>18.5117492374645</c:v>
                </c:pt>
                <c:pt idx="4">
                  <c:v>24.682332316619334</c:v>
                </c:pt>
                <c:pt idx="5">
                  <c:v>30.852915395774161</c:v>
                </c:pt>
                <c:pt idx="6">
                  <c:v>37.023498474928999</c:v>
                </c:pt>
                <c:pt idx="7">
                  <c:v>43.19408155408383</c:v>
                </c:pt>
                <c:pt idx="8">
                  <c:v>49.364664633238668</c:v>
                </c:pt>
                <c:pt idx="9">
                  <c:v>55.535247712393499</c:v>
                </c:pt>
                <c:pt idx="10">
                  <c:v>61.705830791548323</c:v>
                </c:pt>
                <c:pt idx="11">
                  <c:v>67.876413870703161</c:v>
                </c:pt>
                <c:pt idx="12">
                  <c:v>74.046996949857999</c:v>
                </c:pt>
              </c:numCache>
            </c:numRef>
          </c:xVal>
          <c:yVal>
            <c:numRef>
              <c:f>'Motor Data'!$E$36:$E$48</c:f>
              <c:numCache>
                <c:formatCode>General</c:formatCode>
                <c:ptCount val="13"/>
                <c:pt idx="0">
                  <c:v>0</c:v>
                </c:pt>
                <c:pt idx="1">
                  <c:v>0.56420817852396088</c:v>
                </c:pt>
                <c:pt idx="2">
                  <c:v>0.56420817852396088</c:v>
                </c:pt>
                <c:pt idx="3">
                  <c:v>0.56420817852396077</c:v>
                </c:pt>
                <c:pt idx="4">
                  <c:v>0.56420817852396088</c:v>
                </c:pt>
                <c:pt idx="5">
                  <c:v>0.56420817852396099</c:v>
                </c:pt>
                <c:pt idx="6">
                  <c:v>0.56420817852396077</c:v>
                </c:pt>
                <c:pt idx="7">
                  <c:v>0.56420817852396088</c:v>
                </c:pt>
                <c:pt idx="8">
                  <c:v>0.56420817852396088</c:v>
                </c:pt>
                <c:pt idx="9">
                  <c:v>0.56420817852396088</c:v>
                </c:pt>
                <c:pt idx="10">
                  <c:v>0.56420817852396099</c:v>
                </c:pt>
                <c:pt idx="11">
                  <c:v>0.54711096099293177</c:v>
                </c:pt>
                <c:pt idx="12">
                  <c:v>0.54331157931936958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5FF-4581-87E4-754833943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6928416"/>
        <c:axId val="857451264"/>
      </c:scatterChart>
      <c:valAx>
        <c:axId val="826928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Vehicle Speed (mph)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451264"/>
        <c:crosses val="autoZero"/>
        <c:crossBetween val="midCat"/>
      </c:valAx>
      <c:valAx>
        <c:axId val="85745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</a:t>
                </a:r>
                <a:r>
                  <a:rPr lang="en-US" baseline="0"/>
                  <a:t> (g's)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9284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solidFill>
            <a:schemeClr val="bg1">
              <a:alpha val="97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2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jpeg"/><Relationship Id="rId1" Type="http://schemas.openxmlformats.org/officeDocument/2006/relationships/image" Target="../media/image22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jpeg"/><Relationship Id="rId3" Type="http://schemas.openxmlformats.org/officeDocument/2006/relationships/image" Target="../media/image26.jpeg"/><Relationship Id="rId7" Type="http://schemas.openxmlformats.org/officeDocument/2006/relationships/image" Target="../media/image30.jpeg"/><Relationship Id="rId2" Type="http://schemas.openxmlformats.org/officeDocument/2006/relationships/image" Target="../media/image25.jpeg"/><Relationship Id="rId1" Type="http://schemas.openxmlformats.org/officeDocument/2006/relationships/image" Target="../media/image24.jpeg"/><Relationship Id="rId6" Type="http://schemas.openxmlformats.org/officeDocument/2006/relationships/image" Target="../media/image29.jpeg"/><Relationship Id="rId5" Type="http://schemas.openxmlformats.org/officeDocument/2006/relationships/image" Target="../media/image28.jpeg"/><Relationship Id="rId4" Type="http://schemas.openxmlformats.org/officeDocument/2006/relationships/image" Target="../media/image27.jpeg"/><Relationship Id="rId9" Type="http://schemas.openxmlformats.org/officeDocument/2006/relationships/image" Target="../media/image3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jpeg"/><Relationship Id="rId2" Type="http://schemas.openxmlformats.org/officeDocument/2006/relationships/image" Target="../media/image34.jpeg"/><Relationship Id="rId1" Type="http://schemas.openxmlformats.org/officeDocument/2006/relationships/image" Target="../media/image3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517653</xdr:colOff>
      <xdr:row>68</xdr:row>
      <xdr:rowOff>43797</xdr:rowOff>
    </xdr:from>
    <xdr:to>
      <xdr:col>23</xdr:col>
      <xdr:colOff>416935</xdr:colOff>
      <xdr:row>81</xdr:row>
      <xdr:rowOff>24477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58C7CF-BC17-4F65-8189-805208F7D7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74428" y="12572347"/>
          <a:ext cx="4166482" cy="23746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525744</xdr:colOff>
      <xdr:row>7</xdr:row>
      <xdr:rowOff>71110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051D1E7-229D-42A5-81C7-33A18740F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744944" cy="13601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10887</xdr:rowOff>
    </xdr:from>
    <xdr:to>
      <xdr:col>3</xdr:col>
      <xdr:colOff>198397</xdr:colOff>
      <xdr:row>20</xdr:row>
      <xdr:rowOff>159203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9F902D6-9E0C-4663-9BB1-497BB2E5ED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8963"/>
        <a:stretch/>
      </xdr:blipFill>
      <xdr:spPr>
        <a:xfrm>
          <a:off x="0" y="1798412"/>
          <a:ext cx="2027197" cy="21612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173029</xdr:rowOff>
    </xdr:from>
    <xdr:to>
      <xdr:col>3</xdr:col>
      <xdr:colOff>153261</xdr:colOff>
      <xdr:row>33</xdr:row>
      <xdr:rowOff>122010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6098F69-5FBD-48E1-B646-F71302A83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183054"/>
          <a:ext cx="1982061" cy="2158781"/>
        </a:xfrm>
        <a:prstGeom prst="rect">
          <a:avLst/>
        </a:prstGeom>
      </xdr:spPr>
    </xdr:pic>
    <xdr:clientData/>
  </xdr:twoCellAnchor>
  <xdr:twoCellAnchor editAs="oneCell">
    <xdr:from>
      <xdr:col>3</xdr:col>
      <xdr:colOff>106267</xdr:colOff>
      <xdr:row>22</xdr:row>
      <xdr:rowOff>0</xdr:rowOff>
    </xdr:from>
    <xdr:to>
      <xdr:col>6</xdr:col>
      <xdr:colOff>222930</xdr:colOff>
      <xdr:row>33</xdr:row>
      <xdr:rowOff>125185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6A64BA3-71EC-4C40-A252-3AB9035EF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31892" y="4191000"/>
          <a:ext cx="1945463" cy="2150835"/>
        </a:xfrm>
        <a:prstGeom prst="rect">
          <a:avLst/>
        </a:prstGeom>
      </xdr:spPr>
    </xdr:pic>
    <xdr:clientData/>
  </xdr:twoCellAnchor>
  <xdr:twoCellAnchor editAs="oneCell">
    <xdr:from>
      <xdr:col>11</xdr:col>
      <xdr:colOff>547073</xdr:colOff>
      <xdr:row>1</xdr:row>
      <xdr:rowOff>126361</xdr:rowOff>
    </xdr:from>
    <xdr:to>
      <xdr:col>15</xdr:col>
      <xdr:colOff>583720</xdr:colOff>
      <xdr:row>16</xdr:row>
      <xdr:rowOff>9182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B12B26C-8661-434C-9E83-EFEEC6C9F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49498" y="323211"/>
          <a:ext cx="2475047" cy="2632371"/>
        </a:xfrm>
        <a:prstGeom prst="rect">
          <a:avLst/>
        </a:prstGeom>
      </xdr:spPr>
    </xdr:pic>
    <xdr:clientData/>
  </xdr:twoCellAnchor>
  <xdr:twoCellAnchor editAs="oneCell">
    <xdr:from>
      <xdr:col>16</xdr:col>
      <xdr:colOff>23212</xdr:colOff>
      <xdr:row>1</xdr:row>
      <xdr:rowOff>195941</xdr:rowOff>
    </xdr:from>
    <xdr:to>
      <xdr:col>20</xdr:col>
      <xdr:colOff>65314</xdr:colOff>
      <xdr:row>16</xdr:row>
      <xdr:rowOff>148487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35B4751-F829-4EA4-B974-083738073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79987" y="399141"/>
          <a:ext cx="2480502" cy="2714796"/>
        </a:xfrm>
        <a:prstGeom prst="rect">
          <a:avLst/>
        </a:prstGeom>
      </xdr:spPr>
    </xdr:pic>
    <xdr:clientData/>
  </xdr:twoCellAnchor>
  <xdr:twoCellAnchor editAs="oneCell">
    <xdr:from>
      <xdr:col>8</xdr:col>
      <xdr:colOff>533400</xdr:colOff>
      <xdr:row>21</xdr:row>
      <xdr:rowOff>96100</xdr:rowOff>
    </xdr:from>
    <xdr:to>
      <xdr:col>17</xdr:col>
      <xdr:colOff>572169</xdr:colOff>
      <xdr:row>35</xdr:row>
      <xdr:rowOff>144235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DC1D243-BFCB-4134-8FA6-7F978A46A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410200" y="4106125"/>
          <a:ext cx="5525169" cy="2626235"/>
        </a:xfrm>
        <a:prstGeom prst="rect">
          <a:avLst/>
        </a:prstGeom>
      </xdr:spPr>
    </xdr:pic>
    <xdr:clientData/>
  </xdr:twoCellAnchor>
  <xdr:twoCellAnchor editAs="oneCell">
    <xdr:from>
      <xdr:col>10</xdr:col>
      <xdr:colOff>590798</xdr:colOff>
      <xdr:row>42</xdr:row>
      <xdr:rowOff>68628</xdr:rowOff>
    </xdr:from>
    <xdr:to>
      <xdr:col>20</xdr:col>
      <xdr:colOff>45195</xdr:colOff>
      <xdr:row>56</xdr:row>
      <xdr:rowOff>142670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8EEDE1A-E2DE-4ACA-A2D3-18DC630C6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86798" y="7875953"/>
          <a:ext cx="5550397" cy="2652142"/>
        </a:xfrm>
        <a:prstGeom prst="rect">
          <a:avLst/>
        </a:prstGeom>
      </xdr:spPr>
    </xdr:pic>
    <xdr:clientData/>
  </xdr:twoCellAnchor>
  <xdr:twoCellAnchor editAs="oneCell">
    <xdr:from>
      <xdr:col>1</xdr:col>
      <xdr:colOff>554181</xdr:colOff>
      <xdr:row>9</xdr:row>
      <xdr:rowOff>13855</xdr:rowOff>
    </xdr:from>
    <xdr:to>
      <xdr:col>5</xdr:col>
      <xdr:colOff>63809</xdr:colOff>
      <xdr:row>21</xdr:row>
      <xdr:rowOff>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578AC4F-BD83-4600-B80F-AE4EC67DD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63781" y="1801380"/>
          <a:ext cx="1948028" cy="2180070"/>
        </a:xfrm>
        <a:prstGeom prst="rect">
          <a:avLst/>
        </a:prstGeom>
      </xdr:spPr>
    </xdr:pic>
    <xdr:clientData/>
  </xdr:twoCellAnchor>
  <xdr:twoCellAnchor editAs="oneCell">
    <xdr:from>
      <xdr:col>4</xdr:col>
      <xdr:colOff>67042</xdr:colOff>
      <xdr:row>8</xdr:row>
      <xdr:rowOff>261257</xdr:rowOff>
    </xdr:from>
    <xdr:to>
      <xdr:col>7</xdr:col>
      <xdr:colOff>298286</xdr:colOff>
      <xdr:row>20</xdr:row>
      <xdr:rowOff>166936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7CB78C9-9F72-4931-B4B7-21EBA7FA1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502267" y="1782082"/>
          <a:ext cx="2060044" cy="2178979"/>
        </a:xfrm>
        <a:prstGeom prst="rect">
          <a:avLst/>
        </a:prstGeom>
      </xdr:spPr>
    </xdr:pic>
    <xdr:clientData/>
  </xdr:twoCellAnchor>
  <xdr:twoCellAnchor editAs="oneCell">
    <xdr:from>
      <xdr:col>7</xdr:col>
      <xdr:colOff>200444</xdr:colOff>
      <xdr:row>9</xdr:row>
      <xdr:rowOff>0</xdr:rowOff>
    </xdr:from>
    <xdr:to>
      <xdr:col>10</xdr:col>
      <xdr:colOff>383373</xdr:colOff>
      <xdr:row>20</xdr:row>
      <xdr:rowOff>177800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DA4078F-05C7-4712-A2A3-135BA98F1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64469" y="1790700"/>
          <a:ext cx="2011729" cy="2190750"/>
        </a:xfrm>
        <a:prstGeom prst="rect">
          <a:avLst/>
        </a:prstGeom>
      </xdr:spPr>
    </xdr:pic>
    <xdr:clientData/>
  </xdr:twoCellAnchor>
  <xdr:twoCellAnchor editAs="oneCell">
    <xdr:from>
      <xdr:col>10</xdr:col>
      <xdr:colOff>493059</xdr:colOff>
      <xdr:row>6</xdr:row>
      <xdr:rowOff>119484</xdr:rowOff>
    </xdr:from>
    <xdr:to>
      <xdr:col>14</xdr:col>
      <xdr:colOff>316940</xdr:colOff>
      <xdr:row>19</xdr:row>
      <xdr:rowOff>118744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2FB1B5E-549D-42E9-9BEA-CC77D329D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589059" y="1275184"/>
          <a:ext cx="2262281" cy="2380510"/>
        </a:xfrm>
        <a:prstGeom prst="rect">
          <a:avLst/>
        </a:prstGeom>
      </xdr:spPr>
    </xdr:pic>
    <xdr:clientData/>
  </xdr:twoCellAnchor>
  <xdr:twoCellAnchor editAs="oneCell">
    <xdr:from>
      <xdr:col>13</xdr:col>
      <xdr:colOff>130629</xdr:colOff>
      <xdr:row>28</xdr:row>
      <xdr:rowOff>18398</xdr:rowOff>
    </xdr:from>
    <xdr:to>
      <xdr:col>21</xdr:col>
      <xdr:colOff>66155</xdr:colOff>
      <xdr:row>40</xdr:row>
      <xdr:rowOff>172356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F0CC48B-1656-4E15-8382-D0F8EAD9F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55429" y="5295248"/>
          <a:ext cx="4812326" cy="2363758"/>
        </a:xfrm>
        <a:prstGeom prst="rect">
          <a:avLst/>
        </a:prstGeom>
      </xdr:spPr>
    </xdr:pic>
    <xdr:clientData/>
  </xdr:twoCellAnchor>
  <xdr:twoCellAnchor editAs="oneCell">
    <xdr:from>
      <xdr:col>11</xdr:col>
      <xdr:colOff>21772</xdr:colOff>
      <xdr:row>51</xdr:row>
      <xdr:rowOff>133452</xdr:rowOff>
    </xdr:from>
    <xdr:to>
      <xdr:col>20</xdr:col>
      <xdr:colOff>55544</xdr:colOff>
      <xdr:row>66</xdr:row>
      <xdr:rowOff>14968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5D429E2-C8D0-4DF0-8A2A-9494661FD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27372" y="9572727"/>
          <a:ext cx="5520172" cy="2637416"/>
        </a:xfrm>
        <a:prstGeom prst="rect">
          <a:avLst/>
        </a:prstGeom>
      </xdr:spPr>
    </xdr:pic>
    <xdr:clientData/>
  </xdr:twoCellAnchor>
  <xdr:twoCellAnchor editAs="oneCell">
    <xdr:from>
      <xdr:col>0</xdr:col>
      <xdr:colOff>13855</xdr:colOff>
      <xdr:row>34</xdr:row>
      <xdr:rowOff>173948</xdr:rowOff>
    </xdr:from>
    <xdr:to>
      <xdr:col>3</xdr:col>
      <xdr:colOff>184340</xdr:colOff>
      <xdr:row>46</xdr:row>
      <xdr:rowOff>173759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1531386-6F9A-4760-9F77-9A3F4232DF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r="50370"/>
        <a:stretch/>
      </xdr:blipFill>
      <xdr:spPr>
        <a:xfrm>
          <a:off x="10680" y="6536648"/>
          <a:ext cx="1999285" cy="22096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7695</xdr:rowOff>
    </xdr:from>
    <xdr:to>
      <xdr:col>3</xdr:col>
      <xdr:colOff>219042</xdr:colOff>
      <xdr:row>60</xdr:row>
      <xdr:rowOff>24824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7764232-A3AE-4B10-A781-ABBEE85235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49877"/>
        <a:stretch/>
      </xdr:blipFill>
      <xdr:spPr>
        <a:xfrm>
          <a:off x="0" y="8907220"/>
          <a:ext cx="2047842" cy="2226929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35</xdr:row>
      <xdr:rowOff>2050</xdr:rowOff>
    </xdr:from>
    <xdr:to>
      <xdr:col>6</xdr:col>
      <xdr:colOff>409224</xdr:colOff>
      <xdr:row>47</xdr:row>
      <xdr:rowOff>6639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8742F82-B343-4B3F-A1A2-A7A551AF72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3803" r="50126"/>
        <a:stretch/>
      </xdr:blipFill>
      <xdr:spPr>
        <a:xfrm>
          <a:off x="1981200" y="6545725"/>
          <a:ext cx="2085624" cy="2214389"/>
        </a:xfrm>
        <a:prstGeom prst="rect">
          <a:avLst/>
        </a:prstGeom>
      </xdr:spPr>
    </xdr:pic>
    <xdr:clientData/>
  </xdr:twoCellAnchor>
  <xdr:twoCellAnchor editAs="oneCell">
    <xdr:from>
      <xdr:col>3</xdr:col>
      <xdr:colOff>207818</xdr:colOff>
      <xdr:row>48</xdr:row>
      <xdr:rowOff>2051</xdr:rowOff>
    </xdr:from>
    <xdr:to>
      <xdr:col>6</xdr:col>
      <xdr:colOff>536551</xdr:colOff>
      <xdr:row>60</xdr:row>
      <xdr:rowOff>48202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E6807BE-A3D8-4031-B822-566536047D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48396" r="4899"/>
        <a:stretch/>
      </xdr:blipFill>
      <xdr:spPr>
        <a:xfrm>
          <a:off x="2036618" y="8898401"/>
          <a:ext cx="2157533" cy="2255951"/>
        </a:xfrm>
        <a:prstGeom prst="rect">
          <a:avLst/>
        </a:prstGeom>
      </xdr:spPr>
    </xdr:pic>
    <xdr:clientData/>
  </xdr:twoCellAnchor>
  <xdr:twoCellAnchor editAs="oneCell">
    <xdr:from>
      <xdr:col>20</xdr:col>
      <xdr:colOff>221674</xdr:colOff>
      <xdr:row>2</xdr:row>
      <xdr:rowOff>13854</xdr:rowOff>
    </xdr:from>
    <xdr:to>
      <xdr:col>30</xdr:col>
      <xdr:colOff>13856</xdr:colOff>
      <xdr:row>19</xdr:row>
      <xdr:rowOff>19214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4D00EC1-D6AA-47C8-B73C-825F84226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410499" y="410729"/>
          <a:ext cx="5888182" cy="3123210"/>
        </a:xfrm>
        <a:prstGeom prst="rect">
          <a:avLst/>
        </a:prstGeom>
      </xdr:spPr>
    </xdr:pic>
    <xdr:clientData/>
  </xdr:twoCellAnchor>
  <xdr:twoCellAnchor editAs="oneCell">
    <xdr:from>
      <xdr:col>20</xdr:col>
      <xdr:colOff>249382</xdr:colOff>
      <xdr:row>21</xdr:row>
      <xdr:rowOff>43475</xdr:rowOff>
    </xdr:from>
    <xdr:to>
      <xdr:col>30</xdr:col>
      <xdr:colOff>6977</xdr:colOff>
      <xdr:row>36</xdr:row>
      <xdr:rowOff>140855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B4D22D6-8C24-40F8-B9FA-3D06E123F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441382" y="4056675"/>
          <a:ext cx="5853595" cy="2859630"/>
        </a:xfrm>
        <a:prstGeom prst="rect">
          <a:avLst/>
        </a:prstGeom>
      </xdr:spPr>
    </xdr:pic>
    <xdr:clientData/>
  </xdr:twoCellAnchor>
  <xdr:twoCellAnchor editAs="oneCell">
    <xdr:from>
      <xdr:col>20</xdr:col>
      <xdr:colOff>332509</xdr:colOff>
      <xdr:row>42</xdr:row>
      <xdr:rowOff>22793</xdr:rowOff>
    </xdr:from>
    <xdr:to>
      <xdr:col>30</xdr:col>
      <xdr:colOff>85022</xdr:colOff>
      <xdr:row>57</xdr:row>
      <xdr:rowOff>112280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BEF0C57-5F70-43F9-8F25-98DA45F7E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527684" y="7836468"/>
          <a:ext cx="5848513" cy="28517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336049</xdr:colOff>
      <xdr:row>0</xdr:row>
      <xdr:rowOff>10702</xdr:rowOff>
    </xdr:from>
    <xdr:to>
      <xdr:col>16</xdr:col>
      <xdr:colOff>203342</xdr:colOff>
      <xdr:row>20</xdr:row>
      <xdr:rowOff>170950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7B5F2A-F43A-E5C9-B54A-56BB61C397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339297</xdr:colOff>
      <xdr:row>21</xdr:row>
      <xdr:rowOff>32106</xdr:rowOff>
    </xdr:from>
    <xdr:to>
      <xdr:col>16</xdr:col>
      <xdr:colOff>212940</xdr:colOff>
      <xdr:row>43</xdr:row>
      <xdr:rowOff>10416</xdr:rowOff>
    </xdr:to>
    <xdr:graphicFrame macro="">
      <xdr:nvGraphicFramePr>
        <xdr:cNvPr id="8" name="Chart 4">
          <a:extLst>
            <a:ext uri="{FF2B5EF4-FFF2-40B4-BE49-F238E27FC236}">
              <a16:creationId xmlns:a16="http://schemas.microsoft.com/office/drawing/2014/main" id="{6B9C3F74-91B5-4259-B93D-23F7522541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342396</xdr:colOff>
      <xdr:row>43</xdr:row>
      <xdr:rowOff>143766</xdr:rowOff>
    </xdr:from>
    <xdr:to>
      <xdr:col>22</xdr:col>
      <xdr:colOff>299662</xdr:colOff>
      <xdr:row>72</xdr:row>
      <xdr:rowOff>124074</xdr:rowOff>
    </xdr:to>
    <xdr:graphicFrame macro="">
      <xdr:nvGraphicFramePr>
        <xdr:cNvPr id="15" name="Chart 5">
          <a:extLst>
            <a:ext uri="{FF2B5EF4-FFF2-40B4-BE49-F238E27FC236}">
              <a16:creationId xmlns:a16="http://schemas.microsoft.com/office/drawing/2014/main" id="{7AE14B93-5E8F-B811-7296-6F55F54583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16</xdr:col>
      <xdr:colOff>299663</xdr:colOff>
      <xdr:row>0</xdr:row>
      <xdr:rowOff>0</xdr:rowOff>
    </xdr:from>
    <xdr:to>
      <xdr:col>27</xdr:col>
      <xdr:colOff>59174</xdr:colOff>
      <xdr:row>22</xdr:row>
      <xdr:rowOff>101172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3A3F31A8-CAE8-C453-BE57-218AD6628D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218" t="5387" r="44021"/>
        <a:stretch/>
      </xdr:blipFill>
      <xdr:spPr>
        <a:xfrm>
          <a:off x="16602753" y="0"/>
          <a:ext cx="6465111" cy="4152472"/>
        </a:xfrm>
        <a:prstGeom prst="rect">
          <a:avLst/>
        </a:prstGeom>
      </xdr:spPr>
    </xdr:pic>
    <xdr:clientData/>
  </xdr:twoCellAnchor>
  <xdr:twoCellAnchor editAs="oneCell">
    <xdr:from>
      <xdr:col>16</xdr:col>
      <xdr:colOff>299662</xdr:colOff>
      <xdr:row>22</xdr:row>
      <xdr:rowOff>38243</xdr:rowOff>
    </xdr:from>
    <xdr:to>
      <xdr:col>22</xdr:col>
      <xdr:colOff>273760</xdr:colOff>
      <xdr:row>38</xdr:row>
      <xdr:rowOff>138416</xdr:rowOff>
    </xdr:to>
    <xdr:pic>
      <xdr:nvPicPr>
        <xdr:cNvPr id="25" name="Picture 6">
          <a:extLst>
            <a:ext uri="{FF2B5EF4-FFF2-40B4-BE49-F238E27FC236}">
              <a16:creationId xmlns:a16="http://schemas.microsoft.com/office/drawing/2014/main" id="{2DCD34F5-37A6-4118-A11C-4D5FDE9609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55686"/>
        <a:stretch/>
      </xdr:blipFill>
      <xdr:spPr>
        <a:xfrm>
          <a:off x="16602752" y="4119367"/>
          <a:ext cx="3631698" cy="304657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19050</xdr:rowOff>
    </xdr:from>
    <xdr:to>
      <xdr:col>7</xdr:col>
      <xdr:colOff>482600</xdr:colOff>
      <xdr:row>20</xdr:row>
      <xdr:rowOff>180270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5FA55C-5B51-697A-AE5E-5850F9EA2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3925"/>
          <a:ext cx="6226175" cy="2875845"/>
        </a:xfrm>
        <a:prstGeom prst="rect">
          <a:avLst/>
        </a:prstGeom>
      </xdr:spPr>
    </xdr:pic>
    <xdr:clientData/>
  </xdr:twoCellAnchor>
  <xdr:twoCellAnchor editAs="oneCell">
    <xdr:from>
      <xdr:col>7</xdr:col>
      <xdr:colOff>530225</xdr:colOff>
      <xdr:row>5</xdr:row>
      <xdr:rowOff>34925</xdr:rowOff>
    </xdr:from>
    <xdr:to>
      <xdr:col>14</xdr:col>
      <xdr:colOff>66675</xdr:colOff>
      <xdr:row>24</xdr:row>
      <xdr:rowOff>44450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D8DDB75-2AAB-C6DB-931A-8B0F58228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3800" y="939800"/>
          <a:ext cx="4603750" cy="34480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30216</xdr:colOff>
      <xdr:row>1</xdr:row>
      <xdr:rowOff>21168</xdr:rowOff>
    </xdr:from>
    <xdr:to>
      <xdr:col>8</xdr:col>
      <xdr:colOff>155223</xdr:colOff>
      <xdr:row>13</xdr:row>
      <xdr:rowOff>163712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E329D5D-C9CE-31BF-4BC6-E6A8155F6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0883" y="204612"/>
          <a:ext cx="1338562" cy="2340703"/>
        </a:xfrm>
        <a:prstGeom prst="rect">
          <a:avLst/>
        </a:prstGeom>
      </xdr:spPr>
    </xdr:pic>
    <xdr:clientData/>
  </xdr:twoCellAnchor>
  <xdr:twoCellAnchor editAs="oneCell">
    <xdr:from>
      <xdr:col>8</xdr:col>
      <xdr:colOff>192334</xdr:colOff>
      <xdr:row>1</xdr:row>
      <xdr:rowOff>28222</xdr:rowOff>
    </xdr:from>
    <xdr:to>
      <xdr:col>13</xdr:col>
      <xdr:colOff>278342</xdr:colOff>
      <xdr:row>13</xdr:row>
      <xdr:rowOff>162272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80725EC-C162-D365-F88E-91B435468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6556" y="211666"/>
          <a:ext cx="3116722" cy="2332209"/>
        </a:xfrm>
        <a:prstGeom prst="rect">
          <a:avLst/>
        </a:prstGeom>
      </xdr:spPr>
    </xdr:pic>
    <xdr:clientData/>
  </xdr:twoCellAnchor>
  <xdr:twoCellAnchor editAs="oneCell">
    <xdr:from>
      <xdr:col>13</xdr:col>
      <xdr:colOff>430389</xdr:colOff>
      <xdr:row>15</xdr:row>
      <xdr:rowOff>7057</xdr:rowOff>
    </xdr:from>
    <xdr:to>
      <xdr:col>19</xdr:col>
      <xdr:colOff>389888</xdr:colOff>
      <xdr:row>27</xdr:row>
      <xdr:rowOff>134056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A5B28D3-7BA7-2445-2AA6-316135C45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8500" y="2758724"/>
          <a:ext cx="3603341" cy="2328332"/>
        </a:xfrm>
        <a:prstGeom prst="rect">
          <a:avLst/>
        </a:prstGeom>
      </xdr:spPr>
    </xdr:pic>
    <xdr:clientData/>
  </xdr:twoCellAnchor>
  <xdr:twoCellAnchor editAs="oneCell">
    <xdr:from>
      <xdr:col>8</xdr:col>
      <xdr:colOff>277000</xdr:colOff>
      <xdr:row>14</xdr:row>
      <xdr:rowOff>178222</xdr:rowOff>
    </xdr:from>
    <xdr:to>
      <xdr:col>13</xdr:col>
      <xdr:colOff>383328</xdr:colOff>
      <xdr:row>27</xdr:row>
      <xdr:rowOff>144286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4DBC1C1-ED7C-1880-63FF-237CC24B5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1222" y="2746444"/>
          <a:ext cx="3140217" cy="2347667"/>
        </a:xfrm>
        <a:prstGeom prst="rect">
          <a:avLst/>
        </a:prstGeom>
      </xdr:spPr>
    </xdr:pic>
    <xdr:clientData/>
  </xdr:twoCellAnchor>
  <xdr:twoCellAnchor editAs="oneCell">
    <xdr:from>
      <xdr:col>13</xdr:col>
      <xdr:colOff>349390</xdr:colOff>
      <xdr:row>28</xdr:row>
      <xdr:rowOff>180056</xdr:rowOff>
    </xdr:from>
    <xdr:to>
      <xdr:col>19</xdr:col>
      <xdr:colOff>371293</xdr:colOff>
      <xdr:row>41</xdr:row>
      <xdr:rowOff>134056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B6B5B70-700D-526B-F334-93B8A726D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37501" y="5316500"/>
          <a:ext cx="3665745" cy="2338778"/>
        </a:xfrm>
        <a:prstGeom prst="rect">
          <a:avLst/>
        </a:prstGeom>
      </xdr:spPr>
    </xdr:pic>
    <xdr:clientData/>
  </xdr:twoCellAnchor>
  <xdr:twoCellAnchor editAs="oneCell">
    <xdr:from>
      <xdr:col>5</xdr:col>
      <xdr:colOff>603630</xdr:colOff>
      <xdr:row>29</xdr:row>
      <xdr:rowOff>14112</xdr:rowOff>
    </xdr:from>
    <xdr:to>
      <xdr:col>8</xdr:col>
      <xdr:colOff>190500</xdr:colOff>
      <xdr:row>41</xdr:row>
      <xdr:rowOff>124282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A3F3D41-5CF2-C782-C8F1-E40ACDCFE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7519" y="5334001"/>
          <a:ext cx="1407203" cy="2314678"/>
        </a:xfrm>
        <a:prstGeom prst="rect">
          <a:avLst/>
        </a:prstGeom>
      </xdr:spPr>
    </xdr:pic>
    <xdr:clientData/>
  </xdr:twoCellAnchor>
  <xdr:twoCellAnchor editAs="oneCell">
    <xdr:from>
      <xdr:col>6</xdr:col>
      <xdr:colOff>11244</xdr:colOff>
      <xdr:row>15</xdr:row>
      <xdr:rowOff>0</xdr:rowOff>
    </xdr:from>
    <xdr:to>
      <xdr:col>8</xdr:col>
      <xdr:colOff>236009</xdr:colOff>
      <xdr:row>27</xdr:row>
      <xdr:rowOff>126308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2598C87-1697-3AAA-E456-5D4766DCC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1911" y="2751667"/>
          <a:ext cx="1435145" cy="2330816"/>
        </a:xfrm>
        <a:prstGeom prst="rect">
          <a:avLst/>
        </a:prstGeom>
      </xdr:spPr>
    </xdr:pic>
    <xdr:clientData/>
  </xdr:twoCellAnchor>
  <xdr:twoCellAnchor editAs="oneCell">
    <xdr:from>
      <xdr:col>19</xdr:col>
      <xdr:colOff>453666</xdr:colOff>
      <xdr:row>15</xdr:row>
      <xdr:rowOff>2111</xdr:rowOff>
    </xdr:from>
    <xdr:to>
      <xdr:col>25</xdr:col>
      <xdr:colOff>96883</xdr:colOff>
      <xdr:row>27</xdr:row>
      <xdr:rowOff>144286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A2DA4D3-B9EE-4576-83DF-6AC617421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82444" y="2753778"/>
          <a:ext cx="3283883" cy="2340333"/>
        </a:xfrm>
        <a:prstGeom prst="rect">
          <a:avLst/>
        </a:prstGeom>
      </xdr:spPr>
    </xdr:pic>
    <xdr:clientData/>
  </xdr:twoCellAnchor>
  <xdr:twoCellAnchor editAs="oneCell">
    <xdr:from>
      <xdr:col>8</xdr:col>
      <xdr:colOff>231844</xdr:colOff>
      <xdr:row>29</xdr:row>
      <xdr:rowOff>6068</xdr:rowOff>
    </xdr:from>
    <xdr:to>
      <xdr:col>13</xdr:col>
      <xdr:colOff>316809</xdr:colOff>
      <xdr:row>41</xdr:row>
      <xdr:rowOff>134057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FE88718-00C6-44ED-820A-B15DFD58D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066" y="5325957"/>
          <a:ext cx="3115679" cy="232932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355600</xdr:colOff>
      <xdr:row>10</xdr:row>
      <xdr:rowOff>12700</xdr:rowOff>
    </xdr:from>
    <xdr:to>
      <xdr:col>19</xdr:col>
      <xdr:colOff>130592</xdr:colOff>
      <xdr:row>26</xdr:row>
      <xdr:rowOff>57150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6C27F20-014C-0FFD-E889-D0D905CD4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8000" y="1854200"/>
          <a:ext cx="5261392" cy="2990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19050</xdr:rowOff>
    </xdr:from>
    <xdr:to>
      <xdr:col>5</xdr:col>
      <xdr:colOff>906832</xdr:colOff>
      <xdr:row>26</xdr:row>
      <xdr:rowOff>50583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ACC46E3-1A0C-425E-D7C7-6E017225B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60550"/>
          <a:ext cx="3954832" cy="2977933"/>
        </a:xfrm>
        <a:prstGeom prst="rect">
          <a:avLst/>
        </a:prstGeom>
      </xdr:spPr>
    </xdr:pic>
    <xdr:clientData/>
  </xdr:twoCellAnchor>
  <xdr:twoCellAnchor editAs="oneCell">
    <xdr:from>
      <xdr:col>5</xdr:col>
      <xdr:colOff>907496</xdr:colOff>
      <xdr:row>10</xdr:row>
      <xdr:rowOff>12700</xdr:rowOff>
    </xdr:from>
    <xdr:to>
      <xdr:col>10</xdr:col>
      <xdr:colOff>347090</xdr:colOff>
      <xdr:row>26</xdr:row>
      <xdr:rowOff>57150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7471A21-7463-71C5-3783-58F94D60E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55496" y="1854200"/>
          <a:ext cx="4163994" cy="29908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A1F52-7421-492F-8E7E-A61E507D61E5}">
  <dimension ref="A1:L42"/>
  <sheetViews>
    <sheetView workbookViewId="0">
      <selection activeCell="B10" sqref="B10"/>
    </sheetView>
  </sheetViews>
  <sheetFormatPr defaultRowHeight="14.5" x14ac:dyDescent="0.35"/>
  <cols>
    <col min="1" max="1" width="31.26953125" customWidth="1"/>
    <col min="3" max="3" width="19.54296875" customWidth="1"/>
    <col min="4" max="4" width="6.453125" customWidth="1"/>
    <col min="5" max="5" width="28.453125" customWidth="1"/>
    <col min="7" max="7" width="20" customWidth="1"/>
    <col min="10" max="10" width="18.453125" customWidth="1"/>
  </cols>
  <sheetData>
    <row r="1" spans="1:12" ht="23" x14ac:dyDescent="0.5">
      <c r="A1" s="114" t="s">
        <v>0</v>
      </c>
    </row>
    <row r="3" spans="1:12" x14ac:dyDescent="0.35">
      <c r="A3" s="46" t="s">
        <v>1</v>
      </c>
      <c r="D3" s="110"/>
      <c r="E3" s="108" t="s">
        <v>2</v>
      </c>
    </row>
    <row r="4" spans="1:12" x14ac:dyDescent="0.35">
      <c r="A4" s="148" t="s">
        <v>3</v>
      </c>
      <c r="B4">
        <v>650</v>
      </c>
      <c r="C4" t="s">
        <v>4</v>
      </c>
      <c r="E4" s="109" t="s">
        <v>5</v>
      </c>
      <c r="F4">
        <v>300</v>
      </c>
      <c r="G4" t="s">
        <v>4</v>
      </c>
      <c r="J4" t="s">
        <v>6</v>
      </c>
      <c r="K4">
        <v>1</v>
      </c>
    </row>
    <row r="5" spans="1:12" x14ac:dyDescent="0.35">
      <c r="A5" s="148" t="s">
        <v>7</v>
      </c>
      <c r="B5">
        <v>0.45</v>
      </c>
      <c r="E5" s="109" t="s">
        <v>8</v>
      </c>
      <c r="F5">
        <v>450</v>
      </c>
    </row>
    <row r="6" spans="1:12" x14ac:dyDescent="0.35">
      <c r="A6" s="148" t="s">
        <v>9</v>
      </c>
      <c r="B6">
        <v>61</v>
      </c>
      <c r="E6" s="109" t="s">
        <v>10</v>
      </c>
      <c r="F6" s="48">
        <v>0</v>
      </c>
      <c r="G6" s="151" t="s">
        <v>11</v>
      </c>
      <c r="H6" s="151" t="s">
        <v>12</v>
      </c>
      <c r="I6" t="s">
        <v>13</v>
      </c>
      <c r="J6" s="151" t="s">
        <v>14</v>
      </c>
      <c r="K6">
        <v>1000</v>
      </c>
      <c r="L6" t="s">
        <v>13</v>
      </c>
    </row>
    <row r="7" spans="1:12" x14ac:dyDescent="0.35">
      <c r="A7" s="148" t="s">
        <v>15</v>
      </c>
      <c r="B7">
        <v>48</v>
      </c>
      <c r="E7" s="109" t="s">
        <v>16</v>
      </c>
      <c r="F7" s="48">
        <v>0</v>
      </c>
      <c r="G7" s="151" t="s">
        <v>17</v>
      </c>
      <c r="H7" s="151" t="s">
        <v>12</v>
      </c>
      <c r="I7" t="s">
        <v>13</v>
      </c>
      <c r="J7" s="151" t="s">
        <v>18</v>
      </c>
      <c r="K7">
        <v>1000</v>
      </c>
      <c r="L7" t="s">
        <v>13</v>
      </c>
    </row>
    <row r="8" spans="1:12" x14ac:dyDescent="0.35">
      <c r="A8" s="148" t="s">
        <v>19</v>
      </c>
      <c r="B8">
        <v>44</v>
      </c>
      <c r="E8" s="109" t="s">
        <v>20</v>
      </c>
      <c r="F8">
        <v>1</v>
      </c>
    </row>
    <row r="9" spans="1:12" x14ac:dyDescent="0.35">
      <c r="A9" s="148" t="s">
        <v>21</v>
      </c>
      <c r="B9">
        <v>8.5</v>
      </c>
      <c r="E9" s="109" t="s">
        <v>22</v>
      </c>
      <c r="F9">
        <v>1</v>
      </c>
    </row>
    <row r="10" spans="1:12" x14ac:dyDescent="0.35">
      <c r="A10" s="148" t="s">
        <v>23</v>
      </c>
      <c r="B10">
        <v>8</v>
      </c>
      <c r="E10" s="109" t="s">
        <v>24</v>
      </c>
      <c r="F10">
        <v>1</v>
      </c>
    </row>
    <row r="11" spans="1:12" x14ac:dyDescent="0.35">
      <c r="A11" s="148" t="s">
        <v>25</v>
      </c>
      <c r="B11">
        <v>8</v>
      </c>
      <c r="E11" s="109" t="s">
        <v>26</v>
      </c>
      <c r="F11">
        <v>1</v>
      </c>
    </row>
    <row r="12" spans="1:12" x14ac:dyDescent="0.35">
      <c r="A12" s="148" t="s">
        <v>27</v>
      </c>
      <c r="B12">
        <v>8</v>
      </c>
      <c r="E12" s="109" t="s">
        <v>28</v>
      </c>
      <c r="F12">
        <v>12</v>
      </c>
    </row>
    <row r="13" spans="1:12" x14ac:dyDescent="0.35">
      <c r="A13" s="148" t="s">
        <v>29</v>
      </c>
      <c r="B13">
        <v>0.93740000000000001</v>
      </c>
      <c r="E13" s="109" t="s">
        <v>30</v>
      </c>
      <c r="F13">
        <v>12</v>
      </c>
    </row>
    <row r="14" spans="1:12" x14ac:dyDescent="0.35">
      <c r="A14" s="148" t="s">
        <v>31</v>
      </c>
      <c r="B14">
        <v>1.6571</v>
      </c>
      <c r="E14" s="109" t="s">
        <v>32</v>
      </c>
      <c r="F14">
        <v>12</v>
      </c>
    </row>
    <row r="15" spans="1:12" x14ac:dyDescent="0.35">
      <c r="A15" s="149" t="s">
        <v>33</v>
      </c>
      <c r="B15">
        <f>1-B5</f>
        <v>0.55000000000000004</v>
      </c>
      <c r="C15" s="107" t="s">
        <v>34</v>
      </c>
      <c r="E15" s="109" t="s">
        <v>35</v>
      </c>
      <c r="F15">
        <v>12</v>
      </c>
    </row>
    <row r="16" spans="1:12" x14ac:dyDescent="0.35">
      <c r="A16" s="149" t="s">
        <v>36</v>
      </c>
      <c r="B16">
        <f>B6*B15</f>
        <v>33.550000000000004</v>
      </c>
      <c r="D16" s="46"/>
      <c r="E16" s="109" t="s">
        <v>37</v>
      </c>
      <c r="F16">
        <v>-0.12655</v>
      </c>
    </row>
    <row r="17" spans="1:7" x14ac:dyDescent="0.35">
      <c r="A17" s="149" t="s">
        <v>38</v>
      </c>
      <c r="B17">
        <f>B6*B5</f>
        <v>27.45</v>
      </c>
      <c r="E17" s="109" t="s">
        <v>39</v>
      </c>
      <c r="F17">
        <v>-0.5</v>
      </c>
    </row>
    <row r="18" spans="1:7" x14ac:dyDescent="0.35">
      <c r="A18" s="149" t="s">
        <v>40</v>
      </c>
      <c r="B18">
        <f>(B5*B4)/2</f>
        <v>146.25</v>
      </c>
      <c r="E18" s="109" t="s">
        <v>41</v>
      </c>
      <c r="F18">
        <v>0</v>
      </c>
    </row>
    <row r="19" spans="1:7" x14ac:dyDescent="0.35">
      <c r="A19" s="149" t="s">
        <v>42</v>
      </c>
      <c r="B19">
        <f>(B15*B4)/2</f>
        <v>178.75000000000003</v>
      </c>
      <c r="E19" s="109" t="s">
        <v>43</v>
      </c>
      <c r="F19">
        <v>0</v>
      </c>
    </row>
    <row r="20" spans="1:7" x14ac:dyDescent="0.35">
      <c r="A20" s="149" t="s">
        <v>44</v>
      </c>
      <c r="B20">
        <f>B9-B13</f>
        <v>7.5625999999999998</v>
      </c>
      <c r="E20" s="109" t="s">
        <v>45</v>
      </c>
      <c r="F20">
        <v>0</v>
      </c>
    </row>
    <row r="21" spans="1:7" x14ac:dyDescent="0.35">
      <c r="A21" s="149" t="s">
        <v>46</v>
      </c>
      <c r="B21">
        <f>B9-B14</f>
        <v>6.8429000000000002</v>
      </c>
      <c r="E21" s="109" t="s">
        <v>47</v>
      </c>
      <c r="F21">
        <v>8</v>
      </c>
    </row>
    <row r="22" spans="1:7" x14ac:dyDescent="0.35">
      <c r="A22" s="149" t="s">
        <v>48</v>
      </c>
      <c r="B22">
        <f>B20+(((B21-B20)/B6)*B16)</f>
        <v>7.1667649999999998</v>
      </c>
      <c r="E22" s="109" t="s">
        <v>49</v>
      </c>
      <c r="F22">
        <v>8</v>
      </c>
    </row>
    <row r="24" spans="1:7" x14ac:dyDescent="0.35">
      <c r="A24" s="112" t="s">
        <v>50</v>
      </c>
      <c r="E24" s="115" t="s">
        <v>51</v>
      </c>
      <c r="F24" s="146"/>
      <c r="G24" s="146"/>
    </row>
    <row r="25" spans="1:7" x14ac:dyDescent="0.35">
      <c r="A25" s="111" t="s">
        <v>52</v>
      </c>
      <c r="B25">
        <v>-4.1486000000000001</v>
      </c>
      <c r="C25" t="s">
        <v>4</v>
      </c>
      <c r="E25" s="147" t="s">
        <v>53</v>
      </c>
      <c r="F25">
        <v>1.45</v>
      </c>
      <c r="G25" t="s">
        <v>4</v>
      </c>
    </row>
    <row r="26" spans="1:7" x14ac:dyDescent="0.35">
      <c r="A26" s="111" t="s">
        <v>54</v>
      </c>
      <c r="B26">
        <v>1.425</v>
      </c>
      <c r="E26" s="147" t="s">
        <v>55</v>
      </c>
      <c r="F26">
        <v>1</v>
      </c>
    </row>
    <row r="27" spans="1:7" x14ac:dyDescent="0.35">
      <c r="A27" s="111" t="s">
        <v>56</v>
      </c>
      <c r="B27">
        <v>1019.902</v>
      </c>
      <c r="E27" s="147" t="s">
        <v>57</v>
      </c>
      <c r="F27">
        <v>0.3</v>
      </c>
    </row>
    <row r="28" spans="1:7" x14ac:dyDescent="0.35">
      <c r="A28" s="111" t="s">
        <v>58</v>
      </c>
      <c r="B28" s="48">
        <v>4.3000000000000002E-5</v>
      </c>
      <c r="E28" s="147" t="s">
        <v>59</v>
      </c>
      <c r="F28">
        <v>4</v>
      </c>
    </row>
    <row r="29" spans="1:7" x14ac:dyDescent="0.35">
      <c r="A29" s="111" t="s">
        <v>60</v>
      </c>
      <c r="B29">
        <v>0.4</v>
      </c>
      <c r="E29" s="147" t="s">
        <v>61</v>
      </c>
      <c r="F29">
        <v>0.875</v>
      </c>
    </row>
    <row r="30" spans="1:7" x14ac:dyDescent="0.35">
      <c r="A30" s="113" t="s">
        <v>62</v>
      </c>
      <c r="B30">
        <f>1-B29</f>
        <v>0.6</v>
      </c>
      <c r="C30" s="107" t="s">
        <v>34</v>
      </c>
      <c r="E30" s="147" t="s">
        <v>63</v>
      </c>
      <c r="F30">
        <v>6.28</v>
      </c>
    </row>
    <row r="31" spans="1:7" x14ac:dyDescent="0.35">
      <c r="E31" s="147" t="s">
        <v>64</v>
      </c>
      <c r="F31">
        <v>1.45</v>
      </c>
    </row>
    <row r="32" spans="1:7" s="146" customFormat="1" x14ac:dyDescent="0.35">
      <c r="A32" s="110" t="s">
        <v>65</v>
      </c>
      <c r="B32"/>
      <c r="C32"/>
      <c r="E32" s="147" t="s">
        <v>66</v>
      </c>
      <c r="F32">
        <v>1</v>
      </c>
      <c r="G32"/>
    </row>
    <row r="33" spans="1:7" x14ac:dyDescent="0.35">
      <c r="A33" s="102" t="s">
        <v>67</v>
      </c>
      <c r="B33">
        <v>3.8570000000000002</v>
      </c>
      <c r="C33" t="s">
        <v>4</v>
      </c>
      <c r="E33" s="147" t="s">
        <v>68</v>
      </c>
      <c r="F33">
        <v>0.3</v>
      </c>
    </row>
    <row r="34" spans="1:7" x14ac:dyDescent="0.35">
      <c r="E34" s="147" t="s">
        <v>69</v>
      </c>
      <c r="F34">
        <v>2</v>
      </c>
    </row>
    <row r="35" spans="1:7" x14ac:dyDescent="0.35">
      <c r="E35" s="147" t="s">
        <v>70</v>
      </c>
      <c r="F35">
        <v>0.8125</v>
      </c>
    </row>
    <row r="36" spans="1:7" x14ac:dyDescent="0.35">
      <c r="E36" s="147" t="s">
        <v>71</v>
      </c>
      <c r="F36">
        <v>6.8</v>
      </c>
    </row>
    <row r="37" spans="1:7" x14ac:dyDescent="0.35">
      <c r="E37" s="147" t="s">
        <v>72</v>
      </c>
      <c r="F37">
        <v>6</v>
      </c>
    </row>
    <row r="38" spans="1:7" x14ac:dyDescent="0.35">
      <c r="E38" s="147" t="s">
        <v>73</v>
      </c>
      <c r="F38">
        <v>0.5</v>
      </c>
    </row>
    <row r="39" spans="1:7" x14ac:dyDescent="0.35">
      <c r="E39" s="150" t="s">
        <v>74</v>
      </c>
      <c r="F39">
        <f>(PI()*(F26/2)^2)*F28</f>
        <v>3.1415926535897931</v>
      </c>
      <c r="G39" t="s">
        <v>34</v>
      </c>
    </row>
    <row r="40" spans="1:7" x14ac:dyDescent="0.35">
      <c r="E40" s="150" t="s">
        <v>75</v>
      </c>
      <c r="F40">
        <f>(PI()*(F29/2)^2)</f>
        <v>0.6013204688511713</v>
      </c>
    </row>
    <row r="41" spans="1:7" x14ac:dyDescent="0.35">
      <c r="E41" s="150" t="s">
        <v>76</v>
      </c>
      <c r="F41">
        <f>(PI()*(F32/2)^2)*F34</f>
        <v>1.5707963267948966</v>
      </c>
    </row>
    <row r="42" spans="1:7" x14ac:dyDescent="0.35">
      <c r="E42" s="150" t="s">
        <v>77</v>
      </c>
      <c r="F42">
        <f>(PI()*(F35/2)^2)</f>
        <v>0.51848550630534673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BE1B5-93E8-43E0-834B-C4E465AD9740}">
  <dimension ref="A1:AX236"/>
  <sheetViews>
    <sheetView zoomScale="73" zoomScaleNormal="60" workbookViewId="0">
      <selection activeCell="T24" sqref="T24"/>
    </sheetView>
  </sheetViews>
  <sheetFormatPr defaultRowHeight="14.5" x14ac:dyDescent="0.35"/>
  <cols>
    <col min="33" max="33" width="11.453125" customWidth="1"/>
    <col min="34" max="34" width="13" customWidth="1"/>
    <col min="37" max="37" width="9.453125" customWidth="1"/>
    <col min="43" max="43" width="15.453125" customWidth="1"/>
    <col min="44" max="44" width="16.54296875" customWidth="1"/>
    <col min="45" max="45" width="10.81640625" customWidth="1"/>
  </cols>
  <sheetData>
    <row r="1" spans="1:50" ht="15.5" x14ac:dyDescent="0.35">
      <c r="L1" s="46" t="s">
        <v>78</v>
      </c>
      <c r="AF1" s="105"/>
    </row>
    <row r="2" spans="1:50" ht="15.5" x14ac:dyDescent="0.35">
      <c r="L2" s="99" t="s">
        <v>79</v>
      </c>
      <c r="Q2" s="99" t="s">
        <v>80</v>
      </c>
      <c r="V2" s="99" t="s">
        <v>81</v>
      </c>
      <c r="AA2" s="99" t="s">
        <v>82</v>
      </c>
      <c r="AF2" s="116" t="s">
        <v>83</v>
      </c>
    </row>
    <row r="3" spans="1:50" ht="15" thickBot="1" x14ac:dyDescent="0.4">
      <c r="AF3" s="117" t="s">
        <v>84</v>
      </c>
      <c r="AG3" s="118"/>
      <c r="AH3" s="119" t="s">
        <v>85</v>
      </c>
      <c r="AI3" s="118"/>
      <c r="AJ3" s="120"/>
    </row>
    <row r="4" spans="1:50" ht="15" thickBot="1" x14ac:dyDescent="0.4">
      <c r="AF4" s="121" t="s">
        <v>86</v>
      </c>
      <c r="AG4" s="122" t="s">
        <v>87</v>
      </c>
      <c r="AH4" s="122" t="s">
        <v>88</v>
      </c>
      <c r="AI4" s="122" t="s">
        <v>89</v>
      </c>
      <c r="AJ4" s="123" t="s">
        <v>90</v>
      </c>
    </row>
    <row r="5" spans="1:50" x14ac:dyDescent="0.35">
      <c r="AF5" s="124">
        <v>6</v>
      </c>
      <c r="AG5" s="125">
        <v>4</v>
      </c>
      <c r="AH5" s="125">
        <v>47</v>
      </c>
      <c r="AI5" s="125">
        <v>44</v>
      </c>
      <c r="AJ5" s="126">
        <v>48</v>
      </c>
    </row>
    <row r="6" spans="1:50" ht="15" thickBot="1" x14ac:dyDescent="0.4">
      <c r="AF6" s="127">
        <v>9</v>
      </c>
      <c r="AG6" s="128">
        <v>5</v>
      </c>
      <c r="AH6" s="128">
        <v>45</v>
      </c>
      <c r="AI6" s="128">
        <v>43</v>
      </c>
      <c r="AJ6" s="129">
        <v>49</v>
      </c>
    </row>
    <row r="7" spans="1:50" ht="15" thickBot="1" x14ac:dyDescent="0.4">
      <c r="AF7" s="130"/>
      <c r="AG7" s="131"/>
      <c r="AH7" s="131"/>
      <c r="AI7" s="131"/>
      <c r="AJ7" s="132"/>
    </row>
    <row r="8" spans="1:50" x14ac:dyDescent="0.35">
      <c r="AF8" s="133"/>
      <c r="AG8" s="134"/>
      <c r="AH8" s="134"/>
      <c r="AI8" s="134"/>
      <c r="AJ8" s="135"/>
    </row>
    <row r="9" spans="1:50" ht="21" x14ac:dyDescent="0.35">
      <c r="A9" s="99" t="s">
        <v>79</v>
      </c>
      <c r="AF9" s="136"/>
    </row>
    <row r="10" spans="1:50" ht="15.5" x14ac:dyDescent="0.35">
      <c r="AF10" s="116"/>
    </row>
    <row r="11" spans="1:50" ht="15.5" x14ac:dyDescent="0.35">
      <c r="AF11" s="116"/>
      <c r="AX11" s="46"/>
    </row>
    <row r="12" spans="1:50" x14ac:dyDescent="0.35">
      <c r="AF12" s="137"/>
      <c r="AG12" s="137"/>
      <c r="AH12" s="137"/>
      <c r="AI12" s="137"/>
      <c r="AJ12" s="137"/>
      <c r="AK12" s="137"/>
      <c r="AL12" s="137"/>
      <c r="AM12" s="137"/>
    </row>
    <row r="13" spans="1:50" x14ac:dyDescent="0.35">
      <c r="AF13" s="137"/>
      <c r="AG13" s="137"/>
      <c r="AH13" s="137"/>
      <c r="AI13" s="137"/>
      <c r="AJ13" s="137"/>
      <c r="AK13" s="137"/>
      <c r="AL13" s="137"/>
      <c r="AM13" s="137"/>
    </row>
    <row r="14" spans="1:50" x14ac:dyDescent="0.35">
      <c r="AF14" s="137"/>
      <c r="AG14" s="137"/>
      <c r="AH14" s="137"/>
      <c r="AI14" s="137"/>
      <c r="AJ14" s="137"/>
      <c r="AK14" s="137"/>
      <c r="AL14" s="137"/>
      <c r="AM14" s="137"/>
    </row>
    <row r="15" spans="1:50" x14ac:dyDescent="0.35">
      <c r="AF15" s="138"/>
      <c r="AG15" s="138"/>
      <c r="AH15" s="138"/>
      <c r="AI15" s="138"/>
      <c r="AJ15" s="138"/>
      <c r="AK15" s="138"/>
      <c r="AL15" s="138"/>
      <c r="AM15" s="138"/>
    </row>
    <row r="16" spans="1:50" x14ac:dyDescent="0.35">
      <c r="AF16" s="138"/>
      <c r="AG16" s="138"/>
      <c r="AH16" s="138"/>
      <c r="AI16" s="138"/>
      <c r="AJ16" s="138"/>
      <c r="AK16" s="138"/>
      <c r="AL16" s="138"/>
      <c r="AM16" s="138"/>
    </row>
    <row r="17" spans="1:39" x14ac:dyDescent="0.35">
      <c r="AF17" s="138"/>
      <c r="AG17" s="138"/>
      <c r="AH17" s="138"/>
      <c r="AI17" s="138"/>
      <c r="AJ17" s="138"/>
      <c r="AK17" s="138"/>
      <c r="AL17" s="138"/>
      <c r="AM17" s="138"/>
    </row>
    <row r="18" spans="1:39" x14ac:dyDescent="0.35">
      <c r="AF18" s="138"/>
      <c r="AG18" s="138"/>
      <c r="AH18" s="138"/>
      <c r="AI18" s="138"/>
      <c r="AJ18" s="138"/>
      <c r="AK18" s="138"/>
      <c r="AL18" s="138"/>
      <c r="AM18" s="138"/>
    </row>
    <row r="19" spans="1:39" x14ac:dyDescent="0.35">
      <c r="AF19" s="138"/>
      <c r="AG19" s="138"/>
      <c r="AH19" s="138"/>
      <c r="AI19" s="138"/>
      <c r="AJ19" s="138"/>
      <c r="AK19" s="138"/>
      <c r="AL19" s="138"/>
      <c r="AM19" s="138"/>
    </row>
    <row r="20" spans="1:39" x14ac:dyDescent="0.35">
      <c r="AF20" s="138"/>
      <c r="AG20" s="138"/>
      <c r="AH20" s="138"/>
      <c r="AI20" s="138"/>
      <c r="AJ20" s="138"/>
      <c r="AK20" s="138"/>
      <c r="AL20" s="138"/>
      <c r="AM20" s="138"/>
    </row>
    <row r="21" spans="1:39" x14ac:dyDescent="0.35">
      <c r="AF21" s="138"/>
      <c r="AG21" s="138"/>
      <c r="AH21" s="138"/>
      <c r="AI21" s="138"/>
      <c r="AJ21" s="138"/>
      <c r="AK21" s="138"/>
      <c r="AL21" s="138"/>
      <c r="AM21" s="138"/>
    </row>
    <row r="22" spans="1:39" x14ac:dyDescent="0.35">
      <c r="A22" s="99" t="s">
        <v>80</v>
      </c>
      <c r="AF22" s="138"/>
      <c r="AG22" s="138"/>
      <c r="AH22" s="138"/>
      <c r="AI22" s="138"/>
      <c r="AJ22" s="138"/>
      <c r="AK22" s="138"/>
      <c r="AL22" s="138"/>
      <c r="AM22" s="138"/>
    </row>
    <row r="23" spans="1:39" x14ac:dyDescent="0.35">
      <c r="AF23" s="138"/>
      <c r="AG23" s="138"/>
      <c r="AH23" s="138"/>
      <c r="AI23" s="138"/>
      <c r="AJ23" s="138"/>
      <c r="AK23" s="138"/>
      <c r="AL23" s="138"/>
      <c r="AM23" s="138"/>
    </row>
    <row r="24" spans="1:39" x14ac:dyDescent="0.35">
      <c r="AF24" s="138"/>
      <c r="AG24" s="138"/>
      <c r="AH24" s="138"/>
      <c r="AI24" s="138"/>
      <c r="AJ24" s="138"/>
      <c r="AK24" s="138"/>
      <c r="AL24" s="138"/>
      <c r="AM24" s="138"/>
    </row>
    <row r="25" spans="1:39" x14ac:dyDescent="0.35">
      <c r="AF25" s="138"/>
      <c r="AG25" s="138"/>
      <c r="AH25" s="138"/>
      <c r="AI25" s="138"/>
      <c r="AJ25" s="138"/>
      <c r="AK25" s="138"/>
      <c r="AL25" s="138"/>
      <c r="AM25" s="138"/>
    </row>
    <row r="26" spans="1:39" x14ac:dyDescent="0.35">
      <c r="AF26" s="138"/>
      <c r="AG26" s="138"/>
      <c r="AH26" s="138"/>
      <c r="AI26" s="138"/>
      <c r="AJ26" s="138"/>
      <c r="AK26" s="138"/>
      <c r="AL26" s="138"/>
      <c r="AM26" s="138"/>
    </row>
    <row r="27" spans="1:39" x14ac:dyDescent="0.35">
      <c r="AF27" s="138"/>
      <c r="AG27" s="138"/>
      <c r="AH27" s="138"/>
      <c r="AI27" s="138"/>
      <c r="AJ27" s="138"/>
      <c r="AK27" s="138"/>
      <c r="AL27" s="138"/>
      <c r="AM27" s="138"/>
    </row>
    <row r="28" spans="1:39" x14ac:dyDescent="0.35">
      <c r="AF28" s="138"/>
      <c r="AG28" s="138"/>
      <c r="AH28" s="138"/>
      <c r="AI28" s="138"/>
      <c r="AJ28" s="138"/>
      <c r="AK28" s="138"/>
      <c r="AL28" s="138"/>
      <c r="AM28" s="138"/>
    </row>
    <row r="29" spans="1:39" x14ac:dyDescent="0.35">
      <c r="AF29" s="138"/>
      <c r="AG29" s="138"/>
      <c r="AH29" s="138"/>
      <c r="AI29" s="138"/>
      <c r="AJ29" s="138"/>
      <c r="AK29" s="138"/>
      <c r="AL29" s="138"/>
      <c r="AM29" s="138"/>
    </row>
    <row r="30" spans="1:39" x14ac:dyDescent="0.35">
      <c r="AF30" s="138"/>
      <c r="AG30" s="138"/>
      <c r="AH30" s="138"/>
      <c r="AI30" s="138"/>
      <c r="AJ30" s="138"/>
      <c r="AK30" s="138"/>
      <c r="AL30" s="138"/>
      <c r="AM30" s="138"/>
    </row>
    <row r="31" spans="1:39" x14ac:dyDescent="0.35">
      <c r="L31" s="99"/>
      <c r="Q31" s="99"/>
      <c r="AF31" s="138"/>
      <c r="AG31" s="138"/>
      <c r="AH31" s="138"/>
      <c r="AI31" s="138"/>
      <c r="AJ31" s="138"/>
      <c r="AK31" s="138"/>
      <c r="AL31" s="138"/>
      <c r="AM31" s="138"/>
    </row>
    <row r="32" spans="1:39" x14ac:dyDescent="0.35">
      <c r="AF32" s="138"/>
      <c r="AG32" s="138"/>
      <c r="AH32" s="138"/>
      <c r="AI32" s="138"/>
      <c r="AJ32" s="138"/>
      <c r="AK32" s="138"/>
      <c r="AL32" s="138"/>
      <c r="AM32" s="138"/>
    </row>
    <row r="33" spans="1:39" x14ac:dyDescent="0.35">
      <c r="AF33" s="138"/>
      <c r="AG33" s="138"/>
      <c r="AH33" s="138"/>
      <c r="AI33" s="138"/>
      <c r="AJ33" s="138"/>
      <c r="AK33" s="138"/>
      <c r="AL33" s="138"/>
      <c r="AM33" s="138"/>
    </row>
    <row r="34" spans="1:39" x14ac:dyDescent="0.35">
      <c r="AF34" s="138"/>
      <c r="AG34" s="138"/>
      <c r="AH34" s="138"/>
      <c r="AI34" s="138"/>
      <c r="AJ34" s="138"/>
      <c r="AK34" s="138"/>
      <c r="AL34" s="138"/>
      <c r="AM34" s="138"/>
    </row>
    <row r="35" spans="1:39" x14ac:dyDescent="0.35">
      <c r="A35" s="99" t="s">
        <v>81</v>
      </c>
      <c r="AF35" s="138"/>
      <c r="AG35" s="138"/>
      <c r="AH35" s="138"/>
      <c r="AI35" s="138"/>
      <c r="AJ35" s="138"/>
      <c r="AK35" s="138"/>
      <c r="AL35" s="138"/>
      <c r="AM35" s="138"/>
    </row>
    <row r="36" spans="1:39" x14ac:dyDescent="0.35">
      <c r="AF36" s="138"/>
      <c r="AG36" s="138"/>
      <c r="AH36" s="138"/>
      <c r="AI36" s="138"/>
      <c r="AJ36" s="138"/>
      <c r="AK36" s="138"/>
      <c r="AL36" s="138"/>
      <c r="AM36" s="138"/>
    </row>
    <row r="37" spans="1:39" x14ac:dyDescent="0.35">
      <c r="AF37" s="138"/>
      <c r="AG37" s="138"/>
      <c r="AH37" s="138"/>
      <c r="AI37" s="138"/>
      <c r="AJ37" s="138"/>
      <c r="AK37" s="138"/>
      <c r="AL37" s="138"/>
      <c r="AM37" s="138"/>
    </row>
    <row r="38" spans="1:39" x14ac:dyDescent="0.35">
      <c r="AF38" s="138"/>
      <c r="AG38" s="138"/>
      <c r="AH38" s="138"/>
      <c r="AI38" s="138"/>
      <c r="AJ38" s="138"/>
      <c r="AK38" s="138"/>
      <c r="AL38" s="138"/>
      <c r="AM38" s="138"/>
    </row>
    <row r="39" spans="1:39" x14ac:dyDescent="0.35">
      <c r="AF39" s="138"/>
      <c r="AG39" s="138"/>
      <c r="AH39" s="138"/>
      <c r="AI39" s="138"/>
      <c r="AJ39" s="138"/>
      <c r="AK39" s="138"/>
      <c r="AL39" s="138"/>
      <c r="AM39" s="138"/>
    </row>
    <row r="40" spans="1:39" x14ac:dyDescent="0.35">
      <c r="AF40" s="138"/>
      <c r="AG40" s="138"/>
      <c r="AH40" s="138"/>
      <c r="AI40" s="138"/>
      <c r="AJ40" s="138"/>
      <c r="AK40" s="138"/>
      <c r="AL40" s="138"/>
      <c r="AM40" s="138"/>
    </row>
    <row r="41" spans="1:39" x14ac:dyDescent="0.35">
      <c r="AF41" s="138"/>
      <c r="AG41" s="138"/>
      <c r="AH41" s="138"/>
      <c r="AI41" s="138"/>
      <c r="AJ41" s="138"/>
      <c r="AK41" s="138"/>
      <c r="AL41" s="138"/>
      <c r="AM41" s="138"/>
    </row>
    <row r="42" spans="1:39" x14ac:dyDescent="0.35">
      <c r="AF42" s="138"/>
      <c r="AG42" s="138"/>
      <c r="AH42" s="138"/>
      <c r="AI42" s="138"/>
      <c r="AJ42" s="138"/>
      <c r="AK42" s="138"/>
      <c r="AL42" s="138"/>
      <c r="AM42" s="138"/>
    </row>
    <row r="43" spans="1:39" x14ac:dyDescent="0.35">
      <c r="AF43" s="138"/>
      <c r="AG43" s="138"/>
      <c r="AH43" s="138"/>
      <c r="AI43" s="138"/>
      <c r="AJ43" s="138"/>
      <c r="AK43" s="138"/>
      <c r="AL43" s="138"/>
      <c r="AM43" s="138"/>
    </row>
    <row r="44" spans="1:39" x14ac:dyDescent="0.35">
      <c r="AF44" s="138"/>
      <c r="AG44" s="138"/>
      <c r="AH44" s="138"/>
      <c r="AI44" s="138"/>
      <c r="AJ44" s="138"/>
      <c r="AK44" s="138"/>
      <c r="AL44" s="138"/>
      <c r="AM44" s="138"/>
    </row>
    <row r="45" spans="1:39" x14ac:dyDescent="0.35">
      <c r="AF45" s="138"/>
      <c r="AG45" s="138"/>
      <c r="AH45" s="138"/>
      <c r="AI45" s="138"/>
      <c r="AJ45" s="138"/>
      <c r="AK45" s="138"/>
      <c r="AL45" s="138"/>
      <c r="AM45" s="138"/>
    </row>
    <row r="46" spans="1:39" x14ac:dyDescent="0.35">
      <c r="AF46" s="138"/>
      <c r="AG46" s="138"/>
      <c r="AH46" s="138"/>
      <c r="AI46" s="138"/>
      <c r="AJ46" s="138"/>
      <c r="AK46" s="138"/>
      <c r="AL46" s="138"/>
      <c r="AM46" s="138"/>
    </row>
    <row r="47" spans="1:39" x14ac:dyDescent="0.35">
      <c r="AF47" s="138"/>
      <c r="AG47" s="138"/>
      <c r="AH47" s="138"/>
      <c r="AI47" s="138"/>
      <c r="AJ47" s="138"/>
      <c r="AK47" s="138"/>
      <c r="AL47" s="138"/>
      <c r="AM47" s="138"/>
    </row>
    <row r="48" spans="1:39" x14ac:dyDescent="0.35">
      <c r="A48" s="99" t="s">
        <v>82</v>
      </c>
      <c r="AF48" s="138"/>
      <c r="AG48" s="138"/>
      <c r="AH48" s="138"/>
      <c r="AI48" s="138"/>
      <c r="AJ48" s="138"/>
      <c r="AK48" s="138"/>
      <c r="AL48" s="138"/>
      <c r="AM48" s="138"/>
    </row>
    <row r="49" spans="32:39" x14ac:dyDescent="0.35">
      <c r="AF49" s="138"/>
      <c r="AG49" s="138"/>
      <c r="AH49" s="138"/>
      <c r="AI49" s="138"/>
      <c r="AJ49" s="138"/>
      <c r="AK49" s="138"/>
      <c r="AL49" s="138"/>
      <c r="AM49" s="138"/>
    </row>
    <row r="50" spans="32:39" x14ac:dyDescent="0.35">
      <c r="AF50" s="138"/>
      <c r="AG50" s="138"/>
      <c r="AH50" s="138"/>
      <c r="AI50" s="138"/>
      <c r="AJ50" s="138"/>
      <c r="AK50" s="138"/>
      <c r="AL50" s="138"/>
      <c r="AM50" s="138"/>
    </row>
    <row r="51" spans="32:39" x14ac:dyDescent="0.35">
      <c r="AF51" s="138"/>
      <c r="AG51" s="138"/>
      <c r="AH51" s="138"/>
      <c r="AI51" s="138"/>
      <c r="AJ51" s="138"/>
      <c r="AK51" s="138"/>
      <c r="AL51" s="138"/>
      <c r="AM51" s="138"/>
    </row>
    <row r="52" spans="32:39" x14ac:dyDescent="0.35">
      <c r="AF52" s="138"/>
      <c r="AG52" s="138"/>
      <c r="AH52" s="138"/>
      <c r="AI52" s="138"/>
      <c r="AJ52" s="138"/>
      <c r="AK52" s="138"/>
      <c r="AL52" s="138"/>
      <c r="AM52" s="138"/>
    </row>
    <row r="53" spans="32:39" x14ac:dyDescent="0.35">
      <c r="AF53" s="138"/>
      <c r="AG53" s="138"/>
      <c r="AH53" s="138"/>
      <c r="AI53" s="138"/>
      <c r="AJ53" s="138"/>
      <c r="AK53" s="138"/>
      <c r="AL53" s="138"/>
      <c r="AM53" s="138"/>
    </row>
    <row r="54" spans="32:39" x14ac:dyDescent="0.35">
      <c r="AF54" s="138"/>
      <c r="AG54" s="138"/>
      <c r="AH54" s="138"/>
      <c r="AI54" s="138"/>
      <c r="AJ54" s="138"/>
      <c r="AK54" s="138"/>
      <c r="AL54" s="138"/>
      <c r="AM54" s="138"/>
    </row>
    <row r="55" spans="32:39" x14ac:dyDescent="0.35">
      <c r="AF55" s="138"/>
      <c r="AG55" s="138"/>
      <c r="AH55" s="138"/>
      <c r="AI55" s="138"/>
      <c r="AJ55" s="138"/>
      <c r="AK55" s="138"/>
      <c r="AL55" s="138"/>
      <c r="AM55" s="138"/>
    </row>
    <row r="56" spans="32:39" x14ac:dyDescent="0.35">
      <c r="AF56" s="138"/>
      <c r="AG56" s="138"/>
      <c r="AH56" s="138"/>
      <c r="AI56" s="138"/>
      <c r="AJ56" s="138"/>
      <c r="AK56" s="138"/>
      <c r="AL56" s="138"/>
      <c r="AM56" s="138"/>
    </row>
    <row r="57" spans="32:39" x14ac:dyDescent="0.35">
      <c r="AF57" s="138"/>
      <c r="AG57" s="138"/>
      <c r="AH57" s="138"/>
      <c r="AI57" s="138"/>
      <c r="AJ57" s="138"/>
      <c r="AK57" s="138"/>
      <c r="AL57" s="138"/>
      <c r="AM57" s="138"/>
    </row>
    <row r="58" spans="32:39" x14ac:dyDescent="0.35">
      <c r="AF58" s="138"/>
      <c r="AG58" s="138"/>
      <c r="AH58" s="138"/>
      <c r="AI58" s="138"/>
      <c r="AJ58" s="138"/>
      <c r="AK58" s="138"/>
      <c r="AL58" s="138"/>
      <c r="AM58" s="138"/>
    </row>
    <row r="59" spans="32:39" x14ac:dyDescent="0.35">
      <c r="AF59" s="138"/>
      <c r="AG59" s="138"/>
      <c r="AH59" s="138"/>
      <c r="AI59" s="138"/>
      <c r="AJ59" s="138"/>
      <c r="AK59" s="138"/>
      <c r="AL59" s="138"/>
      <c r="AM59" s="138"/>
    </row>
    <row r="60" spans="32:39" x14ac:dyDescent="0.35">
      <c r="AF60" s="138"/>
      <c r="AG60" s="138"/>
      <c r="AH60" s="138"/>
      <c r="AI60" s="138"/>
      <c r="AJ60" s="138"/>
      <c r="AK60" s="138"/>
      <c r="AL60" s="138"/>
      <c r="AM60" s="138"/>
    </row>
    <row r="61" spans="32:39" x14ac:dyDescent="0.35">
      <c r="AF61" s="138"/>
      <c r="AG61" s="138"/>
      <c r="AH61" s="138"/>
      <c r="AI61" s="138"/>
      <c r="AJ61" s="138"/>
      <c r="AK61" s="138"/>
      <c r="AL61" s="138"/>
      <c r="AM61" s="138"/>
    </row>
    <row r="62" spans="32:39" x14ac:dyDescent="0.35">
      <c r="AF62" s="138"/>
      <c r="AG62" s="138"/>
      <c r="AH62" s="138"/>
      <c r="AI62" s="138"/>
      <c r="AJ62" s="138"/>
      <c r="AK62" s="138"/>
      <c r="AL62" s="138"/>
      <c r="AM62" s="138"/>
    </row>
    <row r="63" spans="32:39" x14ac:dyDescent="0.35">
      <c r="AF63" s="138"/>
      <c r="AG63" s="138"/>
      <c r="AH63" s="138"/>
      <c r="AI63" s="138"/>
      <c r="AJ63" s="138"/>
      <c r="AK63" s="138"/>
      <c r="AL63" s="138"/>
      <c r="AM63" s="138"/>
    </row>
    <row r="64" spans="32:39" x14ac:dyDescent="0.35">
      <c r="AF64" s="138"/>
      <c r="AG64" s="138"/>
      <c r="AH64" s="138"/>
      <c r="AI64" s="138"/>
      <c r="AJ64" s="138"/>
      <c r="AK64" s="138"/>
      <c r="AL64" s="138"/>
      <c r="AM64" s="138"/>
    </row>
    <row r="65" spans="32:39" x14ac:dyDescent="0.35">
      <c r="AF65" s="138"/>
      <c r="AG65" s="138"/>
      <c r="AH65" s="138"/>
      <c r="AI65" s="138"/>
      <c r="AJ65" s="138"/>
      <c r="AK65" s="138"/>
      <c r="AL65" s="138"/>
      <c r="AM65" s="138"/>
    </row>
    <row r="66" spans="32:39" x14ac:dyDescent="0.35">
      <c r="AF66" s="138"/>
      <c r="AG66" s="138"/>
      <c r="AH66" s="138"/>
      <c r="AI66" s="138"/>
      <c r="AJ66" s="138"/>
      <c r="AK66" s="138"/>
      <c r="AL66" s="138"/>
      <c r="AM66" s="138"/>
    </row>
    <row r="67" spans="32:39" x14ac:dyDescent="0.35">
      <c r="AF67" s="138"/>
      <c r="AG67" s="138"/>
      <c r="AH67" s="138"/>
      <c r="AI67" s="138"/>
      <c r="AJ67" s="138"/>
      <c r="AK67" s="138"/>
      <c r="AL67" s="138"/>
      <c r="AM67" s="138"/>
    </row>
    <row r="68" spans="32:39" x14ac:dyDescent="0.35">
      <c r="AF68" s="138"/>
      <c r="AG68" s="138"/>
      <c r="AH68" s="138"/>
      <c r="AI68" s="138"/>
      <c r="AJ68" s="138"/>
      <c r="AK68" s="138"/>
      <c r="AL68" s="138"/>
      <c r="AM68" s="138"/>
    </row>
    <row r="69" spans="32:39" x14ac:dyDescent="0.35">
      <c r="AF69" s="138"/>
      <c r="AG69" s="138"/>
      <c r="AH69" s="138"/>
      <c r="AI69" s="138"/>
      <c r="AJ69" s="138"/>
      <c r="AK69" s="138"/>
      <c r="AL69" s="138"/>
      <c r="AM69" s="138"/>
    </row>
    <row r="70" spans="32:39" x14ac:dyDescent="0.35">
      <c r="AF70" s="138"/>
      <c r="AG70" s="138"/>
      <c r="AH70" s="138"/>
      <c r="AI70" s="138"/>
      <c r="AJ70" s="138"/>
      <c r="AK70" s="138"/>
      <c r="AL70" s="138"/>
      <c r="AM70" s="138"/>
    </row>
    <row r="71" spans="32:39" x14ac:dyDescent="0.35">
      <c r="AF71" s="138"/>
      <c r="AG71" s="138"/>
      <c r="AH71" s="138"/>
      <c r="AI71" s="138"/>
      <c r="AJ71" s="138"/>
      <c r="AK71" s="138"/>
      <c r="AL71" s="138"/>
      <c r="AM71" s="138"/>
    </row>
    <row r="72" spans="32:39" x14ac:dyDescent="0.35">
      <c r="AF72" s="138"/>
      <c r="AG72" s="138"/>
      <c r="AH72" s="138"/>
      <c r="AI72" s="138"/>
      <c r="AJ72" s="138"/>
      <c r="AK72" s="138"/>
      <c r="AL72" s="138"/>
      <c r="AM72" s="138"/>
    </row>
    <row r="73" spans="32:39" x14ac:dyDescent="0.35">
      <c r="AF73" s="138"/>
      <c r="AG73" s="138"/>
      <c r="AH73" s="138"/>
      <c r="AI73" s="138"/>
      <c r="AJ73" s="138"/>
      <c r="AK73" s="138"/>
      <c r="AL73" s="138"/>
      <c r="AM73" s="138"/>
    </row>
    <row r="74" spans="32:39" x14ac:dyDescent="0.35">
      <c r="AF74" s="138"/>
      <c r="AG74" s="138"/>
      <c r="AH74" s="138"/>
      <c r="AI74" s="138"/>
      <c r="AJ74" s="138"/>
      <c r="AK74" s="138"/>
      <c r="AL74" s="138"/>
      <c r="AM74" s="138"/>
    </row>
    <row r="75" spans="32:39" x14ac:dyDescent="0.35">
      <c r="AF75" s="138"/>
      <c r="AG75" s="138"/>
      <c r="AH75" s="138"/>
      <c r="AI75" s="138"/>
      <c r="AJ75" s="138"/>
      <c r="AK75" s="138"/>
      <c r="AL75" s="138"/>
      <c r="AM75" s="138"/>
    </row>
    <row r="76" spans="32:39" x14ac:dyDescent="0.35">
      <c r="AF76" s="138"/>
      <c r="AG76" s="138"/>
      <c r="AH76" s="138"/>
      <c r="AI76" s="138"/>
      <c r="AJ76" s="138"/>
      <c r="AK76" s="138"/>
      <c r="AL76" s="138"/>
      <c r="AM76" s="138"/>
    </row>
    <row r="77" spans="32:39" x14ac:dyDescent="0.35">
      <c r="AF77" s="138"/>
      <c r="AG77" s="138"/>
      <c r="AH77" s="138"/>
      <c r="AI77" s="138"/>
      <c r="AJ77" s="138"/>
      <c r="AK77" s="138"/>
      <c r="AL77" s="138"/>
      <c r="AM77" s="138"/>
    </row>
    <row r="78" spans="32:39" x14ac:dyDescent="0.35">
      <c r="AF78" s="138"/>
      <c r="AG78" s="138"/>
      <c r="AH78" s="138"/>
      <c r="AI78" s="138"/>
      <c r="AJ78" s="138"/>
      <c r="AK78" s="138"/>
      <c r="AL78" s="138"/>
      <c r="AM78" s="138"/>
    </row>
    <row r="79" spans="32:39" x14ac:dyDescent="0.35">
      <c r="AF79" s="138"/>
      <c r="AG79" s="138"/>
      <c r="AH79" s="138"/>
      <c r="AI79" s="138"/>
      <c r="AJ79" s="138"/>
      <c r="AK79" s="138"/>
      <c r="AL79" s="138"/>
      <c r="AM79" s="138"/>
    </row>
    <row r="80" spans="32:39" x14ac:dyDescent="0.35">
      <c r="AF80" s="138"/>
      <c r="AG80" s="138"/>
      <c r="AH80" s="138"/>
      <c r="AI80" s="138"/>
      <c r="AJ80" s="138"/>
      <c r="AK80" s="138"/>
      <c r="AL80" s="138"/>
      <c r="AM80" s="138"/>
    </row>
    <row r="81" spans="1:39" x14ac:dyDescent="0.35">
      <c r="AF81" s="138"/>
      <c r="AG81" s="138"/>
      <c r="AH81" s="138"/>
      <c r="AI81" s="138"/>
      <c r="AJ81" s="138"/>
      <c r="AK81" s="138"/>
      <c r="AL81" s="138"/>
      <c r="AM81" s="138"/>
    </row>
    <row r="82" spans="1:39" x14ac:dyDescent="0.35">
      <c r="AF82" s="138"/>
      <c r="AG82" s="138"/>
      <c r="AH82" s="138"/>
      <c r="AI82" s="138"/>
      <c r="AJ82" s="138"/>
      <c r="AK82" s="138"/>
      <c r="AL82" s="138"/>
      <c r="AM82" s="138"/>
    </row>
    <row r="83" spans="1:39" x14ac:dyDescent="0.35">
      <c r="AF83" s="138"/>
      <c r="AG83" s="138"/>
      <c r="AH83" s="138"/>
      <c r="AI83" s="138"/>
      <c r="AJ83" s="138"/>
      <c r="AK83" s="138"/>
      <c r="AL83" s="138"/>
      <c r="AM83" s="138"/>
    </row>
    <row r="84" spans="1:39" x14ac:dyDescent="0.35">
      <c r="AF84" s="138"/>
      <c r="AG84" s="138"/>
      <c r="AH84" s="138"/>
      <c r="AI84" s="138"/>
      <c r="AJ84" s="138"/>
      <c r="AK84" s="138"/>
      <c r="AL84" s="138"/>
      <c r="AM84" s="138"/>
    </row>
    <row r="85" spans="1:39" x14ac:dyDescent="0.35">
      <c r="AF85" s="138"/>
      <c r="AG85" s="138"/>
      <c r="AH85" s="138"/>
      <c r="AI85" s="138"/>
      <c r="AJ85" s="138"/>
      <c r="AK85" s="138"/>
      <c r="AL85" s="138"/>
      <c r="AM85" s="138"/>
    </row>
    <row r="86" spans="1:39" x14ac:dyDescent="0.35">
      <c r="AF86" s="138"/>
      <c r="AG86" s="138"/>
      <c r="AH86" s="138"/>
      <c r="AI86" s="138"/>
      <c r="AJ86" s="138"/>
      <c r="AK86" s="138"/>
      <c r="AL86" s="138"/>
      <c r="AM86" s="138"/>
    </row>
    <row r="87" spans="1:39" x14ac:dyDescent="0.35">
      <c r="A87" t="s">
        <v>91</v>
      </c>
      <c r="AF87" s="138"/>
      <c r="AG87" s="138"/>
      <c r="AH87" s="138"/>
      <c r="AI87" s="138"/>
      <c r="AJ87" s="138"/>
      <c r="AK87" s="138"/>
      <c r="AL87" s="138"/>
      <c r="AM87" s="138"/>
    </row>
    <row r="88" spans="1:39" x14ac:dyDescent="0.35">
      <c r="A88" t="s">
        <v>92</v>
      </c>
      <c r="AF88" s="138"/>
      <c r="AG88" s="138"/>
      <c r="AH88" s="138"/>
      <c r="AI88" s="138"/>
      <c r="AJ88" s="138"/>
      <c r="AK88" s="138"/>
      <c r="AL88" s="138"/>
      <c r="AM88" s="138"/>
    </row>
    <row r="89" spans="1:39" x14ac:dyDescent="0.35">
      <c r="AF89" s="138"/>
      <c r="AG89" s="138"/>
      <c r="AH89" s="138"/>
      <c r="AI89" s="138"/>
      <c r="AJ89" s="138"/>
      <c r="AK89" s="138"/>
      <c r="AL89" s="138"/>
      <c r="AM89" s="138"/>
    </row>
    <row r="90" spans="1:39" x14ac:dyDescent="0.35">
      <c r="AF90" s="138"/>
      <c r="AG90" s="138"/>
      <c r="AH90" s="138"/>
      <c r="AI90" s="138"/>
      <c r="AJ90" s="138"/>
      <c r="AK90" s="138"/>
      <c r="AL90" s="138"/>
      <c r="AM90" s="138"/>
    </row>
    <row r="91" spans="1:39" x14ac:dyDescent="0.35">
      <c r="AF91" s="138"/>
      <c r="AG91" s="138"/>
      <c r="AH91" s="138"/>
      <c r="AI91" s="138"/>
      <c r="AJ91" s="138"/>
      <c r="AK91" s="138"/>
      <c r="AL91" s="138"/>
      <c r="AM91" s="138"/>
    </row>
    <row r="92" spans="1:39" x14ac:dyDescent="0.35">
      <c r="AF92" s="138"/>
      <c r="AG92" s="138"/>
      <c r="AH92" s="138"/>
      <c r="AI92" s="138"/>
      <c r="AJ92" s="138"/>
      <c r="AK92" s="138"/>
      <c r="AL92" s="138"/>
      <c r="AM92" s="138"/>
    </row>
    <row r="93" spans="1:39" x14ac:dyDescent="0.35">
      <c r="AF93" s="138"/>
      <c r="AG93" s="138"/>
      <c r="AH93" s="138"/>
      <c r="AI93" s="138"/>
      <c r="AJ93" s="138"/>
      <c r="AK93" s="138"/>
      <c r="AL93" s="138"/>
      <c r="AM93" s="138"/>
    </row>
    <row r="94" spans="1:39" x14ac:dyDescent="0.35">
      <c r="AF94" s="138"/>
      <c r="AG94" s="138"/>
      <c r="AH94" s="138"/>
      <c r="AI94" s="138"/>
      <c r="AJ94" s="138"/>
      <c r="AK94" s="138"/>
      <c r="AL94" s="138"/>
      <c r="AM94" s="138"/>
    </row>
    <row r="95" spans="1:39" x14ac:dyDescent="0.35">
      <c r="AF95" s="138"/>
      <c r="AG95" s="138"/>
      <c r="AH95" s="138"/>
      <c r="AI95" s="138"/>
      <c r="AJ95" s="138"/>
      <c r="AK95" s="138"/>
      <c r="AL95" s="138"/>
      <c r="AM95" s="138"/>
    </row>
    <row r="96" spans="1:39" x14ac:dyDescent="0.35">
      <c r="AF96" s="138"/>
      <c r="AG96" s="138"/>
      <c r="AH96" s="138"/>
      <c r="AI96" s="138"/>
      <c r="AJ96" s="138"/>
      <c r="AK96" s="138"/>
      <c r="AL96" s="138"/>
      <c r="AM96" s="138"/>
    </row>
    <row r="97" spans="32:39" x14ac:dyDescent="0.35">
      <c r="AF97" s="138"/>
      <c r="AG97" s="138"/>
      <c r="AH97" s="138"/>
      <c r="AI97" s="138"/>
      <c r="AJ97" s="138"/>
      <c r="AK97" s="138"/>
      <c r="AL97" s="138"/>
      <c r="AM97" s="138"/>
    </row>
    <row r="98" spans="32:39" x14ac:dyDescent="0.35">
      <c r="AF98" s="138"/>
      <c r="AG98" s="138"/>
      <c r="AH98" s="138"/>
      <c r="AI98" s="138"/>
      <c r="AJ98" s="138"/>
      <c r="AK98" s="138"/>
      <c r="AL98" s="138"/>
      <c r="AM98" s="138"/>
    </row>
    <row r="99" spans="32:39" x14ac:dyDescent="0.35">
      <c r="AF99" s="138"/>
      <c r="AG99" s="138"/>
      <c r="AH99" s="138"/>
      <c r="AI99" s="138"/>
      <c r="AJ99" s="138"/>
      <c r="AK99" s="138"/>
      <c r="AL99" s="138"/>
      <c r="AM99" s="138"/>
    </row>
    <row r="100" spans="32:39" x14ac:dyDescent="0.35">
      <c r="AF100" s="138"/>
      <c r="AG100" s="138"/>
      <c r="AH100" s="138"/>
      <c r="AI100" s="138"/>
      <c r="AJ100" s="138"/>
      <c r="AK100" s="138"/>
      <c r="AL100" s="138"/>
      <c r="AM100" s="138"/>
    </row>
    <row r="101" spans="32:39" x14ac:dyDescent="0.35">
      <c r="AF101" s="138"/>
      <c r="AG101" s="138"/>
      <c r="AH101" s="138"/>
      <c r="AI101" s="138"/>
      <c r="AJ101" s="138"/>
      <c r="AK101" s="138"/>
      <c r="AL101" s="138"/>
      <c r="AM101" s="138"/>
    </row>
    <row r="102" spans="32:39" x14ac:dyDescent="0.35">
      <c r="AF102" s="138"/>
      <c r="AG102" s="138"/>
      <c r="AH102" s="138"/>
      <c r="AI102" s="138"/>
      <c r="AJ102" s="138"/>
      <c r="AK102" s="138"/>
      <c r="AL102" s="138"/>
      <c r="AM102" s="138"/>
    </row>
    <row r="103" spans="32:39" x14ac:dyDescent="0.35">
      <c r="AF103" s="138"/>
      <c r="AG103" s="138"/>
      <c r="AH103" s="138"/>
      <c r="AI103" s="138"/>
      <c r="AJ103" s="138"/>
      <c r="AK103" s="138"/>
      <c r="AL103" s="138"/>
      <c r="AM103" s="138"/>
    </row>
    <row r="104" spans="32:39" x14ac:dyDescent="0.35">
      <c r="AF104" s="138"/>
      <c r="AG104" s="138"/>
      <c r="AH104" s="138"/>
      <c r="AI104" s="138"/>
      <c r="AJ104" s="138"/>
      <c r="AK104" s="138"/>
      <c r="AL104" s="138"/>
      <c r="AM104" s="138"/>
    </row>
    <row r="105" spans="32:39" x14ac:dyDescent="0.35">
      <c r="AF105" s="138"/>
      <c r="AG105" s="138"/>
      <c r="AH105" s="138"/>
      <c r="AI105" s="138"/>
      <c r="AJ105" s="138"/>
      <c r="AK105" s="138"/>
      <c r="AL105" s="138"/>
      <c r="AM105" s="138"/>
    </row>
    <row r="106" spans="32:39" x14ac:dyDescent="0.35">
      <c r="AF106" s="138"/>
      <c r="AG106" s="138"/>
      <c r="AH106" s="138"/>
      <c r="AI106" s="138"/>
      <c r="AJ106" s="138"/>
      <c r="AK106" s="138"/>
      <c r="AL106" s="138"/>
      <c r="AM106" s="138"/>
    </row>
    <row r="107" spans="32:39" x14ac:dyDescent="0.35">
      <c r="AF107" s="138"/>
      <c r="AG107" s="138"/>
      <c r="AH107" s="138"/>
      <c r="AI107" s="138"/>
      <c r="AJ107" s="138"/>
      <c r="AK107" s="138"/>
      <c r="AL107" s="138"/>
      <c r="AM107" s="138"/>
    </row>
    <row r="108" spans="32:39" x14ac:dyDescent="0.35">
      <c r="AF108" s="138"/>
      <c r="AG108" s="138"/>
      <c r="AH108" s="138"/>
      <c r="AI108" s="138"/>
      <c r="AJ108" s="138"/>
      <c r="AK108" s="138"/>
      <c r="AL108" s="138"/>
      <c r="AM108" s="138"/>
    </row>
    <row r="109" spans="32:39" x14ac:dyDescent="0.35">
      <c r="AF109" s="138"/>
      <c r="AG109" s="138"/>
      <c r="AH109" s="138"/>
      <c r="AI109" s="138"/>
      <c r="AJ109" s="138"/>
      <c r="AK109" s="138"/>
      <c r="AL109" s="138"/>
      <c r="AM109" s="138"/>
    </row>
    <row r="110" spans="32:39" x14ac:dyDescent="0.35">
      <c r="AF110" s="138"/>
      <c r="AG110" s="138"/>
      <c r="AH110" s="138"/>
      <c r="AI110" s="138"/>
      <c r="AJ110" s="138"/>
      <c r="AK110" s="138"/>
      <c r="AL110" s="138"/>
      <c r="AM110" s="138"/>
    </row>
    <row r="111" spans="32:39" x14ac:dyDescent="0.35">
      <c r="AF111" s="138"/>
      <c r="AG111" s="138"/>
      <c r="AH111" s="138"/>
      <c r="AI111" s="138"/>
      <c r="AJ111" s="138"/>
      <c r="AK111" s="138"/>
      <c r="AL111" s="138"/>
      <c r="AM111" s="138"/>
    </row>
    <row r="112" spans="32:39" x14ac:dyDescent="0.35">
      <c r="AF112" s="138"/>
      <c r="AG112" s="138"/>
      <c r="AH112" s="138"/>
      <c r="AI112" s="138"/>
      <c r="AJ112" s="138"/>
      <c r="AK112" s="138"/>
      <c r="AL112" s="138"/>
      <c r="AM112" s="138"/>
    </row>
    <row r="113" spans="32:39" x14ac:dyDescent="0.35">
      <c r="AF113" s="138"/>
      <c r="AG113" s="138"/>
      <c r="AH113" s="138"/>
      <c r="AI113" s="138"/>
      <c r="AJ113" s="138"/>
      <c r="AK113" s="138"/>
      <c r="AL113" s="138"/>
      <c r="AM113" s="138"/>
    </row>
    <row r="114" spans="32:39" x14ac:dyDescent="0.35">
      <c r="AF114" s="138"/>
      <c r="AG114" s="138"/>
      <c r="AH114" s="138"/>
      <c r="AI114" s="138"/>
      <c r="AJ114" s="138"/>
      <c r="AK114" s="138"/>
      <c r="AL114" s="138"/>
      <c r="AM114" s="138"/>
    </row>
    <row r="115" spans="32:39" x14ac:dyDescent="0.35">
      <c r="AF115" s="138"/>
      <c r="AG115" s="138"/>
      <c r="AH115" s="138"/>
      <c r="AI115" s="138"/>
      <c r="AJ115" s="138"/>
      <c r="AK115" s="138"/>
      <c r="AL115" s="138"/>
      <c r="AM115" s="138"/>
    </row>
    <row r="116" spans="32:39" x14ac:dyDescent="0.35">
      <c r="AF116" s="138"/>
      <c r="AG116" s="138"/>
      <c r="AH116" s="138"/>
      <c r="AI116" s="138"/>
      <c r="AJ116" s="138"/>
      <c r="AK116" s="138"/>
      <c r="AL116" s="138"/>
      <c r="AM116" s="138"/>
    </row>
    <row r="117" spans="32:39" x14ac:dyDescent="0.35">
      <c r="AF117" s="138"/>
      <c r="AG117" s="138"/>
      <c r="AH117" s="138"/>
      <c r="AI117" s="138"/>
      <c r="AJ117" s="138"/>
      <c r="AK117" s="138"/>
      <c r="AL117" s="138"/>
      <c r="AM117" s="138"/>
    </row>
    <row r="118" spans="32:39" x14ac:dyDescent="0.35">
      <c r="AF118" s="138"/>
      <c r="AG118" s="138"/>
      <c r="AH118" s="138"/>
      <c r="AI118" s="138"/>
      <c r="AJ118" s="138"/>
      <c r="AK118" s="138"/>
      <c r="AL118" s="138"/>
      <c r="AM118" s="138"/>
    </row>
    <row r="119" spans="32:39" x14ac:dyDescent="0.35">
      <c r="AF119" s="138"/>
      <c r="AG119" s="138"/>
      <c r="AH119" s="138"/>
      <c r="AI119" s="138"/>
      <c r="AJ119" s="138"/>
      <c r="AK119" s="138"/>
      <c r="AL119" s="138"/>
      <c r="AM119" s="138"/>
    </row>
    <row r="120" spans="32:39" x14ac:dyDescent="0.35">
      <c r="AF120" s="138"/>
      <c r="AG120" s="138"/>
      <c r="AH120" s="138"/>
      <c r="AI120" s="138"/>
      <c r="AJ120" s="138"/>
      <c r="AK120" s="138"/>
      <c r="AL120" s="138"/>
      <c r="AM120" s="138"/>
    </row>
    <row r="121" spans="32:39" x14ac:dyDescent="0.35">
      <c r="AF121" s="138"/>
      <c r="AG121" s="138"/>
      <c r="AH121" s="138"/>
      <c r="AI121" s="138"/>
      <c r="AJ121" s="138"/>
      <c r="AK121" s="138"/>
      <c r="AL121" s="138"/>
      <c r="AM121" s="138"/>
    </row>
    <row r="122" spans="32:39" x14ac:dyDescent="0.35">
      <c r="AF122" s="138"/>
      <c r="AG122" s="138"/>
      <c r="AH122" s="138"/>
      <c r="AI122" s="138"/>
      <c r="AJ122" s="138"/>
      <c r="AK122" s="138"/>
      <c r="AL122" s="138"/>
      <c r="AM122" s="138"/>
    </row>
    <row r="123" spans="32:39" x14ac:dyDescent="0.35">
      <c r="AF123" s="138"/>
      <c r="AG123" s="138"/>
      <c r="AH123" s="138"/>
      <c r="AI123" s="138"/>
      <c r="AJ123" s="138"/>
      <c r="AK123" s="138"/>
      <c r="AL123" s="138"/>
      <c r="AM123" s="138"/>
    </row>
    <row r="124" spans="32:39" x14ac:dyDescent="0.35">
      <c r="AF124" s="138"/>
      <c r="AG124" s="138"/>
      <c r="AH124" s="138"/>
      <c r="AI124" s="138"/>
      <c r="AJ124" s="138"/>
      <c r="AK124" s="138"/>
      <c r="AL124" s="138"/>
      <c r="AM124" s="138"/>
    </row>
    <row r="125" spans="32:39" x14ac:dyDescent="0.35">
      <c r="AF125" s="138"/>
      <c r="AG125" s="138"/>
      <c r="AH125" s="138"/>
      <c r="AI125" s="138"/>
      <c r="AJ125" s="138"/>
      <c r="AK125" s="138"/>
      <c r="AL125" s="138"/>
      <c r="AM125" s="138"/>
    </row>
    <row r="126" spans="32:39" x14ac:dyDescent="0.35">
      <c r="AF126" s="138"/>
      <c r="AG126" s="138"/>
      <c r="AH126" s="138"/>
      <c r="AI126" s="138"/>
      <c r="AJ126" s="138"/>
      <c r="AK126" s="138"/>
      <c r="AL126" s="138"/>
      <c r="AM126" s="138"/>
    </row>
    <row r="127" spans="32:39" x14ac:dyDescent="0.35">
      <c r="AF127" s="138"/>
      <c r="AG127" s="138"/>
      <c r="AH127" s="138"/>
      <c r="AI127" s="138"/>
      <c r="AJ127" s="138"/>
      <c r="AK127" s="138"/>
      <c r="AL127" s="138"/>
      <c r="AM127" s="138"/>
    </row>
    <row r="128" spans="32:39" x14ac:dyDescent="0.35">
      <c r="AF128" s="138"/>
      <c r="AG128" s="138"/>
      <c r="AH128" s="138"/>
      <c r="AI128" s="138"/>
      <c r="AJ128" s="138"/>
      <c r="AK128" s="138"/>
      <c r="AL128" s="138"/>
      <c r="AM128" s="138"/>
    </row>
    <row r="129" spans="32:39" x14ac:dyDescent="0.35">
      <c r="AF129" s="138"/>
      <c r="AG129" s="138"/>
      <c r="AH129" s="138"/>
      <c r="AI129" s="138"/>
      <c r="AJ129" s="138"/>
      <c r="AK129" s="138"/>
      <c r="AL129" s="138"/>
      <c r="AM129" s="138"/>
    </row>
    <row r="130" spans="32:39" x14ac:dyDescent="0.35">
      <c r="AF130" s="138"/>
      <c r="AG130" s="138"/>
      <c r="AH130" s="138"/>
      <c r="AI130" s="138"/>
      <c r="AJ130" s="138"/>
      <c r="AK130" s="138"/>
      <c r="AL130" s="138"/>
      <c r="AM130" s="138"/>
    </row>
    <row r="131" spans="32:39" x14ac:dyDescent="0.35">
      <c r="AF131" s="138"/>
      <c r="AG131" s="138"/>
      <c r="AH131" s="138"/>
      <c r="AI131" s="138"/>
      <c r="AJ131" s="138"/>
      <c r="AK131" s="138"/>
      <c r="AL131" s="138"/>
      <c r="AM131" s="138"/>
    </row>
    <row r="132" spans="32:39" x14ac:dyDescent="0.35">
      <c r="AF132" s="138"/>
      <c r="AG132" s="138"/>
      <c r="AH132" s="138"/>
      <c r="AI132" s="138"/>
      <c r="AJ132" s="138"/>
      <c r="AK132" s="138"/>
      <c r="AL132" s="138"/>
      <c r="AM132" s="138"/>
    </row>
    <row r="133" spans="32:39" x14ac:dyDescent="0.35">
      <c r="AF133" s="138"/>
      <c r="AG133" s="138"/>
      <c r="AH133" s="138"/>
      <c r="AI133" s="138"/>
      <c r="AJ133" s="138"/>
      <c r="AK133" s="138"/>
      <c r="AL133" s="138"/>
      <c r="AM133" s="138"/>
    </row>
    <row r="134" spans="32:39" x14ac:dyDescent="0.35">
      <c r="AF134" s="138"/>
      <c r="AG134" s="138"/>
      <c r="AH134" s="138"/>
      <c r="AI134" s="138"/>
      <c r="AJ134" s="138"/>
      <c r="AK134" s="138"/>
      <c r="AL134" s="138"/>
      <c r="AM134" s="138"/>
    </row>
    <row r="135" spans="32:39" x14ac:dyDescent="0.35">
      <c r="AF135" s="138"/>
      <c r="AG135" s="138"/>
      <c r="AH135" s="138"/>
      <c r="AI135" s="138"/>
      <c r="AJ135" s="138"/>
      <c r="AK135" s="138"/>
      <c r="AL135" s="138"/>
      <c r="AM135" s="138"/>
    </row>
    <row r="136" spans="32:39" x14ac:dyDescent="0.35">
      <c r="AF136" s="138"/>
      <c r="AG136" s="138"/>
      <c r="AH136" s="138"/>
      <c r="AI136" s="138"/>
      <c r="AJ136" s="138"/>
      <c r="AK136" s="138"/>
      <c r="AL136" s="138"/>
      <c r="AM136" s="138"/>
    </row>
    <row r="137" spans="32:39" x14ac:dyDescent="0.35">
      <c r="AF137" s="138"/>
      <c r="AG137" s="138"/>
      <c r="AH137" s="138"/>
      <c r="AI137" s="138"/>
      <c r="AJ137" s="138"/>
      <c r="AK137" s="138"/>
      <c r="AL137" s="138"/>
      <c r="AM137" s="138"/>
    </row>
    <row r="138" spans="32:39" x14ac:dyDescent="0.35">
      <c r="AF138" s="138"/>
      <c r="AG138" s="138"/>
      <c r="AH138" s="138"/>
      <c r="AI138" s="138"/>
      <c r="AJ138" s="138"/>
      <c r="AK138" s="138"/>
      <c r="AL138" s="138"/>
      <c r="AM138" s="138"/>
    </row>
    <row r="139" spans="32:39" x14ac:dyDescent="0.35">
      <c r="AF139" s="138"/>
      <c r="AG139" s="138"/>
      <c r="AH139" s="138"/>
      <c r="AI139" s="138"/>
      <c r="AJ139" s="138"/>
      <c r="AK139" s="138"/>
      <c r="AL139" s="138"/>
      <c r="AM139" s="138"/>
    </row>
    <row r="140" spans="32:39" x14ac:dyDescent="0.35">
      <c r="AF140" s="138"/>
      <c r="AG140" s="138"/>
      <c r="AH140" s="138"/>
      <c r="AI140" s="138"/>
      <c r="AJ140" s="138"/>
      <c r="AK140" s="138"/>
      <c r="AL140" s="138"/>
      <c r="AM140" s="138"/>
    </row>
    <row r="141" spans="32:39" x14ac:dyDescent="0.35">
      <c r="AF141" s="138"/>
      <c r="AG141" s="138"/>
      <c r="AH141" s="138"/>
      <c r="AI141" s="138"/>
      <c r="AJ141" s="138"/>
      <c r="AK141" s="138"/>
      <c r="AL141" s="138"/>
      <c r="AM141" s="138"/>
    </row>
    <row r="142" spans="32:39" x14ac:dyDescent="0.35">
      <c r="AF142" s="138"/>
      <c r="AG142" s="138"/>
      <c r="AH142" s="138"/>
      <c r="AI142" s="138"/>
      <c r="AJ142" s="138"/>
      <c r="AK142" s="138"/>
      <c r="AL142" s="138"/>
      <c r="AM142" s="138"/>
    </row>
    <row r="143" spans="32:39" x14ac:dyDescent="0.35">
      <c r="AF143" s="138"/>
      <c r="AG143" s="138"/>
      <c r="AH143" s="138"/>
      <c r="AI143" s="138"/>
      <c r="AJ143" s="138"/>
      <c r="AK143" s="138"/>
      <c r="AL143" s="138"/>
      <c r="AM143" s="138"/>
    </row>
    <row r="144" spans="32:39" x14ac:dyDescent="0.35">
      <c r="AF144" s="138"/>
      <c r="AG144" s="138"/>
      <c r="AH144" s="138"/>
      <c r="AI144" s="138"/>
      <c r="AJ144" s="138"/>
      <c r="AK144" s="138"/>
      <c r="AL144" s="138"/>
      <c r="AM144" s="138"/>
    </row>
    <row r="145" spans="32:42" x14ac:dyDescent="0.35">
      <c r="AF145" s="138"/>
      <c r="AG145" s="138"/>
      <c r="AH145" s="138"/>
      <c r="AI145" s="138"/>
      <c r="AJ145" s="138"/>
      <c r="AK145" s="138"/>
      <c r="AL145" s="138"/>
      <c r="AM145" s="138"/>
    </row>
    <row r="146" spans="32:42" x14ac:dyDescent="0.35">
      <c r="AF146" s="138"/>
      <c r="AG146" s="138"/>
      <c r="AH146" s="138"/>
      <c r="AI146" s="138"/>
      <c r="AJ146" s="138"/>
      <c r="AK146" s="138"/>
      <c r="AL146" s="138"/>
      <c r="AM146" s="138"/>
    </row>
    <row r="147" spans="32:42" x14ac:dyDescent="0.35">
      <c r="AF147" s="138"/>
      <c r="AG147" s="138"/>
      <c r="AH147" s="138"/>
      <c r="AI147" s="138"/>
      <c r="AJ147" s="138"/>
      <c r="AK147" s="138"/>
      <c r="AL147" s="138"/>
      <c r="AM147" s="138"/>
    </row>
    <row r="148" spans="32:42" x14ac:dyDescent="0.35">
      <c r="AF148" s="138"/>
      <c r="AG148" s="138"/>
      <c r="AH148" s="138"/>
      <c r="AI148" s="138"/>
      <c r="AJ148" s="138"/>
      <c r="AK148" s="138"/>
      <c r="AL148" s="138"/>
      <c r="AM148" s="138"/>
    </row>
    <row r="149" spans="32:42" x14ac:dyDescent="0.35">
      <c r="AF149" s="138"/>
      <c r="AG149" s="138"/>
      <c r="AH149" s="138"/>
      <c r="AI149" s="138"/>
      <c r="AJ149" s="138"/>
      <c r="AK149" s="138"/>
      <c r="AL149" s="138"/>
      <c r="AM149" s="138"/>
    </row>
    <row r="150" spans="32:42" x14ac:dyDescent="0.35">
      <c r="AF150" s="138"/>
      <c r="AG150" s="138"/>
      <c r="AH150" s="138"/>
      <c r="AI150" s="138"/>
      <c r="AJ150" s="138"/>
      <c r="AK150" s="138"/>
      <c r="AL150" s="138"/>
      <c r="AM150" s="138"/>
    </row>
    <row r="151" spans="32:42" x14ac:dyDescent="0.35">
      <c r="AF151" s="138"/>
      <c r="AG151" s="138"/>
      <c r="AH151" s="138"/>
      <c r="AI151" s="138"/>
      <c r="AJ151" s="138"/>
      <c r="AK151" s="138"/>
      <c r="AL151" s="138"/>
      <c r="AM151" s="138"/>
    </row>
    <row r="152" spans="32:42" x14ac:dyDescent="0.35">
      <c r="AF152" s="138"/>
      <c r="AG152" s="138"/>
      <c r="AH152" s="138"/>
      <c r="AI152" s="138"/>
      <c r="AJ152" s="138"/>
      <c r="AK152" s="138"/>
      <c r="AL152" s="138"/>
      <c r="AM152" s="138"/>
    </row>
    <row r="153" spans="32:42" x14ac:dyDescent="0.35">
      <c r="AF153" s="138"/>
      <c r="AG153" s="138"/>
      <c r="AH153" s="138"/>
      <c r="AI153" s="138"/>
      <c r="AJ153" s="138"/>
      <c r="AK153" s="138"/>
      <c r="AL153" s="138"/>
      <c r="AM153" s="138"/>
    </row>
    <row r="154" spans="32:42" x14ac:dyDescent="0.35">
      <c r="AF154" s="138"/>
      <c r="AG154" s="138"/>
      <c r="AH154" s="138"/>
      <c r="AI154" s="138"/>
      <c r="AJ154" s="138"/>
      <c r="AK154" s="138"/>
      <c r="AL154" s="138"/>
      <c r="AM154" s="138"/>
      <c r="AP154" s="139"/>
    </row>
    <row r="155" spans="32:42" x14ac:dyDescent="0.35">
      <c r="AF155" s="138"/>
      <c r="AG155" s="138"/>
      <c r="AH155" s="138"/>
      <c r="AI155" s="138"/>
      <c r="AJ155" s="138"/>
      <c r="AK155" s="138"/>
      <c r="AL155" s="138"/>
      <c r="AM155" s="138"/>
    </row>
    <row r="156" spans="32:42" x14ac:dyDescent="0.35">
      <c r="AF156" s="138"/>
      <c r="AG156" s="138"/>
      <c r="AH156" s="138"/>
      <c r="AI156" s="138"/>
      <c r="AJ156" s="138"/>
      <c r="AK156" s="138"/>
      <c r="AL156" s="138"/>
      <c r="AM156" s="138"/>
    </row>
    <row r="157" spans="32:42" x14ac:dyDescent="0.35">
      <c r="AF157" s="138"/>
      <c r="AG157" s="138"/>
      <c r="AH157" s="138"/>
      <c r="AI157" s="138"/>
      <c r="AJ157" s="138"/>
      <c r="AK157" s="138"/>
      <c r="AL157" s="138"/>
      <c r="AM157" s="138"/>
    </row>
    <row r="158" spans="32:42" x14ac:dyDescent="0.35">
      <c r="AF158" s="138"/>
      <c r="AG158" s="138"/>
      <c r="AH158" s="138"/>
      <c r="AI158" s="138"/>
      <c r="AJ158" s="138"/>
      <c r="AK158" s="138"/>
      <c r="AL158" s="138"/>
      <c r="AM158" s="138"/>
    </row>
    <row r="159" spans="32:42" x14ac:dyDescent="0.35">
      <c r="AF159" s="138"/>
      <c r="AG159" s="138"/>
      <c r="AH159" s="138"/>
      <c r="AI159" s="138"/>
      <c r="AJ159" s="138"/>
      <c r="AK159" s="138"/>
      <c r="AL159" s="138"/>
      <c r="AM159" s="138"/>
    </row>
    <row r="160" spans="32:42" x14ac:dyDescent="0.35">
      <c r="AF160" s="138"/>
      <c r="AG160" s="138"/>
      <c r="AH160" s="138"/>
      <c r="AI160" s="138"/>
      <c r="AJ160" s="138"/>
      <c r="AK160" s="138"/>
      <c r="AL160" s="138"/>
      <c r="AM160" s="138"/>
    </row>
    <row r="161" spans="32:39" x14ac:dyDescent="0.35">
      <c r="AF161" s="138"/>
      <c r="AG161" s="138"/>
      <c r="AH161" s="138"/>
      <c r="AI161" s="138"/>
      <c r="AJ161" s="138"/>
      <c r="AK161" s="138"/>
      <c r="AL161" s="138"/>
      <c r="AM161" s="138"/>
    </row>
    <row r="162" spans="32:39" x14ac:dyDescent="0.35">
      <c r="AF162" s="138"/>
      <c r="AG162" s="138"/>
      <c r="AH162" s="138"/>
      <c r="AI162" s="138"/>
      <c r="AJ162" s="138"/>
      <c r="AK162" s="138"/>
      <c r="AL162" s="138"/>
      <c r="AM162" s="138"/>
    </row>
    <row r="163" spans="32:39" x14ac:dyDescent="0.35">
      <c r="AF163" s="138"/>
      <c r="AG163" s="138"/>
      <c r="AH163" s="138"/>
      <c r="AI163" s="138"/>
      <c r="AJ163" s="138"/>
      <c r="AK163" s="138"/>
      <c r="AL163" s="138"/>
      <c r="AM163" s="138"/>
    </row>
    <row r="164" spans="32:39" x14ac:dyDescent="0.35">
      <c r="AF164" s="138"/>
      <c r="AG164" s="138"/>
      <c r="AH164" s="138"/>
      <c r="AI164" s="138"/>
      <c r="AJ164" s="138"/>
      <c r="AK164" s="138"/>
      <c r="AL164" s="138"/>
      <c r="AM164" s="138"/>
    </row>
    <row r="165" spans="32:39" x14ac:dyDescent="0.35">
      <c r="AF165" s="138"/>
      <c r="AG165" s="138"/>
      <c r="AH165" s="138"/>
      <c r="AI165" s="138"/>
      <c r="AJ165" s="138"/>
      <c r="AK165" s="138"/>
      <c r="AL165" s="138"/>
      <c r="AM165" s="138"/>
    </row>
    <row r="166" spans="32:39" x14ac:dyDescent="0.35">
      <c r="AF166" s="138"/>
      <c r="AG166" s="138"/>
      <c r="AH166" s="138"/>
      <c r="AI166" s="138"/>
      <c r="AJ166" s="138"/>
      <c r="AK166" s="138"/>
      <c r="AL166" s="138"/>
      <c r="AM166" s="138"/>
    </row>
    <row r="167" spans="32:39" x14ac:dyDescent="0.35">
      <c r="AF167" s="138"/>
      <c r="AG167" s="138"/>
      <c r="AH167" s="138"/>
      <c r="AI167" s="138"/>
      <c r="AJ167" s="138"/>
      <c r="AK167" s="138"/>
      <c r="AL167" s="138"/>
      <c r="AM167" s="138"/>
    </row>
    <row r="168" spans="32:39" x14ac:dyDescent="0.35">
      <c r="AF168" s="138"/>
      <c r="AG168" s="138"/>
      <c r="AH168" s="138"/>
      <c r="AI168" s="138"/>
      <c r="AJ168" s="138"/>
      <c r="AK168" s="138"/>
      <c r="AL168" s="138"/>
      <c r="AM168" s="138"/>
    </row>
    <row r="169" spans="32:39" x14ac:dyDescent="0.35">
      <c r="AF169" s="138"/>
      <c r="AG169" s="138"/>
      <c r="AH169" s="138"/>
      <c r="AI169" s="138"/>
      <c r="AJ169" s="138"/>
      <c r="AK169" s="138"/>
      <c r="AL169" s="138"/>
      <c r="AM169" s="138"/>
    </row>
    <row r="170" spans="32:39" x14ac:dyDescent="0.35">
      <c r="AF170" s="138"/>
      <c r="AG170" s="138"/>
      <c r="AH170" s="138"/>
      <c r="AI170" s="138"/>
      <c r="AJ170" s="138"/>
      <c r="AK170" s="138"/>
      <c r="AL170" s="138"/>
      <c r="AM170" s="138"/>
    </row>
    <row r="171" spans="32:39" x14ac:dyDescent="0.35">
      <c r="AF171" s="138"/>
      <c r="AG171" s="138"/>
      <c r="AH171" s="138"/>
      <c r="AI171" s="138"/>
      <c r="AJ171" s="138"/>
      <c r="AK171" s="138"/>
      <c r="AL171" s="138"/>
      <c r="AM171" s="138"/>
    </row>
    <row r="172" spans="32:39" x14ac:dyDescent="0.35">
      <c r="AF172" s="138"/>
      <c r="AG172" s="138"/>
      <c r="AH172" s="138"/>
      <c r="AI172" s="138"/>
      <c r="AJ172" s="138"/>
      <c r="AK172" s="138"/>
      <c r="AL172" s="138"/>
      <c r="AM172" s="138"/>
    </row>
    <row r="173" spans="32:39" x14ac:dyDescent="0.35">
      <c r="AF173" s="138"/>
      <c r="AG173" s="138"/>
      <c r="AH173" s="138"/>
      <c r="AI173" s="138"/>
      <c r="AJ173" s="138"/>
      <c r="AK173" s="138"/>
      <c r="AL173" s="138"/>
      <c r="AM173" s="138"/>
    </row>
    <row r="174" spans="32:39" x14ac:dyDescent="0.35">
      <c r="AF174" s="138"/>
      <c r="AG174" s="138"/>
      <c r="AH174" s="138"/>
      <c r="AI174" s="138"/>
      <c r="AJ174" s="138"/>
      <c r="AK174" s="138"/>
      <c r="AL174" s="138"/>
      <c r="AM174" s="138"/>
    </row>
    <row r="175" spans="32:39" x14ac:dyDescent="0.35">
      <c r="AF175" s="138"/>
      <c r="AG175" s="138"/>
      <c r="AH175" s="138"/>
      <c r="AI175" s="138"/>
      <c r="AJ175" s="138"/>
      <c r="AK175" s="138"/>
      <c r="AL175" s="138"/>
      <c r="AM175" s="138"/>
    </row>
    <row r="176" spans="32:39" x14ac:dyDescent="0.35">
      <c r="AF176" s="138"/>
      <c r="AG176" s="138"/>
      <c r="AH176" s="138"/>
      <c r="AI176" s="138"/>
      <c r="AJ176" s="138"/>
      <c r="AK176" s="138"/>
      <c r="AL176" s="138"/>
      <c r="AM176" s="138"/>
    </row>
    <row r="177" spans="32:39" x14ac:dyDescent="0.35">
      <c r="AF177" s="138"/>
      <c r="AG177" s="138"/>
      <c r="AH177" s="138"/>
      <c r="AI177" s="138"/>
      <c r="AJ177" s="138"/>
      <c r="AK177" s="138"/>
      <c r="AL177" s="138"/>
      <c r="AM177" s="138"/>
    </row>
    <row r="178" spans="32:39" x14ac:dyDescent="0.35">
      <c r="AF178" s="138"/>
      <c r="AG178" s="138"/>
      <c r="AH178" s="138"/>
      <c r="AI178" s="138"/>
      <c r="AJ178" s="138"/>
      <c r="AK178" s="138"/>
      <c r="AL178" s="138"/>
      <c r="AM178" s="138"/>
    </row>
    <row r="179" spans="32:39" x14ac:dyDescent="0.35">
      <c r="AF179" s="138"/>
      <c r="AG179" s="138"/>
      <c r="AH179" s="138"/>
      <c r="AI179" s="138"/>
      <c r="AJ179" s="138"/>
      <c r="AK179" s="138"/>
      <c r="AL179" s="138"/>
      <c r="AM179" s="138"/>
    </row>
    <row r="180" spans="32:39" x14ac:dyDescent="0.35">
      <c r="AF180" s="138"/>
      <c r="AG180" s="138"/>
      <c r="AH180" s="138"/>
      <c r="AI180" s="138"/>
      <c r="AJ180" s="138"/>
      <c r="AK180" s="138"/>
      <c r="AL180" s="138"/>
      <c r="AM180" s="138"/>
    </row>
    <row r="181" spans="32:39" x14ac:dyDescent="0.35">
      <c r="AF181" s="138"/>
      <c r="AG181" s="138"/>
      <c r="AH181" s="138"/>
      <c r="AI181" s="138"/>
      <c r="AJ181" s="138"/>
      <c r="AK181" s="138"/>
      <c r="AL181" s="138"/>
      <c r="AM181" s="138"/>
    </row>
    <row r="182" spans="32:39" x14ac:dyDescent="0.35">
      <c r="AF182" s="138"/>
      <c r="AG182" s="138"/>
      <c r="AH182" s="138"/>
      <c r="AI182" s="138"/>
      <c r="AJ182" s="138"/>
      <c r="AK182" s="138"/>
      <c r="AL182" s="138"/>
      <c r="AM182" s="138"/>
    </row>
    <row r="183" spans="32:39" x14ac:dyDescent="0.35">
      <c r="AF183" s="138"/>
      <c r="AG183" s="138"/>
      <c r="AH183" s="138"/>
      <c r="AI183" s="138"/>
      <c r="AJ183" s="138"/>
      <c r="AK183" s="138"/>
      <c r="AL183" s="138"/>
      <c r="AM183" s="138"/>
    </row>
    <row r="184" spans="32:39" x14ac:dyDescent="0.35">
      <c r="AF184" s="138"/>
      <c r="AG184" s="138"/>
      <c r="AH184" s="138"/>
      <c r="AI184" s="138"/>
      <c r="AJ184" s="138"/>
      <c r="AK184" s="138"/>
      <c r="AL184" s="138"/>
      <c r="AM184" s="138"/>
    </row>
    <row r="185" spans="32:39" x14ac:dyDescent="0.35">
      <c r="AF185" s="138"/>
      <c r="AG185" s="138"/>
      <c r="AH185" s="138"/>
      <c r="AI185" s="138"/>
      <c r="AJ185" s="138"/>
      <c r="AK185" s="138"/>
      <c r="AL185" s="138"/>
      <c r="AM185" s="138"/>
    </row>
    <row r="186" spans="32:39" x14ac:dyDescent="0.35">
      <c r="AF186" s="138"/>
      <c r="AG186" s="138"/>
      <c r="AH186" s="138"/>
      <c r="AI186" s="138"/>
      <c r="AJ186" s="138"/>
      <c r="AK186" s="138"/>
      <c r="AL186" s="138"/>
      <c r="AM186" s="138"/>
    </row>
    <row r="187" spans="32:39" x14ac:dyDescent="0.35">
      <c r="AF187" s="138"/>
      <c r="AG187" s="138"/>
      <c r="AH187" s="138"/>
      <c r="AI187" s="138"/>
      <c r="AJ187" s="138"/>
      <c r="AK187" s="138"/>
      <c r="AL187" s="138"/>
      <c r="AM187" s="138"/>
    </row>
    <row r="188" spans="32:39" x14ac:dyDescent="0.35">
      <c r="AF188" s="138"/>
      <c r="AG188" s="138"/>
      <c r="AH188" s="138"/>
      <c r="AI188" s="138"/>
      <c r="AJ188" s="138"/>
      <c r="AK188" s="138"/>
      <c r="AL188" s="138"/>
      <c r="AM188" s="138"/>
    </row>
    <row r="189" spans="32:39" x14ac:dyDescent="0.35">
      <c r="AF189" s="138"/>
      <c r="AG189" s="138"/>
      <c r="AH189" s="138"/>
      <c r="AI189" s="138"/>
      <c r="AJ189" s="138"/>
      <c r="AK189" s="138"/>
      <c r="AL189" s="138"/>
      <c r="AM189" s="138"/>
    </row>
    <row r="190" spans="32:39" x14ac:dyDescent="0.35">
      <c r="AF190" s="138"/>
      <c r="AG190" s="138"/>
      <c r="AH190" s="138"/>
      <c r="AI190" s="138"/>
      <c r="AJ190" s="138"/>
      <c r="AK190" s="138"/>
      <c r="AL190" s="138"/>
      <c r="AM190" s="138"/>
    </row>
    <row r="191" spans="32:39" x14ac:dyDescent="0.35">
      <c r="AF191" s="138"/>
      <c r="AG191" s="138"/>
      <c r="AH191" s="138"/>
      <c r="AI191" s="138"/>
      <c r="AJ191" s="138"/>
      <c r="AK191" s="138"/>
      <c r="AL191" s="138"/>
      <c r="AM191" s="138"/>
    </row>
    <row r="192" spans="32:39" x14ac:dyDescent="0.35">
      <c r="AF192" s="138"/>
      <c r="AG192" s="138"/>
      <c r="AH192" s="138"/>
      <c r="AI192" s="138"/>
      <c r="AJ192" s="138"/>
      <c r="AK192" s="138"/>
      <c r="AL192" s="138"/>
      <c r="AM192" s="138"/>
    </row>
    <row r="193" spans="32:39" x14ac:dyDescent="0.35">
      <c r="AF193" s="138"/>
      <c r="AG193" s="138"/>
      <c r="AH193" s="138"/>
      <c r="AI193" s="138"/>
      <c r="AJ193" s="138"/>
      <c r="AK193" s="138"/>
      <c r="AL193" s="138"/>
      <c r="AM193" s="138"/>
    </row>
    <row r="194" spans="32:39" x14ac:dyDescent="0.35">
      <c r="AF194" s="138"/>
      <c r="AG194" s="138"/>
      <c r="AH194" s="138"/>
      <c r="AI194" s="138"/>
      <c r="AJ194" s="138"/>
      <c r="AK194" s="138"/>
      <c r="AL194" s="138"/>
      <c r="AM194" s="138"/>
    </row>
    <row r="195" spans="32:39" x14ac:dyDescent="0.35">
      <c r="AF195" s="138"/>
      <c r="AG195" s="138"/>
      <c r="AH195" s="138"/>
      <c r="AI195" s="138"/>
      <c r="AJ195" s="138"/>
      <c r="AK195" s="138"/>
      <c r="AL195" s="138"/>
      <c r="AM195" s="138"/>
    </row>
    <row r="196" spans="32:39" x14ac:dyDescent="0.35">
      <c r="AF196" s="138"/>
      <c r="AG196" s="138"/>
      <c r="AH196" s="138"/>
      <c r="AI196" s="138"/>
      <c r="AJ196" s="138"/>
      <c r="AK196" s="138"/>
      <c r="AL196" s="138"/>
      <c r="AM196" s="138"/>
    </row>
    <row r="197" spans="32:39" x14ac:dyDescent="0.35">
      <c r="AF197" s="138"/>
      <c r="AG197" s="138"/>
      <c r="AH197" s="138"/>
      <c r="AI197" s="138"/>
      <c r="AJ197" s="138"/>
      <c r="AK197" s="138"/>
      <c r="AL197" s="138"/>
      <c r="AM197" s="138"/>
    </row>
    <row r="198" spans="32:39" x14ac:dyDescent="0.35">
      <c r="AF198" s="138"/>
      <c r="AG198" s="138"/>
      <c r="AH198" s="138"/>
      <c r="AI198" s="138"/>
      <c r="AJ198" s="138"/>
      <c r="AK198" s="138"/>
      <c r="AL198" s="138"/>
      <c r="AM198" s="138"/>
    </row>
    <row r="199" spans="32:39" x14ac:dyDescent="0.35">
      <c r="AF199" s="138"/>
      <c r="AG199" s="138"/>
      <c r="AH199" s="138"/>
      <c r="AI199" s="138"/>
      <c r="AJ199" s="138"/>
      <c r="AK199" s="138"/>
      <c r="AL199" s="138"/>
      <c r="AM199" s="138"/>
    </row>
    <row r="200" spans="32:39" x14ac:dyDescent="0.35">
      <c r="AF200" s="138"/>
      <c r="AG200" s="138"/>
      <c r="AH200" s="138"/>
      <c r="AI200" s="138"/>
      <c r="AJ200" s="138"/>
      <c r="AK200" s="138"/>
      <c r="AL200" s="138"/>
      <c r="AM200" s="138"/>
    </row>
    <row r="201" spans="32:39" x14ac:dyDescent="0.35">
      <c r="AF201" s="138"/>
      <c r="AG201" s="138"/>
      <c r="AH201" s="138"/>
      <c r="AI201" s="138"/>
      <c r="AJ201" s="138"/>
      <c r="AK201" s="138"/>
      <c r="AL201" s="138"/>
      <c r="AM201" s="138"/>
    </row>
    <row r="202" spans="32:39" x14ac:dyDescent="0.35">
      <c r="AF202" s="138"/>
      <c r="AG202" s="138"/>
      <c r="AH202" s="138"/>
      <c r="AI202" s="138"/>
      <c r="AJ202" s="138"/>
      <c r="AK202" s="138"/>
      <c r="AL202" s="138"/>
      <c r="AM202" s="138"/>
    </row>
    <row r="203" spans="32:39" x14ac:dyDescent="0.35">
      <c r="AF203" s="138"/>
      <c r="AG203" s="138"/>
      <c r="AH203" s="138"/>
      <c r="AI203" s="138"/>
      <c r="AJ203" s="138"/>
      <c r="AK203" s="138"/>
      <c r="AL203" s="138"/>
      <c r="AM203" s="138"/>
    </row>
    <row r="204" spans="32:39" x14ac:dyDescent="0.35">
      <c r="AF204" s="138"/>
      <c r="AG204" s="138"/>
      <c r="AH204" s="138"/>
      <c r="AI204" s="138"/>
      <c r="AJ204" s="138"/>
      <c r="AK204" s="138"/>
      <c r="AL204" s="138"/>
      <c r="AM204" s="138"/>
    </row>
    <row r="205" spans="32:39" x14ac:dyDescent="0.35">
      <c r="AF205" s="138"/>
      <c r="AG205" s="138"/>
      <c r="AH205" s="138"/>
      <c r="AI205" s="138"/>
      <c r="AJ205" s="138"/>
      <c r="AK205" s="138"/>
      <c r="AL205" s="138"/>
      <c r="AM205" s="138"/>
    </row>
    <row r="206" spans="32:39" x14ac:dyDescent="0.35">
      <c r="AF206" s="138"/>
      <c r="AG206" s="138"/>
      <c r="AH206" s="138"/>
      <c r="AI206" s="138"/>
      <c r="AJ206" s="138"/>
      <c r="AK206" s="138"/>
      <c r="AL206" s="138"/>
      <c r="AM206" s="138"/>
    </row>
    <row r="207" spans="32:39" x14ac:dyDescent="0.35">
      <c r="AF207" s="138"/>
      <c r="AG207" s="138"/>
      <c r="AH207" s="138"/>
      <c r="AI207" s="138"/>
      <c r="AJ207" s="138"/>
      <c r="AK207" s="138"/>
      <c r="AL207" s="138"/>
      <c r="AM207" s="138"/>
    </row>
    <row r="208" spans="32:39" x14ac:dyDescent="0.35">
      <c r="AF208" s="138"/>
      <c r="AG208" s="138"/>
      <c r="AH208" s="138"/>
      <c r="AI208" s="138"/>
      <c r="AJ208" s="138"/>
      <c r="AK208" s="138"/>
      <c r="AL208" s="138"/>
      <c r="AM208" s="138"/>
    </row>
    <row r="209" spans="32:39" x14ac:dyDescent="0.35">
      <c r="AF209" s="138"/>
      <c r="AG209" s="138"/>
      <c r="AH209" s="138"/>
      <c r="AI209" s="138"/>
      <c r="AJ209" s="138"/>
      <c r="AK209" s="138"/>
      <c r="AL209" s="138"/>
      <c r="AM209" s="138"/>
    </row>
    <row r="210" spans="32:39" x14ac:dyDescent="0.35">
      <c r="AF210" s="138"/>
      <c r="AG210" s="138"/>
      <c r="AH210" s="138"/>
      <c r="AI210" s="138"/>
      <c r="AJ210" s="138"/>
      <c r="AK210" s="138"/>
      <c r="AL210" s="138"/>
      <c r="AM210" s="138"/>
    </row>
    <row r="211" spans="32:39" x14ac:dyDescent="0.35">
      <c r="AF211" s="138"/>
      <c r="AG211" s="138"/>
      <c r="AH211" s="138"/>
      <c r="AI211" s="138"/>
      <c r="AJ211" s="138"/>
      <c r="AK211" s="138"/>
      <c r="AL211" s="138"/>
      <c r="AM211" s="138"/>
    </row>
    <row r="212" spans="32:39" x14ac:dyDescent="0.35">
      <c r="AF212" s="138"/>
      <c r="AG212" s="138"/>
      <c r="AH212" s="138"/>
      <c r="AI212" s="138"/>
      <c r="AJ212" s="138"/>
      <c r="AK212" s="138"/>
      <c r="AL212" s="138"/>
      <c r="AM212" s="138"/>
    </row>
    <row r="213" spans="32:39" x14ac:dyDescent="0.35">
      <c r="AF213" s="138"/>
      <c r="AG213" s="138"/>
      <c r="AH213" s="138"/>
      <c r="AI213" s="138"/>
      <c r="AJ213" s="138"/>
      <c r="AK213" s="138"/>
      <c r="AL213" s="138"/>
      <c r="AM213" s="138"/>
    </row>
    <row r="214" spans="32:39" x14ac:dyDescent="0.35">
      <c r="AF214" s="138"/>
      <c r="AG214" s="138"/>
      <c r="AH214" s="138"/>
      <c r="AI214" s="138"/>
      <c r="AJ214" s="138"/>
      <c r="AK214" s="138"/>
      <c r="AL214" s="138"/>
      <c r="AM214" s="138"/>
    </row>
    <row r="215" spans="32:39" x14ac:dyDescent="0.35">
      <c r="AF215" s="138"/>
      <c r="AG215" s="138"/>
      <c r="AH215" s="138"/>
      <c r="AI215" s="138"/>
      <c r="AJ215" s="138"/>
      <c r="AK215" s="138"/>
      <c r="AL215" s="138"/>
      <c r="AM215" s="138"/>
    </row>
    <row r="216" spans="32:39" x14ac:dyDescent="0.35">
      <c r="AF216" s="138"/>
      <c r="AG216" s="138"/>
      <c r="AH216" s="138"/>
      <c r="AI216" s="138"/>
      <c r="AJ216" s="138"/>
      <c r="AK216" s="138"/>
      <c r="AL216" s="138"/>
      <c r="AM216" s="138"/>
    </row>
    <row r="217" spans="32:39" x14ac:dyDescent="0.35">
      <c r="AF217" s="138"/>
      <c r="AG217" s="138"/>
      <c r="AH217" s="138"/>
      <c r="AI217" s="138"/>
      <c r="AJ217" s="138"/>
      <c r="AK217" s="138"/>
      <c r="AL217" s="138"/>
      <c r="AM217" s="138"/>
    </row>
    <row r="218" spans="32:39" x14ac:dyDescent="0.35">
      <c r="AF218" s="138"/>
      <c r="AG218" s="138"/>
      <c r="AH218" s="138"/>
      <c r="AI218" s="138"/>
      <c r="AJ218" s="138"/>
      <c r="AK218" s="138"/>
      <c r="AL218" s="138"/>
      <c r="AM218" s="138"/>
    </row>
    <row r="219" spans="32:39" x14ac:dyDescent="0.35">
      <c r="AF219" s="138"/>
      <c r="AG219" s="138"/>
      <c r="AH219" s="138"/>
      <c r="AI219" s="138"/>
      <c r="AJ219" s="138"/>
      <c r="AK219" s="138"/>
      <c r="AL219" s="138"/>
      <c r="AM219" s="138"/>
    </row>
    <row r="220" spans="32:39" x14ac:dyDescent="0.35">
      <c r="AF220" s="138"/>
      <c r="AG220" s="138"/>
      <c r="AH220" s="138"/>
      <c r="AI220" s="138"/>
      <c r="AJ220" s="138"/>
      <c r="AK220" s="138"/>
      <c r="AL220" s="138"/>
      <c r="AM220" s="138"/>
    </row>
    <row r="221" spans="32:39" x14ac:dyDescent="0.35">
      <c r="AF221" s="138"/>
      <c r="AG221" s="138"/>
      <c r="AH221" s="138"/>
      <c r="AI221" s="138"/>
      <c r="AJ221" s="138"/>
      <c r="AK221" s="138"/>
      <c r="AL221" s="138"/>
      <c r="AM221" s="138"/>
    </row>
    <row r="222" spans="32:39" x14ac:dyDescent="0.35">
      <c r="AF222" s="138"/>
      <c r="AG222" s="138"/>
      <c r="AH222" s="138"/>
      <c r="AI222" s="138"/>
      <c r="AJ222" s="138"/>
      <c r="AK222" s="138"/>
      <c r="AL222" s="138"/>
      <c r="AM222" s="138"/>
    </row>
    <row r="223" spans="32:39" x14ac:dyDescent="0.35">
      <c r="AF223" s="138"/>
      <c r="AG223" s="138"/>
      <c r="AH223" s="138"/>
      <c r="AI223" s="138"/>
      <c r="AJ223" s="138"/>
      <c r="AK223" s="138"/>
      <c r="AL223" s="138"/>
      <c r="AM223" s="138"/>
    </row>
    <row r="224" spans="32:39" x14ac:dyDescent="0.35">
      <c r="AF224" s="138"/>
      <c r="AG224" s="138"/>
      <c r="AH224" s="138"/>
      <c r="AI224" s="138"/>
      <c r="AJ224" s="138"/>
      <c r="AK224" s="138"/>
      <c r="AL224" s="138"/>
      <c r="AM224" s="138"/>
    </row>
    <row r="225" spans="32:39" x14ac:dyDescent="0.35">
      <c r="AF225" s="138"/>
      <c r="AG225" s="138"/>
      <c r="AH225" s="138"/>
      <c r="AI225" s="138"/>
      <c r="AJ225" s="138"/>
      <c r="AK225" s="138"/>
      <c r="AL225" s="138"/>
      <c r="AM225" s="138"/>
    </row>
    <row r="226" spans="32:39" x14ac:dyDescent="0.35">
      <c r="AF226" s="138"/>
      <c r="AG226" s="138"/>
      <c r="AH226" s="138"/>
      <c r="AI226" s="138"/>
      <c r="AJ226" s="138"/>
      <c r="AK226" s="138"/>
      <c r="AL226" s="138"/>
      <c r="AM226" s="138"/>
    </row>
    <row r="227" spans="32:39" x14ac:dyDescent="0.35">
      <c r="AF227" s="138"/>
      <c r="AG227" s="138"/>
      <c r="AH227" s="138"/>
      <c r="AI227" s="138"/>
      <c r="AJ227" s="138"/>
      <c r="AK227" s="138"/>
      <c r="AL227" s="138"/>
      <c r="AM227" s="138"/>
    </row>
    <row r="228" spans="32:39" x14ac:dyDescent="0.35">
      <c r="AF228" s="138"/>
      <c r="AG228" s="138"/>
      <c r="AH228" s="138"/>
      <c r="AI228" s="138"/>
      <c r="AJ228" s="138"/>
      <c r="AK228" s="138"/>
      <c r="AL228" s="138"/>
      <c r="AM228" s="138"/>
    </row>
    <row r="229" spans="32:39" x14ac:dyDescent="0.35">
      <c r="AF229" s="138"/>
      <c r="AG229" s="138"/>
      <c r="AH229" s="138"/>
      <c r="AI229" s="138"/>
      <c r="AJ229" s="138"/>
      <c r="AK229" s="138"/>
      <c r="AL229" s="138"/>
      <c r="AM229" s="138"/>
    </row>
    <row r="230" spans="32:39" x14ac:dyDescent="0.35">
      <c r="AF230" s="138"/>
      <c r="AG230" s="138"/>
      <c r="AH230" s="138"/>
      <c r="AI230" s="138"/>
      <c r="AJ230" s="138"/>
      <c r="AK230" s="138"/>
      <c r="AL230" s="138"/>
      <c r="AM230" s="138"/>
    </row>
    <row r="231" spans="32:39" x14ac:dyDescent="0.35">
      <c r="AF231" s="138"/>
      <c r="AG231" s="138"/>
      <c r="AH231" s="138"/>
      <c r="AI231" s="138"/>
      <c r="AJ231" s="138"/>
      <c r="AK231" s="138"/>
      <c r="AL231" s="138"/>
      <c r="AM231" s="138"/>
    </row>
    <row r="232" spans="32:39" x14ac:dyDescent="0.35">
      <c r="AF232" s="138"/>
      <c r="AG232" s="138"/>
      <c r="AH232" s="138"/>
      <c r="AI232" s="138"/>
      <c r="AJ232" s="138"/>
      <c r="AK232" s="138"/>
      <c r="AL232" s="138"/>
      <c r="AM232" s="138"/>
    </row>
    <row r="233" spans="32:39" x14ac:dyDescent="0.35">
      <c r="AF233" s="138"/>
      <c r="AG233" s="138"/>
      <c r="AH233" s="138"/>
      <c r="AI233" s="138"/>
      <c r="AJ233" s="138"/>
      <c r="AK233" s="138"/>
      <c r="AL233" s="138"/>
      <c r="AM233" s="138"/>
    </row>
    <row r="234" spans="32:39" x14ac:dyDescent="0.35">
      <c r="AF234" s="138"/>
      <c r="AG234" s="138"/>
      <c r="AH234" s="138"/>
      <c r="AI234" s="138"/>
      <c r="AJ234" s="138"/>
      <c r="AK234" s="138"/>
      <c r="AL234" s="138"/>
      <c r="AM234" s="138"/>
    </row>
    <row r="235" spans="32:39" x14ac:dyDescent="0.35">
      <c r="AF235" s="138"/>
      <c r="AG235" s="138"/>
      <c r="AH235" s="138"/>
      <c r="AI235" s="138"/>
      <c r="AJ235" s="138"/>
      <c r="AK235" s="138"/>
      <c r="AL235" s="138"/>
      <c r="AM235" s="138"/>
    </row>
    <row r="236" spans="32:39" x14ac:dyDescent="0.35">
      <c r="AF236" s="138"/>
      <c r="AG236" s="138"/>
      <c r="AH236" s="138"/>
      <c r="AI236" s="138"/>
      <c r="AJ236" s="138"/>
      <c r="AK236" s="138"/>
      <c r="AL236" s="138"/>
      <c r="AM236" s="138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DD5B2-650E-4356-A5DA-2C48357F7EA3}">
  <dimension ref="A1:G37"/>
  <sheetViews>
    <sheetView workbookViewId="0">
      <selection activeCell="A37" sqref="A37"/>
    </sheetView>
  </sheetViews>
  <sheetFormatPr defaultRowHeight="14.5" x14ac:dyDescent="0.35"/>
  <cols>
    <col min="1" max="1" width="50.7265625" customWidth="1"/>
    <col min="10" max="11" width="9.26953125" bestFit="1" customWidth="1"/>
  </cols>
  <sheetData>
    <row r="1" spans="1:7" x14ac:dyDescent="0.35">
      <c r="A1" s="49" t="s">
        <v>93</v>
      </c>
      <c r="B1" s="50" t="s">
        <v>94</v>
      </c>
      <c r="C1" s="50" t="s">
        <v>95</v>
      </c>
      <c r="D1" s="50" t="s">
        <v>96</v>
      </c>
      <c r="E1" s="4" t="s">
        <v>97</v>
      </c>
      <c r="F1" s="4" t="s">
        <v>98</v>
      </c>
      <c r="G1" s="50" t="s">
        <v>99</v>
      </c>
    </row>
    <row r="2" spans="1:7" x14ac:dyDescent="0.35">
      <c r="A2" t="s">
        <v>100</v>
      </c>
      <c r="B2" s="51">
        <v>-898.68</v>
      </c>
      <c r="C2" s="51">
        <v>238.9</v>
      </c>
      <c r="D2" s="51">
        <v>63.5</v>
      </c>
      <c r="E2" s="52">
        <f>CONVERT(B2,"mm","in")</f>
        <v>-35.381102362204722</v>
      </c>
      <c r="F2" s="52">
        <f t="shared" ref="F2:G17" si="0">CONVERT(C2,"mm","in")</f>
        <v>9.4055118110236222</v>
      </c>
      <c r="G2" s="51">
        <f t="shared" si="0"/>
        <v>2.5</v>
      </c>
    </row>
    <row r="3" spans="1:7" x14ac:dyDescent="0.35">
      <c r="A3" t="s">
        <v>101</v>
      </c>
      <c r="B3" s="51">
        <v>-573.65390000000002</v>
      </c>
      <c r="C3" s="51">
        <v>263.89339999999999</v>
      </c>
      <c r="D3" s="51">
        <v>73.259900000000002</v>
      </c>
      <c r="E3" s="52">
        <f t="shared" ref="E3" si="1">CONVERT(B3,"mm","in")</f>
        <v>-22.584799212598423</v>
      </c>
      <c r="F3" s="52">
        <f t="shared" si="0"/>
        <v>10.389503937007873</v>
      </c>
      <c r="G3" s="51">
        <f t="shared" si="0"/>
        <v>2.884248031496063</v>
      </c>
    </row>
    <row r="4" spans="1:7" x14ac:dyDescent="0.35">
      <c r="A4" t="s">
        <v>102</v>
      </c>
      <c r="B4" s="51">
        <v>-760.56880000000001</v>
      </c>
      <c r="C4" s="51">
        <v>571.05999999999995</v>
      </c>
      <c r="D4" s="51">
        <v>117.2034</v>
      </c>
      <c r="E4" s="52">
        <f>CONVERT(B4,"mm","in")</f>
        <v>-29.943653543307086</v>
      </c>
      <c r="F4" s="52">
        <f t="shared" si="0"/>
        <v>22.482677165354325</v>
      </c>
      <c r="G4" s="51">
        <f t="shared" si="0"/>
        <v>4.6143070866141738</v>
      </c>
    </row>
    <row r="5" spans="1:7" x14ac:dyDescent="0.35">
      <c r="A5" t="s">
        <v>103</v>
      </c>
      <c r="B5" s="51">
        <v>-909</v>
      </c>
      <c r="C5" s="51">
        <v>290.83999999999997</v>
      </c>
      <c r="D5" s="51">
        <v>175.94</v>
      </c>
      <c r="E5" s="52">
        <f t="shared" ref="E5:G18" si="2">CONVERT(B5,"mm","in")</f>
        <v>-35.787401574803155</v>
      </c>
      <c r="F5" s="52">
        <f t="shared" si="0"/>
        <v>11.4503937007874</v>
      </c>
      <c r="G5" s="51">
        <f t="shared" si="0"/>
        <v>6.9267716535433079</v>
      </c>
    </row>
    <row r="6" spans="1:7" x14ac:dyDescent="0.35">
      <c r="A6" t="s">
        <v>104</v>
      </c>
      <c r="B6" s="51">
        <v>-571.98109999999997</v>
      </c>
      <c r="C6" s="51">
        <v>294.7088</v>
      </c>
      <c r="D6" s="51">
        <v>160.31620000000001</v>
      </c>
      <c r="E6" s="52">
        <f t="shared" si="2"/>
        <v>-22.518940944881891</v>
      </c>
      <c r="F6" s="52">
        <f t="shared" si="0"/>
        <v>11.602708661417322</v>
      </c>
      <c r="G6" s="51">
        <f t="shared" si="0"/>
        <v>6.3116614173228349</v>
      </c>
    </row>
    <row r="7" spans="1:7" x14ac:dyDescent="0.35">
      <c r="A7" t="s">
        <v>105</v>
      </c>
      <c r="B7" s="51">
        <v>-740.35</v>
      </c>
      <c r="C7" s="51">
        <v>554.62</v>
      </c>
      <c r="D7" s="51">
        <v>291.63</v>
      </c>
      <c r="E7" s="52">
        <f t="shared" si="2"/>
        <v>-29.147637795275593</v>
      </c>
      <c r="F7" s="52">
        <f t="shared" si="0"/>
        <v>21.835433070866141</v>
      </c>
      <c r="G7" s="51">
        <f t="shared" si="0"/>
        <v>11.481496062992127</v>
      </c>
    </row>
    <row r="8" spans="1:7" x14ac:dyDescent="0.35">
      <c r="A8" t="s">
        <v>106</v>
      </c>
      <c r="B8" s="51">
        <v>-757.79499999999996</v>
      </c>
      <c r="C8" s="51">
        <v>531.1001</v>
      </c>
      <c r="D8" s="51">
        <v>127.1602</v>
      </c>
      <c r="E8" s="52">
        <f t="shared" si="2"/>
        <v>-29.834448818897641</v>
      </c>
      <c r="F8" s="52">
        <f t="shared" si="0"/>
        <v>20.909452755905512</v>
      </c>
      <c r="G8" s="51">
        <f t="shared" si="0"/>
        <v>5.0063070866141732</v>
      </c>
    </row>
    <row r="9" spans="1:7" x14ac:dyDescent="0.35">
      <c r="A9" t="s">
        <v>107</v>
      </c>
      <c r="B9" s="51">
        <v>-739.68899999999996</v>
      </c>
      <c r="C9" s="51">
        <v>270.26089999999999</v>
      </c>
      <c r="D9" s="51">
        <v>192.1532</v>
      </c>
      <c r="E9" s="52">
        <f t="shared" si="2"/>
        <v>-29.121614173228348</v>
      </c>
      <c r="F9" s="52">
        <f t="shared" si="0"/>
        <v>10.640192913385826</v>
      </c>
      <c r="G9" s="51">
        <f t="shared" si="0"/>
        <v>7.5650866141732287</v>
      </c>
    </row>
    <row r="10" spans="1:7" x14ac:dyDescent="0.35">
      <c r="A10" t="s">
        <v>108</v>
      </c>
      <c r="B10" s="51">
        <v>-810.79200000000003</v>
      </c>
      <c r="C10" s="51">
        <v>565.30489999999998</v>
      </c>
      <c r="D10" s="51">
        <v>144.71</v>
      </c>
      <c r="E10" s="52">
        <f t="shared" si="2"/>
        <v>-31.920944881889767</v>
      </c>
      <c r="F10" s="52">
        <f t="shared" si="0"/>
        <v>22.25609842519685</v>
      </c>
      <c r="G10" s="51">
        <f t="shared" si="0"/>
        <v>5.6972440944881892</v>
      </c>
    </row>
    <row r="11" spans="1:7" x14ac:dyDescent="0.35">
      <c r="A11" t="s">
        <v>109</v>
      </c>
      <c r="B11" s="51">
        <v>-812.36</v>
      </c>
      <c r="C11" s="51">
        <v>255.42</v>
      </c>
      <c r="D11" s="51">
        <v>82.79</v>
      </c>
      <c r="E11" s="52">
        <f t="shared" si="2"/>
        <v>-31.982677165354328</v>
      </c>
      <c r="F11" s="52">
        <f t="shared" si="0"/>
        <v>10.055905511811023</v>
      </c>
      <c r="G11" s="51">
        <f t="shared" si="0"/>
        <v>3.2594488188976385</v>
      </c>
    </row>
    <row r="12" spans="1:7" x14ac:dyDescent="0.35">
      <c r="A12" t="s">
        <v>110</v>
      </c>
      <c r="B12" s="51">
        <v>-745.62609999999995</v>
      </c>
      <c r="C12" s="51">
        <v>255.3621</v>
      </c>
      <c r="D12" s="51">
        <v>428.02589999999998</v>
      </c>
      <c r="E12" s="52">
        <f t="shared" si="2"/>
        <v>-29.355358267716536</v>
      </c>
      <c r="F12" s="52">
        <f t="shared" si="0"/>
        <v>10.053625984251969</v>
      </c>
      <c r="G12" s="51">
        <f t="shared" si="0"/>
        <v>16.851413385826771</v>
      </c>
    </row>
    <row r="13" spans="1:7" x14ac:dyDescent="0.35">
      <c r="A13" t="s">
        <v>111</v>
      </c>
      <c r="B13" s="51">
        <v>-737.52660000000003</v>
      </c>
      <c r="C13" s="51">
        <v>213.8896</v>
      </c>
      <c r="D13" s="51">
        <v>264.49930000000001</v>
      </c>
      <c r="E13" s="52">
        <f t="shared" si="2"/>
        <v>-29.036480314960631</v>
      </c>
      <c r="F13" s="52">
        <f t="shared" si="0"/>
        <v>8.420850393700789</v>
      </c>
      <c r="G13" s="51">
        <f t="shared" si="0"/>
        <v>10.413358267716536</v>
      </c>
    </row>
    <row r="14" spans="1:7" x14ac:dyDescent="0.35">
      <c r="A14" t="s">
        <v>112</v>
      </c>
      <c r="B14" s="51">
        <v>-743.71</v>
      </c>
      <c r="C14" s="51">
        <v>647.70000000000005</v>
      </c>
      <c r="D14" s="51">
        <v>207.01</v>
      </c>
      <c r="E14" s="52">
        <f t="shared" si="2"/>
        <v>-29.279921259842521</v>
      </c>
      <c r="F14" s="52">
        <f t="shared" si="0"/>
        <v>25.5</v>
      </c>
      <c r="G14" s="51">
        <f t="shared" si="0"/>
        <v>8.15</v>
      </c>
    </row>
    <row r="15" spans="1:7" x14ac:dyDescent="0.35">
      <c r="A15" t="s">
        <v>113</v>
      </c>
      <c r="B15" s="51">
        <v>-743.71</v>
      </c>
      <c r="C15" s="51">
        <v>609.6</v>
      </c>
      <c r="D15" s="51">
        <v>207.01</v>
      </c>
      <c r="E15" s="52">
        <f t="shared" si="2"/>
        <v>-29.279921259842521</v>
      </c>
      <c r="F15" s="52">
        <f t="shared" si="0"/>
        <v>24</v>
      </c>
      <c r="G15" s="51">
        <f t="shared" si="0"/>
        <v>8.15</v>
      </c>
    </row>
    <row r="16" spans="1:7" x14ac:dyDescent="0.35">
      <c r="A16" t="s">
        <v>114</v>
      </c>
      <c r="B16" s="51">
        <v>-721.79610000000002</v>
      </c>
      <c r="C16" s="51">
        <v>275.15129999999999</v>
      </c>
      <c r="D16" s="51">
        <v>220.32169999999999</v>
      </c>
      <c r="E16" s="52">
        <f t="shared" si="2"/>
        <v>-28.417169291338581</v>
      </c>
      <c r="F16" s="52">
        <f t="shared" si="0"/>
        <v>10.832728346456694</v>
      </c>
      <c r="G16" s="51">
        <f t="shared" si="0"/>
        <v>8.6740826771653534</v>
      </c>
    </row>
    <row r="17" spans="1:7" x14ac:dyDescent="0.35">
      <c r="A17" t="s">
        <v>115</v>
      </c>
      <c r="B17" s="51">
        <v>-759.76689999999996</v>
      </c>
      <c r="C17" s="51">
        <v>272.23149999999998</v>
      </c>
      <c r="D17" s="51">
        <v>219.1815</v>
      </c>
      <c r="E17" s="52">
        <f t="shared" si="2"/>
        <v>-29.912082677165355</v>
      </c>
      <c r="F17" s="52">
        <f t="shared" si="0"/>
        <v>10.717775590551181</v>
      </c>
      <c r="G17" s="51">
        <f t="shared" si="0"/>
        <v>8.6291929133858272</v>
      </c>
    </row>
    <row r="18" spans="1:7" ht="15" thickBot="1" x14ac:dyDescent="0.4">
      <c r="A18" t="s">
        <v>116</v>
      </c>
      <c r="B18" s="51">
        <v>-743.71</v>
      </c>
      <c r="C18" s="51">
        <v>609.6</v>
      </c>
      <c r="D18" s="51">
        <v>3.81</v>
      </c>
      <c r="E18" s="52">
        <f t="shared" si="2"/>
        <v>-29.279921259842521</v>
      </c>
      <c r="F18" s="52">
        <f t="shared" si="2"/>
        <v>24</v>
      </c>
      <c r="G18" s="51">
        <f t="shared" si="2"/>
        <v>0.15</v>
      </c>
    </row>
    <row r="19" spans="1:7" x14ac:dyDescent="0.35">
      <c r="A19" s="49" t="s">
        <v>117</v>
      </c>
      <c r="B19" s="50" t="s">
        <v>94</v>
      </c>
      <c r="C19" s="50" t="s">
        <v>95</v>
      </c>
      <c r="D19" s="50" t="s">
        <v>96</v>
      </c>
      <c r="E19" s="4" t="s">
        <v>97</v>
      </c>
      <c r="F19" s="4" t="s">
        <v>98</v>
      </c>
      <c r="G19" s="50" t="s">
        <v>99</v>
      </c>
    </row>
    <row r="20" spans="1:7" x14ac:dyDescent="0.35">
      <c r="A20" t="s">
        <v>100</v>
      </c>
      <c r="B20" s="51">
        <v>572.55989999999997</v>
      </c>
      <c r="C20" s="51">
        <v>188.26</v>
      </c>
      <c r="D20" s="51">
        <v>102.4402</v>
      </c>
      <c r="E20" s="52">
        <f>CONVERT(B20,"mm","in")</f>
        <v>22.541728346456694</v>
      </c>
      <c r="F20" s="52">
        <f t="shared" ref="F20:G36" si="3">CONVERT(C20,"mm","in")</f>
        <v>7.4118110236220476</v>
      </c>
      <c r="G20" s="51">
        <f t="shared" si="3"/>
        <v>4.0330787401574808</v>
      </c>
    </row>
    <row r="21" spans="1:7" x14ac:dyDescent="0.35">
      <c r="A21" t="s">
        <v>101</v>
      </c>
      <c r="B21" s="51">
        <v>880.25990000000002</v>
      </c>
      <c r="C21" s="51">
        <v>209.26</v>
      </c>
      <c r="D21" s="51">
        <v>72.120199999999997</v>
      </c>
      <c r="E21" s="52">
        <f t="shared" ref="E21" si="4">CONVERT(B21,"mm","in")</f>
        <v>34.655901574803153</v>
      </c>
      <c r="F21" s="52">
        <f t="shared" si="3"/>
        <v>8.2385826771653541</v>
      </c>
      <c r="G21" s="51">
        <f t="shared" si="3"/>
        <v>2.8393779527559055</v>
      </c>
    </row>
    <row r="22" spans="1:7" x14ac:dyDescent="0.35">
      <c r="A22" t="s">
        <v>102</v>
      </c>
      <c r="B22" s="51">
        <v>807.26440000000002</v>
      </c>
      <c r="C22" s="51">
        <v>522.21600000000001</v>
      </c>
      <c r="D22" s="51">
        <v>109.4354</v>
      </c>
      <c r="E22" s="52">
        <f>CONVERT(B22,"mm","in")</f>
        <v>31.782062992125987</v>
      </c>
      <c r="F22" s="52">
        <f t="shared" si="3"/>
        <v>20.559685039370077</v>
      </c>
      <c r="G22" s="51">
        <f t="shared" si="3"/>
        <v>4.3084803149606294</v>
      </c>
    </row>
    <row r="23" spans="1:7" x14ac:dyDescent="0.35">
      <c r="A23" t="s">
        <v>103</v>
      </c>
      <c r="B23" s="51">
        <v>657.96770000000004</v>
      </c>
      <c r="C23" s="51">
        <v>246.63</v>
      </c>
      <c r="D23" s="51">
        <v>193.35640000000001</v>
      </c>
      <c r="E23" s="52">
        <f t="shared" ref="E23:E36" si="5">CONVERT(B23,"mm","in")</f>
        <v>25.904240157480316</v>
      </c>
      <c r="F23" s="52">
        <f t="shared" si="3"/>
        <v>9.7098425196850382</v>
      </c>
      <c r="G23" s="51">
        <f t="shared" si="3"/>
        <v>7.6124566929133861</v>
      </c>
    </row>
    <row r="24" spans="1:7" x14ac:dyDescent="0.35">
      <c r="A24" t="s">
        <v>104</v>
      </c>
      <c r="B24" s="51">
        <v>885.01</v>
      </c>
      <c r="C24" s="51">
        <v>246.63</v>
      </c>
      <c r="D24" s="51">
        <v>184.08</v>
      </c>
      <c r="E24" s="52">
        <f t="shared" si="5"/>
        <v>34.842913385826776</v>
      </c>
      <c r="F24" s="52">
        <f t="shared" si="3"/>
        <v>9.7098425196850382</v>
      </c>
      <c r="G24" s="51">
        <f t="shared" si="3"/>
        <v>7.24724409448819</v>
      </c>
    </row>
    <row r="25" spans="1:7" x14ac:dyDescent="0.35">
      <c r="A25" t="s">
        <v>105</v>
      </c>
      <c r="B25" s="51">
        <v>829.22429999999997</v>
      </c>
      <c r="C25" s="51">
        <v>504.98700000000002</v>
      </c>
      <c r="D25" s="51">
        <v>290.08890000000002</v>
      </c>
      <c r="E25" s="52">
        <f t="shared" si="5"/>
        <v>32.646625984251969</v>
      </c>
      <c r="F25" s="52">
        <f t="shared" si="3"/>
        <v>19.881377952755905</v>
      </c>
      <c r="G25" s="51">
        <f t="shared" si="3"/>
        <v>11.420822834645669</v>
      </c>
    </row>
    <row r="26" spans="1:7" x14ac:dyDescent="0.35">
      <c r="A26" t="s">
        <v>106</v>
      </c>
      <c r="B26" s="51">
        <v>829.44470000000001</v>
      </c>
      <c r="C26" s="51">
        <v>479.21679999999998</v>
      </c>
      <c r="D26" s="51">
        <v>295.48270000000002</v>
      </c>
      <c r="E26" s="52">
        <f t="shared" si="5"/>
        <v>32.655303149606297</v>
      </c>
      <c r="F26" s="52">
        <f t="shared" si="3"/>
        <v>18.866803149606298</v>
      </c>
      <c r="G26" s="51">
        <f t="shared" si="3"/>
        <v>11.633177165354331</v>
      </c>
    </row>
    <row r="27" spans="1:7" x14ac:dyDescent="0.35">
      <c r="A27" t="s">
        <v>107</v>
      </c>
      <c r="B27" s="51">
        <v>831.84540000000004</v>
      </c>
      <c r="C27" s="51">
        <v>198.4906</v>
      </c>
      <c r="D27" s="51">
        <v>354.24029999999999</v>
      </c>
      <c r="E27" s="52">
        <f t="shared" si="5"/>
        <v>32.749818897637795</v>
      </c>
      <c r="F27" s="52">
        <f t="shared" si="3"/>
        <v>7.8145905511811025</v>
      </c>
      <c r="G27" s="51">
        <f t="shared" si="3"/>
        <v>13.946468503937007</v>
      </c>
    </row>
    <row r="28" spans="1:7" x14ac:dyDescent="0.35">
      <c r="A28" t="s">
        <v>108</v>
      </c>
      <c r="B28" s="51">
        <v>886.15</v>
      </c>
      <c r="C28" s="51">
        <v>498.79</v>
      </c>
      <c r="D28" s="51">
        <v>200.15</v>
      </c>
      <c r="E28" s="52">
        <f t="shared" si="5"/>
        <v>34.887795275590548</v>
      </c>
      <c r="F28" s="52">
        <f t="shared" si="3"/>
        <v>19.63740157480315</v>
      </c>
      <c r="G28" s="51">
        <f t="shared" si="3"/>
        <v>7.8799212598425195</v>
      </c>
    </row>
    <row r="29" spans="1:7" x14ac:dyDescent="0.35">
      <c r="A29" t="s">
        <v>109</v>
      </c>
      <c r="B29" s="51">
        <v>914.73009999999999</v>
      </c>
      <c r="C29" s="51">
        <v>206.27</v>
      </c>
      <c r="D29" s="51">
        <v>125.7302</v>
      </c>
      <c r="E29" s="52">
        <f t="shared" si="5"/>
        <v>36.01299606299213</v>
      </c>
      <c r="F29" s="52">
        <f t="shared" si="3"/>
        <v>8.120866141732284</v>
      </c>
      <c r="G29" s="51">
        <f t="shared" si="3"/>
        <v>4.950007874015748</v>
      </c>
    </row>
    <row r="30" spans="1:7" x14ac:dyDescent="0.35">
      <c r="A30" t="s">
        <v>110</v>
      </c>
      <c r="B30" s="51">
        <v>579.2527</v>
      </c>
      <c r="C30" s="51">
        <v>237.94499999999999</v>
      </c>
      <c r="D30" s="51">
        <v>356.28890000000001</v>
      </c>
      <c r="E30" s="52">
        <f t="shared" si="5"/>
        <v>22.805224409448819</v>
      </c>
      <c r="F30" s="52">
        <f t="shared" si="3"/>
        <v>9.3679133858267729</v>
      </c>
      <c r="G30" s="51">
        <f t="shared" si="3"/>
        <v>14.027122047244095</v>
      </c>
    </row>
    <row r="31" spans="1:7" x14ac:dyDescent="0.35">
      <c r="A31" t="s">
        <v>111</v>
      </c>
      <c r="B31" s="51">
        <v>724.43640000000005</v>
      </c>
      <c r="C31" s="51">
        <v>143.11660000000001</v>
      </c>
      <c r="D31" s="51">
        <v>370.23829999999998</v>
      </c>
      <c r="E31" s="52">
        <f t="shared" si="5"/>
        <v>28.52111811023622</v>
      </c>
      <c r="F31" s="52">
        <f t="shared" si="3"/>
        <v>5.6345118110236214</v>
      </c>
      <c r="G31" s="51">
        <f t="shared" si="3"/>
        <v>14.576311023622047</v>
      </c>
    </row>
    <row r="32" spans="1:7" x14ac:dyDescent="0.35">
      <c r="A32" t="s">
        <v>112</v>
      </c>
      <c r="B32" s="51">
        <v>805.69</v>
      </c>
      <c r="C32" s="51">
        <v>596.9</v>
      </c>
      <c r="D32" s="51">
        <v>207.01</v>
      </c>
      <c r="E32" s="52">
        <f t="shared" si="5"/>
        <v>31.720078740157486</v>
      </c>
      <c r="F32" s="52">
        <f t="shared" si="3"/>
        <v>23.5</v>
      </c>
      <c r="G32" s="51">
        <f t="shared" si="3"/>
        <v>8.15</v>
      </c>
    </row>
    <row r="33" spans="1:7" x14ac:dyDescent="0.35">
      <c r="A33" t="s">
        <v>113</v>
      </c>
      <c r="B33" s="51">
        <v>805.69</v>
      </c>
      <c r="C33" s="51">
        <v>558.79999999999995</v>
      </c>
      <c r="D33" s="51">
        <v>207.01</v>
      </c>
      <c r="E33" s="52">
        <f t="shared" si="5"/>
        <v>31.720078740157486</v>
      </c>
      <c r="F33" s="52">
        <f t="shared" si="3"/>
        <v>22</v>
      </c>
      <c r="G33" s="51">
        <f t="shared" si="3"/>
        <v>8.15</v>
      </c>
    </row>
    <row r="34" spans="1:7" x14ac:dyDescent="0.35">
      <c r="A34" t="s">
        <v>114</v>
      </c>
      <c r="B34" s="51">
        <v>781.60040000000004</v>
      </c>
      <c r="C34" s="51">
        <v>212</v>
      </c>
      <c r="D34" s="51">
        <v>372.94060000000002</v>
      </c>
      <c r="E34" s="52">
        <f t="shared" si="5"/>
        <v>30.771669291338583</v>
      </c>
      <c r="F34" s="52">
        <f t="shared" si="3"/>
        <v>8.3464566929133852</v>
      </c>
      <c r="G34" s="51">
        <f t="shared" si="3"/>
        <v>14.682700787401576</v>
      </c>
    </row>
    <row r="35" spans="1:7" x14ac:dyDescent="0.35">
      <c r="A35" t="s">
        <v>115</v>
      </c>
      <c r="B35" s="51">
        <v>780.07799999999997</v>
      </c>
      <c r="C35" s="51">
        <v>204.1883</v>
      </c>
      <c r="D35" s="51">
        <v>335.68110000000001</v>
      </c>
      <c r="E35" s="52">
        <f t="shared" si="5"/>
        <v>30.711732283464567</v>
      </c>
      <c r="F35" s="52">
        <f t="shared" si="3"/>
        <v>8.038909448818897</v>
      </c>
      <c r="G35" s="51">
        <f t="shared" si="3"/>
        <v>13.215791338582678</v>
      </c>
    </row>
    <row r="36" spans="1:7" ht="15" thickBot="1" x14ac:dyDescent="0.4">
      <c r="A36" s="53" t="s">
        <v>116</v>
      </c>
      <c r="B36" s="54">
        <v>805.69</v>
      </c>
      <c r="C36" s="54">
        <v>558.79999999999995</v>
      </c>
      <c r="D36" s="54">
        <v>3.81</v>
      </c>
      <c r="E36" s="55">
        <f t="shared" si="5"/>
        <v>31.720078740157486</v>
      </c>
      <c r="F36" s="55">
        <f t="shared" si="3"/>
        <v>22</v>
      </c>
      <c r="G36" s="54">
        <f t="shared" si="3"/>
        <v>0.15</v>
      </c>
    </row>
    <row r="37" spans="1:7" x14ac:dyDescent="0.35">
      <c r="A37" t="s">
        <v>118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625B2-23D9-49CE-8179-4AC0F301622E}">
  <dimension ref="A1:G37"/>
  <sheetViews>
    <sheetView tabSelected="1" workbookViewId="0">
      <selection activeCell="B20" sqref="B20"/>
    </sheetView>
  </sheetViews>
  <sheetFormatPr defaultRowHeight="14.5" x14ac:dyDescent="0.35"/>
  <cols>
    <col min="2" max="2" width="39.6328125" bestFit="1" customWidth="1"/>
    <col min="3" max="3" width="39" bestFit="1" customWidth="1"/>
    <col min="4" max="4" width="16.90625" customWidth="1"/>
  </cols>
  <sheetData>
    <row r="1" spans="1:7" x14ac:dyDescent="0.35">
      <c r="B1" s="160" t="s">
        <v>289</v>
      </c>
      <c r="C1" s="161" t="s">
        <v>290</v>
      </c>
      <c r="D1" s="46" t="s">
        <v>295</v>
      </c>
    </row>
    <row r="2" spans="1:7" x14ac:dyDescent="0.35">
      <c r="A2" s="189" t="s">
        <v>119</v>
      </c>
      <c r="B2" s="190"/>
      <c r="C2" s="190"/>
      <c r="D2" s="46"/>
      <c r="F2" s="46"/>
      <c r="G2" s="46"/>
    </row>
    <row r="3" spans="1:7" x14ac:dyDescent="0.35">
      <c r="A3" s="103" t="s">
        <v>122</v>
      </c>
      <c r="B3">
        <v>1.1E-5</v>
      </c>
      <c r="C3">
        <v>1.2E-5</v>
      </c>
      <c r="D3" t="s">
        <v>291</v>
      </c>
    </row>
    <row r="4" spans="1:7" x14ac:dyDescent="0.35">
      <c r="B4">
        <v>-9.3155000000000002E-2</v>
      </c>
      <c r="C4">
        <v>-8.9315000000000005E-2</v>
      </c>
      <c r="D4" t="s">
        <v>292</v>
      </c>
    </row>
    <row r="5" spans="1:7" x14ac:dyDescent="0.35">
      <c r="B5">
        <v>-1.16E-4</v>
      </c>
      <c r="C5">
        <v>-1.18E-4</v>
      </c>
      <c r="D5" t="s">
        <v>293</v>
      </c>
    </row>
    <row r="6" spans="1:7" x14ac:dyDescent="0.35">
      <c r="B6">
        <v>0</v>
      </c>
      <c r="C6">
        <v>0</v>
      </c>
      <c r="D6" t="s">
        <v>294</v>
      </c>
    </row>
    <row r="7" spans="1:7" x14ac:dyDescent="0.35">
      <c r="A7" s="65"/>
      <c r="B7" s="65"/>
      <c r="C7" s="65"/>
    </row>
    <row r="8" spans="1:7" x14ac:dyDescent="0.35">
      <c r="A8" s="103" t="s">
        <v>123</v>
      </c>
      <c r="B8">
        <v>6.0000000000000002E-6</v>
      </c>
      <c r="C8">
        <v>-2.3E-5</v>
      </c>
      <c r="D8" t="s">
        <v>291</v>
      </c>
    </row>
    <row r="9" spans="1:7" x14ac:dyDescent="0.35">
      <c r="B9">
        <v>2.05E-4</v>
      </c>
      <c r="C9">
        <v>-6.3E-5</v>
      </c>
      <c r="D9" t="s">
        <v>292</v>
      </c>
    </row>
    <row r="10" spans="1:7" x14ac:dyDescent="0.35">
      <c r="B10">
        <v>0</v>
      </c>
      <c r="C10">
        <v>7.4999999999999993E-5</v>
      </c>
      <c r="D10" t="s">
        <v>293</v>
      </c>
    </row>
    <row r="11" spans="1:7" x14ac:dyDescent="0.35">
      <c r="B11">
        <v>0</v>
      </c>
      <c r="C11">
        <v>0</v>
      </c>
      <c r="D11" t="s">
        <v>294</v>
      </c>
    </row>
    <row r="12" spans="1:7" x14ac:dyDescent="0.35">
      <c r="A12" t="s">
        <v>124</v>
      </c>
      <c r="B12" t="s">
        <v>296</v>
      </c>
      <c r="C12" s="107" t="s">
        <v>300</v>
      </c>
    </row>
    <row r="14" spans="1:7" x14ac:dyDescent="0.35">
      <c r="A14" s="186" t="s">
        <v>120</v>
      </c>
      <c r="B14" s="187"/>
      <c r="C14" s="187"/>
    </row>
    <row r="15" spans="1:7" x14ac:dyDescent="0.35">
      <c r="A15" s="103" t="s">
        <v>122</v>
      </c>
      <c r="B15">
        <v>7.9999999999999996E-6</v>
      </c>
      <c r="C15">
        <v>6.0000000000000002E-6</v>
      </c>
      <c r="D15" t="s">
        <v>291</v>
      </c>
    </row>
    <row r="16" spans="1:7" x14ac:dyDescent="0.35">
      <c r="B16">
        <v>-8.8769999999999995E-3</v>
      </c>
      <c r="C16">
        <v>-0.128914</v>
      </c>
      <c r="D16" t="s">
        <v>292</v>
      </c>
    </row>
    <row r="17" spans="1:4" x14ac:dyDescent="0.35">
      <c r="B17">
        <v>-1.3483E-2</v>
      </c>
      <c r="C17">
        <v>-1.1754000000000001E-2</v>
      </c>
      <c r="D17" t="s">
        <v>293</v>
      </c>
    </row>
    <row r="18" spans="1:4" x14ac:dyDescent="0.35">
      <c r="B18">
        <v>2.12E-4</v>
      </c>
      <c r="C18">
        <v>1.5100000000000001E-4</v>
      </c>
      <c r="D18" t="s">
        <v>294</v>
      </c>
    </row>
    <row r="19" spans="1:4" x14ac:dyDescent="0.35">
      <c r="A19" s="65"/>
      <c r="B19" s="65"/>
      <c r="C19" s="65"/>
    </row>
    <row r="20" spans="1:4" x14ac:dyDescent="0.35">
      <c r="A20" s="103" t="s">
        <v>123</v>
      </c>
      <c r="B20">
        <v>1.7E-5</v>
      </c>
      <c r="C20">
        <v>-3.0000000000000001E-5</v>
      </c>
      <c r="D20" t="s">
        <v>291</v>
      </c>
    </row>
    <row r="21" spans="1:4" x14ac:dyDescent="0.35">
      <c r="B21">
        <v>9.613E-3</v>
      </c>
      <c r="C21">
        <v>1.2409E-2</v>
      </c>
      <c r="D21" t="s">
        <v>292</v>
      </c>
    </row>
    <row r="22" spans="1:4" x14ac:dyDescent="0.35">
      <c r="B22">
        <v>1.2E-5</v>
      </c>
      <c r="C22">
        <v>7.0939999999999996E-3</v>
      </c>
      <c r="D22" t="s">
        <v>293</v>
      </c>
    </row>
    <row r="23" spans="1:4" x14ac:dyDescent="0.35">
      <c r="B23">
        <v>1.8599999999999999E-4</v>
      </c>
      <c r="C23">
        <v>-1.37E-4</v>
      </c>
      <c r="D23" t="s">
        <v>294</v>
      </c>
    </row>
    <row r="24" spans="1:4" x14ac:dyDescent="0.35">
      <c r="A24" t="s">
        <v>124</v>
      </c>
      <c r="B24" t="s">
        <v>297</v>
      </c>
      <c r="C24" s="107" t="s">
        <v>299</v>
      </c>
    </row>
    <row r="26" spans="1:4" x14ac:dyDescent="0.35">
      <c r="A26" s="188" t="s">
        <v>121</v>
      </c>
      <c r="B26" s="111"/>
      <c r="C26" s="111"/>
    </row>
    <row r="27" spans="1:4" x14ac:dyDescent="0.35">
      <c r="A27" s="103" t="s">
        <v>122</v>
      </c>
      <c r="B27">
        <v>-2.4035000000000001E-2</v>
      </c>
      <c r="C27">
        <v>0</v>
      </c>
      <c r="D27" t="s">
        <v>291</v>
      </c>
    </row>
    <row r="28" spans="1:4" x14ac:dyDescent="0.35">
      <c r="B28">
        <v>0.109836</v>
      </c>
      <c r="C28">
        <v>0</v>
      </c>
      <c r="D28" t="s">
        <v>292</v>
      </c>
    </row>
    <row r="29" spans="1:4" x14ac:dyDescent="0.35">
      <c r="B29">
        <v>1.062E-3</v>
      </c>
      <c r="C29">
        <v>0</v>
      </c>
      <c r="D29" t="s">
        <v>293</v>
      </c>
    </row>
    <row r="30" spans="1:4" x14ac:dyDescent="0.35">
      <c r="B30">
        <v>2.6999999999999999E-5</v>
      </c>
      <c r="C30">
        <v>0</v>
      </c>
      <c r="D30" t="s">
        <v>294</v>
      </c>
    </row>
    <row r="31" spans="1:4" x14ac:dyDescent="0.35">
      <c r="A31" s="65"/>
      <c r="B31" s="65"/>
      <c r="C31" s="65"/>
    </row>
    <row r="32" spans="1:4" x14ac:dyDescent="0.35">
      <c r="A32" s="103" t="s">
        <v>123</v>
      </c>
      <c r="B32">
        <v>-4.8999000000000001E-2</v>
      </c>
      <c r="C32">
        <v>0</v>
      </c>
      <c r="D32" t="s">
        <v>291</v>
      </c>
    </row>
    <row r="33" spans="1:4" x14ac:dyDescent="0.35">
      <c r="B33">
        <v>-1.0479989999999999</v>
      </c>
      <c r="C33">
        <v>0</v>
      </c>
      <c r="D33" t="s">
        <v>292</v>
      </c>
    </row>
    <row r="34" spans="1:4" x14ac:dyDescent="0.35">
      <c r="B34">
        <v>1.0939999999999999E-3</v>
      </c>
      <c r="C34">
        <v>0</v>
      </c>
      <c r="D34" t="s">
        <v>293</v>
      </c>
    </row>
    <row r="35" spans="1:4" x14ac:dyDescent="0.35">
      <c r="B35">
        <v>-7.7000000000000001E-5</v>
      </c>
      <c r="C35">
        <v>0</v>
      </c>
      <c r="D35" t="s">
        <v>294</v>
      </c>
    </row>
    <row r="36" spans="1:4" x14ac:dyDescent="0.35">
      <c r="A36" t="s">
        <v>124</v>
      </c>
      <c r="B36" t="s">
        <v>298</v>
      </c>
      <c r="C36" s="107" t="s">
        <v>301</v>
      </c>
    </row>
    <row r="37" spans="1:4" x14ac:dyDescent="0.35">
      <c r="A37" t="s">
        <v>118</v>
      </c>
    </row>
  </sheetData>
  <pageMargins left="0.7" right="0.7" top="0.75" bottom="0.75" header="0.3" footer="0.3"/>
  <pageSetup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5D7D6-C326-4515-84CE-1A91DBAAE1B3}">
  <dimension ref="A1:G74"/>
  <sheetViews>
    <sheetView zoomScale="89" zoomScaleNormal="89" workbookViewId="0">
      <selection activeCell="A18" sqref="A18:E53"/>
    </sheetView>
  </sheetViews>
  <sheetFormatPr defaultRowHeight="14.5" x14ac:dyDescent="0.35"/>
  <cols>
    <col min="1" max="1" width="26.1796875" customWidth="1"/>
    <col min="2" max="2" width="25.7265625" customWidth="1"/>
    <col min="3" max="3" width="30.7265625" customWidth="1"/>
    <col min="4" max="4" width="24.54296875" customWidth="1"/>
    <col min="5" max="5" width="30.54296875" customWidth="1"/>
  </cols>
  <sheetData>
    <row r="1" spans="1:5" x14ac:dyDescent="0.35">
      <c r="A1" t="s">
        <v>125</v>
      </c>
      <c r="B1" t="s">
        <v>126</v>
      </c>
      <c r="C1" t="s">
        <v>127</v>
      </c>
      <c r="D1" t="s">
        <v>128</v>
      </c>
      <c r="E1" t="s">
        <v>129</v>
      </c>
    </row>
    <row r="2" spans="1:5" x14ac:dyDescent="0.35">
      <c r="A2">
        <v>0</v>
      </c>
      <c r="B2">
        <v>140</v>
      </c>
      <c r="C2">
        <v>80</v>
      </c>
      <c r="D2">
        <v>0</v>
      </c>
      <c r="E2">
        <v>0</v>
      </c>
    </row>
    <row r="3" spans="1:5" x14ac:dyDescent="0.35">
      <c r="A3">
        <f>A2+500</f>
        <v>500</v>
      </c>
      <c r="B3">
        <v>150</v>
      </c>
      <c r="C3">
        <v>82</v>
      </c>
      <c r="D3">
        <v>8</v>
      </c>
      <c r="E3">
        <v>4.5</v>
      </c>
    </row>
    <row r="4" spans="1:5" x14ac:dyDescent="0.35">
      <c r="A4">
        <f t="shared" ref="A4:A13" si="0">A3+500</f>
        <v>1000</v>
      </c>
      <c r="B4">
        <v>150</v>
      </c>
      <c r="C4">
        <v>82</v>
      </c>
      <c r="D4">
        <v>16</v>
      </c>
      <c r="E4">
        <v>9</v>
      </c>
    </row>
    <row r="5" spans="1:5" x14ac:dyDescent="0.35">
      <c r="A5">
        <f t="shared" si="0"/>
        <v>1500</v>
      </c>
      <c r="B5">
        <v>150</v>
      </c>
      <c r="C5">
        <v>82</v>
      </c>
      <c r="D5">
        <v>24</v>
      </c>
      <c r="E5">
        <v>13.5</v>
      </c>
    </row>
    <row r="6" spans="1:5" x14ac:dyDescent="0.35">
      <c r="A6">
        <f t="shared" si="0"/>
        <v>2000</v>
      </c>
      <c r="B6">
        <v>150</v>
      </c>
      <c r="C6">
        <v>82</v>
      </c>
      <c r="D6">
        <v>32</v>
      </c>
      <c r="E6">
        <v>18</v>
      </c>
    </row>
    <row r="7" spans="1:5" x14ac:dyDescent="0.35">
      <c r="A7">
        <f t="shared" si="0"/>
        <v>2500</v>
      </c>
      <c r="B7">
        <v>150</v>
      </c>
      <c r="C7">
        <v>82</v>
      </c>
      <c r="D7">
        <v>40</v>
      </c>
      <c r="E7">
        <v>22.5</v>
      </c>
    </row>
    <row r="8" spans="1:5" x14ac:dyDescent="0.35">
      <c r="A8">
        <f t="shared" si="0"/>
        <v>3000</v>
      </c>
      <c r="B8">
        <v>150</v>
      </c>
      <c r="C8">
        <v>82</v>
      </c>
      <c r="D8">
        <v>48</v>
      </c>
      <c r="E8">
        <v>27</v>
      </c>
    </row>
    <row r="9" spans="1:5" x14ac:dyDescent="0.35">
      <c r="A9">
        <f t="shared" si="0"/>
        <v>3500</v>
      </c>
      <c r="B9">
        <v>150</v>
      </c>
      <c r="C9">
        <v>82</v>
      </c>
      <c r="D9">
        <v>56</v>
      </c>
      <c r="E9">
        <v>31.5</v>
      </c>
    </row>
    <row r="10" spans="1:5" x14ac:dyDescent="0.35">
      <c r="A10">
        <f t="shared" si="0"/>
        <v>4000</v>
      </c>
      <c r="B10">
        <v>150</v>
      </c>
      <c r="C10">
        <v>82</v>
      </c>
      <c r="D10">
        <v>64</v>
      </c>
      <c r="E10">
        <v>36</v>
      </c>
    </row>
    <row r="11" spans="1:5" x14ac:dyDescent="0.35">
      <c r="A11">
        <f t="shared" si="0"/>
        <v>4500</v>
      </c>
      <c r="B11">
        <v>150</v>
      </c>
      <c r="C11">
        <v>82</v>
      </c>
      <c r="D11">
        <v>72</v>
      </c>
      <c r="E11">
        <v>40.5</v>
      </c>
    </row>
    <row r="12" spans="1:5" x14ac:dyDescent="0.35">
      <c r="A12">
        <f>A11+500</f>
        <v>5000</v>
      </c>
      <c r="B12">
        <v>150</v>
      </c>
      <c r="C12">
        <v>82</v>
      </c>
      <c r="D12">
        <v>78</v>
      </c>
      <c r="E12">
        <v>45</v>
      </c>
    </row>
    <row r="13" spans="1:5" x14ac:dyDescent="0.35">
      <c r="A13">
        <f t="shared" si="0"/>
        <v>5500</v>
      </c>
      <c r="B13">
        <v>150</v>
      </c>
      <c r="C13">
        <v>82</v>
      </c>
      <c r="D13">
        <v>85</v>
      </c>
      <c r="E13">
        <v>48</v>
      </c>
    </row>
    <row r="14" spans="1:5" x14ac:dyDescent="0.35">
      <c r="A14">
        <f>A13+500</f>
        <v>6000</v>
      </c>
      <c r="B14">
        <v>135</v>
      </c>
      <c r="C14">
        <v>82</v>
      </c>
      <c r="D14">
        <v>83</v>
      </c>
      <c r="E14">
        <v>52</v>
      </c>
    </row>
    <row r="15" spans="1:5" x14ac:dyDescent="0.35">
      <c r="A15">
        <f t="shared" ref="A15:A16" si="1">A14+500</f>
        <v>6500</v>
      </c>
      <c r="B15">
        <v>120</v>
      </c>
      <c r="C15">
        <v>75</v>
      </c>
      <c r="D15">
        <v>80</v>
      </c>
      <c r="E15">
        <v>51</v>
      </c>
    </row>
    <row r="16" spans="1:5" x14ac:dyDescent="0.35">
      <c r="A16">
        <f t="shared" si="1"/>
        <v>7000</v>
      </c>
      <c r="B16">
        <v>110</v>
      </c>
      <c r="C16">
        <v>70</v>
      </c>
      <c r="D16">
        <v>80</v>
      </c>
      <c r="E16">
        <v>50</v>
      </c>
    </row>
    <row r="18" spans="1:5" x14ac:dyDescent="0.35">
      <c r="A18" t="s">
        <v>125</v>
      </c>
      <c r="B18" t="s">
        <v>130</v>
      </c>
      <c r="C18" t="s">
        <v>131</v>
      </c>
      <c r="D18" t="s">
        <v>132</v>
      </c>
      <c r="E18" t="s">
        <v>133</v>
      </c>
    </row>
    <row r="19" spans="1:5" x14ac:dyDescent="0.35">
      <c r="A19">
        <v>0</v>
      </c>
      <c r="B19">
        <f t="shared" ref="B19:C33" si="2">(B2*0.737562)*12</f>
        <v>1239.1041600000001</v>
      </c>
      <c r="C19">
        <f t="shared" si="2"/>
        <v>708.05952000000002</v>
      </c>
      <c r="D19">
        <f t="shared" ref="D19:E33" si="3">D2*1.34102</f>
        <v>0</v>
      </c>
      <c r="E19">
        <f t="shared" si="3"/>
        <v>0</v>
      </c>
    </row>
    <row r="20" spans="1:5" x14ac:dyDescent="0.35">
      <c r="A20">
        <f>A19+500</f>
        <v>500</v>
      </c>
      <c r="B20">
        <f t="shared" si="2"/>
        <v>1327.6116000000002</v>
      </c>
      <c r="C20">
        <f t="shared" si="2"/>
        <v>725.76100800000006</v>
      </c>
      <c r="D20">
        <f t="shared" si="3"/>
        <v>10.728160000000001</v>
      </c>
      <c r="E20">
        <f t="shared" si="3"/>
        <v>6.0345900000000006</v>
      </c>
    </row>
    <row r="21" spans="1:5" x14ac:dyDescent="0.35">
      <c r="A21">
        <f t="shared" ref="A21:A28" si="4">A20+500</f>
        <v>1000</v>
      </c>
      <c r="B21">
        <f t="shared" si="2"/>
        <v>1327.6116000000002</v>
      </c>
      <c r="C21">
        <f t="shared" si="2"/>
        <v>725.76100800000006</v>
      </c>
      <c r="D21">
        <f t="shared" si="3"/>
        <v>21.456320000000002</v>
      </c>
      <c r="E21">
        <f t="shared" si="3"/>
        <v>12.069180000000001</v>
      </c>
    </row>
    <row r="22" spans="1:5" x14ac:dyDescent="0.35">
      <c r="A22">
        <f t="shared" si="4"/>
        <v>1500</v>
      </c>
      <c r="B22">
        <f t="shared" si="2"/>
        <v>1327.6116000000002</v>
      </c>
      <c r="C22">
        <f t="shared" si="2"/>
        <v>725.76100800000006</v>
      </c>
      <c r="D22">
        <f t="shared" si="3"/>
        <v>32.184480000000001</v>
      </c>
      <c r="E22">
        <f t="shared" si="3"/>
        <v>18.103770000000001</v>
      </c>
    </row>
    <row r="23" spans="1:5" x14ac:dyDescent="0.35">
      <c r="A23">
        <f t="shared" si="4"/>
        <v>2000</v>
      </c>
      <c r="B23">
        <f t="shared" si="2"/>
        <v>1327.6116000000002</v>
      </c>
      <c r="C23">
        <f t="shared" si="2"/>
        <v>725.76100800000006</v>
      </c>
      <c r="D23">
        <f t="shared" si="3"/>
        <v>42.912640000000003</v>
      </c>
      <c r="E23">
        <f t="shared" si="3"/>
        <v>24.138360000000002</v>
      </c>
    </row>
    <row r="24" spans="1:5" x14ac:dyDescent="0.35">
      <c r="A24">
        <f t="shared" si="4"/>
        <v>2500</v>
      </c>
      <c r="B24">
        <f t="shared" si="2"/>
        <v>1327.6116000000002</v>
      </c>
      <c r="C24">
        <f t="shared" si="2"/>
        <v>725.76100800000006</v>
      </c>
      <c r="D24">
        <f t="shared" si="3"/>
        <v>53.640800000000006</v>
      </c>
      <c r="E24">
        <f t="shared" si="3"/>
        <v>30.172950000000004</v>
      </c>
    </row>
    <row r="25" spans="1:5" x14ac:dyDescent="0.35">
      <c r="A25">
        <f t="shared" si="4"/>
        <v>3000</v>
      </c>
      <c r="B25">
        <f t="shared" si="2"/>
        <v>1327.6116000000002</v>
      </c>
      <c r="C25">
        <f t="shared" si="2"/>
        <v>725.76100800000006</v>
      </c>
      <c r="D25">
        <f t="shared" si="3"/>
        <v>64.368960000000001</v>
      </c>
      <c r="E25">
        <f t="shared" si="3"/>
        <v>36.207540000000002</v>
      </c>
    </row>
    <row r="26" spans="1:5" x14ac:dyDescent="0.35">
      <c r="A26">
        <f t="shared" si="4"/>
        <v>3500</v>
      </c>
      <c r="B26">
        <f t="shared" si="2"/>
        <v>1327.6116000000002</v>
      </c>
      <c r="C26">
        <f t="shared" si="2"/>
        <v>725.76100800000006</v>
      </c>
      <c r="D26">
        <f t="shared" si="3"/>
        <v>75.097120000000004</v>
      </c>
      <c r="E26">
        <f t="shared" si="3"/>
        <v>42.242130000000003</v>
      </c>
    </row>
    <row r="27" spans="1:5" x14ac:dyDescent="0.35">
      <c r="A27">
        <f t="shared" si="4"/>
        <v>4000</v>
      </c>
      <c r="B27">
        <f t="shared" si="2"/>
        <v>1327.6116000000002</v>
      </c>
      <c r="C27">
        <f t="shared" si="2"/>
        <v>725.76100800000006</v>
      </c>
      <c r="D27">
        <f t="shared" si="3"/>
        <v>85.825280000000006</v>
      </c>
      <c r="E27">
        <f t="shared" si="3"/>
        <v>48.276720000000005</v>
      </c>
    </row>
    <row r="28" spans="1:5" x14ac:dyDescent="0.35">
      <c r="A28">
        <f t="shared" si="4"/>
        <v>4500</v>
      </c>
      <c r="B28">
        <f t="shared" si="2"/>
        <v>1327.6116000000002</v>
      </c>
      <c r="C28">
        <f t="shared" si="2"/>
        <v>725.76100800000006</v>
      </c>
      <c r="D28">
        <f t="shared" si="3"/>
        <v>96.553440000000009</v>
      </c>
      <c r="E28">
        <f t="shared" si="3"/>
        <v>54.311310000000006</v>
      </c>
    </row>
    <row r="29" spans="1:5" x14ac:dyDescent="0.35">
      <c r="A29">
        <f>A28+500</f>
        <v>5000</v>
      </c>
      <c r="B29">
        <f t="shared" si="2"/>
        <v>1327.6116000000002</v>
      </c>
      <c r="C29">
        <f t="shared" si="2"/>
        <v>725.76100800000006</v>
      </c>
      <c r="D29">
        <f t="shared" si="3"/>
        <v>104.59956000000001</v>
      </c>
      <c r="E29">
        <f t="shared" si="3"/>
        <v>60.345900000000007</v>
      </c>
    </row>
    <row r="30" spans="1:5" x14ac:dyDescent="0.35">
      <c r="A30">
        <f t="shared" ref="A30" si="5">A29+500</f>
        <v>5500</v>
      </c>
      <c r="B30">
        <f t="shared" si="2"/>
        <v>1327.6116000000002</v>
      </c>
      <c r="C30">
        <f t="shared" si="2"/>
        <v>725.76100800000006</v>
      </c>
      <c r="D30">
        <f t="shared" si="3"/>
        <v>113.98670000000001</v>
      </c>
      <c r="E30">
        <f t="shared" si="3"/>
        <v>64.368960000000001</v>
      </c>
    </row>
    <row r="31" spans="1:5" x14ac:dyDescent="0.35">
      <c r="A31">
        <f>A30+500</f>
        <v>6000</v>
      </c>
      <c r="B31">
        <f t="shared" si="2"/>
        <v>1194.8504400000002</v>
      </c>
      <c r="C31">
        <f t="shared" si="2"/>
        <v>725.76100800000006</v>
      </c>
      <c r="D31">
        <f t="shared" si="3"/>
        <v>111.30466000000001</v>
      </c>
      <c r="E31">
        <f t="shared" si="3"/>
        <v>69.733040000000003</v>
      </c>
    </row>
    <row r="32" spans="1:5" x14ac:dyDescent="0.35">
      <c r="A32">
        <f t="shared" ref="A32:A33" si="6">A31+500</f>
        <v>6500</v>
      </c>
      <c r="B32">
        <f t="shared" si="2"/>
        <v>1062.0892800000001</v>
      </c>
      <c r="C32">
        <f t="shared" si="2"/>
        <v>663.80580000000009</v>
      </c>
      <c r="D32">
        <f t="shared" si="3"/>
        <v>107.28160000000001</v>
      </c>
      <c r="E32">
        <f t="shared" si="3"/>
        <v>68.392020000000002</v>
      </c>
    </row>
    <row r="33" spans="1:5" x14ac:dyDescent="0.35">
      <c r="A33">
        <f t="shared" si="6"/>
        <v>7000</v>
      </c>
      <c r="B33">
        <f t="shared" si="2"/>
        <v>973.58184000000006</v>
      </c>
      <c r="C33">
        <f t="shared" si="2"/>
        <v>619.55208000000005</v>
      </c>
      <c r="D33">
        <f t="shared" si="3"/>
        <v>107.28160000000001</v>
      </c>
      <c r="E33">
        <f t="shared" si="3"/>
        <v>67.051000000000002</v>
      </c>
    </row>
    <row r="35" spans="1:5" x14ac:dyDescent="0.35">
      <c r="A35" t="s">
        <v>134</v>
      </c>
      <c r="B35" t="s">
        <v>135</v>
      </c>
      <c r="C35" t="s">
        <v>136</v>
      </c>
      <c r="D35" t="s">
        <v>137</v>
      </c>
      <c r="E35" t="s">
        <v>138</v>
      </c>
    </row>
    <row r="36" spans="1:5" x14ac:dyDescent="0.35">
      <c r="A36">
        <f>(A19/(Parameters!$B$33*$B$52)*((2*PI()*(Parameters!$B$12/12))/60)*(1/1.466667))</f>
        <v>0</v>
      </c>
      <c r="B36">
        <f>((B19*Parameters!$B$33*'Motor Data'!$B$52)/Parameters!$B$12)/Parameters!$B$4</f>
        <v>0.9190816817538463</v>
      </c>
      <c r="C36">
        <f>((C19*Parameters!$B$33*$B$52)/Parameters!$B$12)/Parameters!$B$4</f>
        <v>0.52518953243076927</v>
      </c>
      <c r="D36">
        <v>0</v>
      </c>
      <c r="E36">
        <v>0</v>
      </c>
    </row>
    <row r="37" spans="1:5" x14ac:dyDescent="0.35">
      <c r="A37">
        <f>(A20/(Parameters!$B$33*$B$52)*((2*PI()*(Parameters!$B$12/12))/60)*(1/1.466667))</f>
        <v>6.1705830791548335</v>
      </c>
      <c r="B37">
        <f>((B20*Parameters!$B$33*$B$52)/Parameters!$B$12)/Parameters!$B$4</f>
        <v>0.98473037330769242</v>
      </c>
      <c r="C37">
        <f>((C20*Parameters!$B$33*$B$52)/Parameters!$B$12)/Parameters!$B$4</f>
        <v>0.53831927074153851</v>
      </c>
      <c r="D37">
        <f>((D20*550)/($A37*1.466667))/Parameters!$B$4</f>
        <v>1.0030367618203748</v>
      </c>
      <c r="E37">
        <f>((E20*550)/($A37*1.466667))/Parameters!$B$4</f>
        <v>0.56420817852396088</v>
      </c>
    </row>
    <row r="38" spans="1:5" x14ac:dyDescent="0.35">
      <c r="A38">
        <f>(A21/(Parameters!$B$33*$B$52)*((2*PI()*(Parameters!$B$12/12))/60)*(1/1.466667))</f>
        <v>12.341166158309667</v>
      </c>
      <c r="B38">
        <f>((B21*Parameters!$B$33*$B$52)/Parameters!$B$12)/Parameters!$B$4</f>
        <v>0.98473037330769242</v>
      </c>
      <c r="C38">
        <f>((C21*Parameters!$B$33*$B$52)/Parameters!$B$12)/Parameters!$B$4</f>
        <v>0.53831927074153851</v>
      </c>
      <c r="D38">
        <f>((D21*550)/($A38*1.466667))/Parameters!$B$4</f>
        <v>1.0030367618203748</v>
      </c>
      <c r="E38">
        <f>((E21*550)/($A38*1.466667))/Parameters!$B$4</f>
        <v>0.56420817852396088</v>
      </c>
    </row>
    <row r="39" spans="1:5" x14ac:dyDescent="0.35">
      <c r="A39">
        <f>(A22/(Parameters!$B$33*$B$52)*((2*PI()*(Parameters!$B$12/12))/60)*(1/1.466667))</f>
        <v>18.5117492374645</v>
      </c>
      <c r="B39">
        <f>((B22*Parameters!$B$33*$B$52)/Parameters!$B$12)/Parameters!$B$4</f>
        <v>0.98473037330769242</v>
      </c>
      <c r="C39">
        <f>((C22*Parameters!$B$33*$B$52)/Parameters!$B$12)/Parameters!$B$4</f>
        <v>0.53831927074153851</v>
      </c>
      <c r="D39">
        <f>((D22*550)/($A39*1.466667))/Parameters!$B$4</f>
        <v>1.0030367618203748</v>
      </c>
      <c r="E39">
        <f>((E22*550)/($A39*1.466667))/Parameters!$B$4</f>
        <v>0.56420817852396077</v>
      </c>
    </row>
    <row r="40" spans="1:5" x14ac:dyDescent="0.35">
      <c r="A40">
        <f>(A23/(Parameters!$B$33*$B$52)*((2*PI()*(Parameters!$B$12/12))/60)*(1/1.466667))</f>
        <v>24.682332316619334</v>
      </c>
      <c r="B40">
        <f>((B23*Parameters!$B$33*$B$52)/Parameters!$B$12)/Parameters!$B$4</f>
        <v>0.98473037330769242</v>
      </c>
      <c r="C40">
        <f>((C23*Parameters!$B$33*$B$52)/Parameters!$B$12)/Parameters!$B$4</f>
        <v>0.53831927074153851</v>
      </c>
      <c r="D40">
        <f>((D23*550)/($A40*1.466667))/Parameters!$B$4</f>
        <v>1.0030367618203748</v>
      </c>
      <c r="E40">
        <f>((E23*550)/($A40*1.466667))/Parameters!$B$4</f>
        <v>0.56420817852396088</v>
      </c>
    </row>
    <row r="41" spans="1:5" x14ac:dyDescent="0.35">
      <c r="A41">
        <f>(A24/(Parameters!$B$33*$B$52)*((2*PI()*(Parameters!$B$12/12))/60)*(1/1.466667))</f>
        <v>30.852915395774161</v>
      </c>
      <c r="B41">
        <f>((B24*Parameters!$B$33*$B$52)/Parameters!$B$12)/Parameters!$B$4</f>
        <v>0.98473037330769242</v>
      </c>
      <c r="C41">
        <f>((C24*Parameters!$B$33*$B$52)/Parameters!$B$12)/Parameters!$B$4</f>
        <v>0.53831927074153851</v>
      </c>
      <c r="D41">
        <f>((D24*550)/($A41*1.466667))/Parameters!$B$4</f>
        <v>1.003036761820375</v>
      </c>
      <c r="E41">
        <f>((E24*550)/($A41*1.466667))/Parameters!$B$4</f>
        <v>0.56420817852396099</v>
      </c>
    </row>
    <row r="42" spans="1:5" x14ac:dyDescent="0.35">
      <c r="A42">
        <f>(A25/(Parameters!$B$33*$B$52)*((2*PI()*(Parameters!$B$12/12))/60)*(1/1.466667))</f>
        <v>37.023498474928999</v>
      </c>
      <c r="B42">
        <f>((B25*Parameters!$B$33*$B$52)/Parameters!$B$12)/Parameters!$B$4</f>
        <v>0.98473037330769242</v>
      </c>
      <c r="C42">
        <f>((C25*Parameters!$B$33*$B$52)/Parameters!$B$12)/Parameters!$B$4</f>
        <v>0.53831927074153851</v>
      </c>
      <c r="D42">
        <f>((D25*550)/($A42*1.466667))/Parameters!$B$4</f>
        <v>1.0030367618203748</v>
      </c>
      <c r="E42">
        <f>((E25*550)/($A42*1.466667))/Parameters!$B$4</f>
        <v>0.56420817852396077</v>
      </c>
    </row>
    <row r="43" spans="1:5" x14ac:dyDescent="0.35">
      <c r="A43">
        <f>(A26/(Parameters!$B$33*$B$52)*((2*PI()*(Parameters!$B$12/12))/60)*(1/1.466667))</f>
        <v>43.19408155408383</v>
      </c>
      <c r="B43">
        <f>((B26*Parameters!$B$33*$B$52)/Parameters!$B$12)/Parameters!$B$4</f>
        <v>0.98473037330769242</v>
      </c>
      <c r="C43">
        <f>((C26*Parameters!$B$33*$B$52)/Parameters!$B$12)/Parameters!$B$4</f>
        <v>0.53831927074153851</v>
      </c>
      <c r="D43">
        <f>((D26*550)/($A43*1.466667))/Parameters!$B$4</f>
        <v>1.003036761820375</v>
      </c>
      <c r="E43">
        <f>((E26*550)/($A43*1.466667))/Parameters!$B$4</f>
        <v>0.56420817852396088</v>
      </c>
    </row>
    <row r="44" spans="1:5" x14ac:dyDescent="0.35">
      <c r="A44">
        <f>(A27/(Parameters!$B$33*$B$52)*((2*PI()*(Parameters!$B$12/12))/60)*(1/1.466667))</f>
        <v>49.364664633238668</v>
      </c>
      <c r="B44">
        <f>((B27*Parameters!$B$33*$B$52)/Parameters!$B$12)/Parameters!$B$4</f>
        <v>0.98473037330769242</v>
      </c>
      <c r="C44">
        <f>((C27*Parameters!$B$33*$B$52)/Parameters!$B$12)/Parameters!$B$4</f>
        <v>0.53831927074153851</v>
      </c>
      <c r="D44">
        <f>((D27*550)/($A44*1.466667))/Parameters!$B$4</f>
        <v>1.0030367618203748</v>
      </c>
      <c r="E44">
        <f>((E27*550)/($A44*1.466667))/Parameters!$B$4</f>
        <v>0.56420817852396088</v>
      </c>
    </row>
    <row r="45" spans="1:5" x14ac:dyDescent="0.35">
      <c r="A45">
        <f>(A28/(Parameters!$B$33*$B$52)*((2*PI()*(Parameters!$B$12/12))/60)*(1/1.466667))</f>
        <v>55.535247712393499</v>
      </c>
      <c r="B45">
        <f>((B28*Parameters!$B$33*$B$52)/Parameters!$B$12)/Parameters!$B$4</f>
        <v>0.98473037330769242</v>
      </c>
      <c r="C45">
        <f>((C28*Parameters!$B$33*$B$52)/Parameters!$B$12)/Parameters!$B$4</f>
        <v>0.53831927074153851</v>
      </c>
      <c r="D45">
        <f>((D28*550)/($A45*1.466667))/Parameters!$B$4</f>
        <v>1.0030367618203748</v>
      </c>
      <c r="E45">
        <f>((E28*550)/($A45*1.466667))/Parameters!$B$4</f>
        <v>0.56420817852396088</v>
      </c>
    </row>
    <row r="46" spans="1:5" x14ac:dyDescent="0.35">
      <c r="A46">
        <f>(A29/(Parameters!$B$33*$B$52)*((2*PI()*(Parameters!$B$12/12))/60)*(1/1.466667))</f>
        <v>61.705830791548323</v>
      </c>
      <c r="B46">
        <f>((B29*Parameters!$B$33*$B$52)/Parameters!$B$12)/Parameters!$B$4</f>
        <v>0.98473037330769242</v>
      </c>
      <c r="C46">
        <f>((C29*Parameters!$B$33*$B$52)/Parameters!$B$12)/Parameters!$B$4</f>
        <v>0.53831927074153851</v>
      </c>
      <c r="D46">
        <f>((D29*550)/($A46*1.466667))/Parameters!$B$4</f>
        <v>0.97796084277486561</v>
      </c>
      <c r="E46">
        <f>((E29*550)/($A46*1.466667))/Parameters!$B$4</f>
        <v>0.56420817852396099</v>
      </c>
    </row>
    <row r="47" spans="1:5" x14ac:dyDescent="0.35">
      <c r="A47">
        <f>(A30/(Parameters!$B$33*$B$52)*((2*PI()*(Parameters!$B$12/12))/60)*(1/1.466667))</f>
        <v>67.876413870703161</v>
      </c>
      <c r="B47">
        <f>((B30*Parameters!$B$33*$B$52)/Parameters!$B$12)/Parameters!$B$4</f>
        <v>0.98473037330769242</v>
      </c>
      <c r="C47">
        <f>((C30*Parameters!$B$33*$B$52)/Parameters!$B$12)/Parameters!$B$4</f>
        <v>0.53831927074153851</v>
      </c>
      <c r="D47">
        <f>((D30*550)/($A47*1.466667))/Parameters!$B$4</f>
        <v>0.96884232675831672</v>
      </c>
      <c r="E47">
        <f>((E30*550)/($A47*1.466667))/Parameters!$B$4</f>
        <v>0.54711096099293177</v>
      </c>
    </row>
    <row r="48" spans="1:5" x14ac:dyDescent="0.35">
      <c r="A48">
        <f>(A31/(Parameters!$B$33*$B$52)*((2*PI()*(Parameters!$B$12/12))/60)*(1/1.466667))</f>
        <v>74.046996949857999</v>
      </c>
      <c r="B48">
        <f>((B31*Parameters!$B$33*$B$52)/Parameters!$B$12)/Parameters!$B$4</f>
        <v>0.88625733597692335</v>
      </c>
      <c r="C48">
        <f>((C31*Parameters!$B$33*$B$52)/Parameters!$B$12)/Parameters!$B$4</f>
        <v>0.53831927074153851</v>
      </c>
      <c r="D48">
        <f>((D31*550)/($A48*1.466667))/Parameters!$B$4</f>
        <v>0.86720886699053246</v>
      </c>
      <c r="E48">
        <f>((E31*550)/($A48*1.466667))/Parameters!$B$4</f>
        <v>0.54331157931936958</v>
      </c>
    </row>
    <row r="49" spans="1:5" x14ac:dyDescent="0.35">
      <c r="A49">
        <f>(A32/(Parameters!$B$33*$B$52)*((2*PI()*(Parameters!$B$12/12))/60)*(1/1.466667))</f>
        <v>80.217580029012822</v>
      </c>
      <c r="B49">
        <f>((B32*Parameters!$B$33*$B$52)/Parameters!$B$12)/Parameters!$B$4</f>
        <v>0.78778429864615396</v>
      </c>
      <c r="C49">
        <f>((C32*Parameters!$B$33*$B$52)/Parameters!$B$12)/Parameters!$B$4</f>
        <v>0.49236518665384621</v>
      </c>
      <c r="D49">
        <f>((D32*550)/($A49*1.466667))/Parameters!$B$4</f>
        <v>0.77156673986182689</v>
      </c>
      <c r="E49">
        <f>((E32*550)/($A49*1.466667))/Parameters!$B$4</f>
        <v>0.49187379666191472</v>
      </c>
    </row>
    <row r="50" spans="1:5" x14ac:dyDescent="0.35">
      <c r="A50">
        <f>(A33/(Parameters!$B$33*$B$52)*((2*PI()*(Parameters!$B$12/12))/60)*(1/1.466667))</f>
        <v>86.38816310816766</v>
      </c>
      <c r="B50">
        <f>((B33*Parameters!$B$33*$B$52)/Parameters!$B$12)/Parameters!$B$4</f>
        <v>0.72213560709230773</v>
      </c>
      <c r="C50">
        <f>((C33*Parameters!$B$33*$B$52)/Parameters!$B$12)/Parameters!$B$4</f>
        <v>0.45954084087692315</v>
      </c>
      <c r="D50">
        <f>((D33*550)/($A50*1.466667))/Parameters!$B$4</f>
        <v>0.7164548298716964</v>
      </c>
      <c r="E50">
        <f>((E33*550)/($A50*1.466667))/Parameters!$B$4</f>
        <v>0.44778426866981019</v>
      </c>
    </row>
    <row r="51" spans="1:5" x14ac:dyDescent="0.35">
      <c r="D51" t="s">
        <v>139</v>
      </c>
      <c r="E51" t="s">
        <v>139</v>
      </c>
    </row>
    <row r="52" spans="1:5" x14ac:dyDescent="0.35">
      <c r="A52" t="s">
        <v>140</v>
      </c>
      <c r="B52">
        <v>1</v>
      </c>
      <c r="D52" s="107" t="s">
        <v>141</v>
      </c>
    </row>
    <row r="54" spans="1:5" x14ac:dyDescent="0.35">
      <c r="B54">
        <f>((B19*Parameters!$B$33*'Motor Data'!$B$52)/Parameters!$B$12)</f>
        <v>597.40309314000012</v>
      </c>
      <c r="D54" s="107"/>
    </row>
    <row r="55" spans="1:5" x14ac:dyDescent="0.35">
      <c r="A55" t="s">
        <v>142</v>
      </c>
    </row>
    <row r="56" spans="1:5" x14ac:dyDescent="0.35">
      <c r="A56" s="107" t="s">
        <v>143</v>
      </c>
    </row>
    <row r="58" spans="1:5" x14ac:dyDescent="0.35">
      <c r="A58" t="s">
        <v>144</v>
      </c>
    </row>
    <row r="59" spans="1:5" x14ac:dyDescent="0.35">
      <c r="A59" t="s">
        <v>145</v>
      </c>
    </row>
    <row r="60" spans="1:5" x14ac:dyDescent="0.35">
      <c r="A60" t="s">
        <v>146</v>
      </c>
    </row>
    <row r="74" spans="7:7" x14ac:dyDescent="0.35">
      <c r="G74" t="s">
        <v>147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EF084-2894-4637-B7CC-D2FCF2B878D5}">
  <dimension ref="A1:R36"/>
  <sheetViews>
    <sheetView workbookViewId="0">
      <selection activeCell="C5" sqref="C5:C35"/>
    </sheetView>
  </sheetViews>
  <sheetFormatPr defaultRowHeight="14.5" x14ac:dyDescent="0.35"/>
  <cols>
    <col min="1" max="1" width="27" customWidth="1"/>
    <col min="3" max="4" width="10.7265625" customWidth="1"/>
    <col min="5" max="5" width="10.453125" customWidth="1"/>
    <col min="6" max="6" width="10.7265625" customWidth="1"/>
    <col min="7" max="7" width="13.7265625" customWidth="1"/>
    <col min="8" max="9" width="12.453125" customWidth="1"/>
    <col min="11" max="11" width="17" customWidth="1"/>
    <col min="15" max="15" width="6" customWidth="1"/>
    <col min="17" max="17" width="9.453125" customWidth="1"/>
  </cols>
  <sheetData>
    <row r="1" spans="1:18" x14ac:dyDescent="0.35">
      <c r="A1" s="102" t="s">
        <v>148</v>
      </c>
      <c r="C1" s="104" t="s">
        <v>149</v>
      </c>
      <c r="D1" s="104" t="s">
        <v>150</v>
      </c>
      <c r="E1" s="104" t="s">
        <v>151</v>
      </c>
      <c r="F1" s="104" t="s">
        <v>152</v>
      </c>
      <c r="G1" s="104" t="s">
        <v>153</v>
      </c>
      <c r="H1" s="104" t="s">
        <v>154</v>
      </c>
      <c r="I1" s="104" t="s">
        <v>155</v>
      </c>
      <c r="K1" t="s">
        <v>156</v>
      </c>
      <c r="Q1" s="162" t="s">
        <v>157</v>
      </c>
      <c r="R1" s="162"/>
    </row>
    <row r="2" spans="1:18" x14ac:dyDescent="0.35">
      <c r="A2" t="s">
        <v>158</v>
      </c>
      <c r="B2" t="s">
        <v>159</v>
      </c>
      <c r="C2">
        <v>124</v>
      </c>
      <c r="D2">
        <v>30</v>
      </c>
      <c r="E2">
        <v>17.5</v>
      </c>
      <c r="F2">
        <v>13.75</v>
      </c>
      <c r="G2">
        <v>9.1669999999999998</v>
      </c>
      <c r="H2">
        <v>5.7140000000000004</v>
      </c>
      <c r="I2">
        <v>3.03</v>
      </c>
      <c r="K2" t="s">
        <v>160</v>
      </c>
      <c r="Q2" t="s">
        <v>13</v>
      </c>
      <c r="R2" t="s">
        <v>161</v>
      </c>
    </row>
    <row r="3" spans="1:18" ht="15.5" x14ac:dyDescent="0.35">
      <c r="K3" t="s">
        <v>162</v>
      </c>
      <c r="Q3" s="105">
        <v>150</v>
      </c>
      <c r="R3">
        <v>26.27</v>
      </c>
    </row>
    <row r="4" spans="1:18" ht="15.5" x14ac:dyDescent="0.35">
      <c r="B4" t="s">
        <v>163</v>
      </c>
      <c r="C4" s="106" t="s">
        <v>149</v>
      </c>
      <c r="D4" s="106" t="s">
        <v>164</v>
      </c>
      <c r="E4" s="106" t="s">
        <v>165</v>
      </c>
      <c r="F4" s="106" t="s">
        <v>166</v>
      </c>
      <c r="G4" s="106" t="s">
        <v>167</v>
      </c>
      <c r="Q4" s="105">
        <v>175</v>
      </c>
      <c r="R4">
        <v>30.65</v>
      </c>
    </row>
    <row r="5" spans="1:18" ht="15.5" x14ac:dyDescent="0.35">
      <c r="C5">
        <v>124</v>
      </c>
      <c r="D5">
        <v>100</v>
      </c>
      <c r="E5">
        <v>70</v>
      </c>
      <c r="F5">
        <v>50</v>
      </c>
      <c r="G5">
        <v>30</v>
      </c>
      <c r="Q5" s="105">
        <v>200</v>
      </c>
      <c r="R5">
        <v>35.03</v>
      </c>
    </row>
    <row r="6" spans="1:18" ht="15.5" x14ac:dyDescent="0.35">
      <c r="Q6" s="105">
        <v>225</v>
      </c>
      <c r="R6">
        <v>39.4</v>
      </c>
    </row>
    <row r="7" spans="1:18" ht="15.5" x14ac:dyDescent="0.35">
      <c r="A7" t="s">
        <v>168</v>
      </c>
      <c r="B7" t="s">
        <v>159</v>
      </c>
      <c r="C7" s="104" t="s">
        <v>149</v>
      </c>
      <c r="D7" s="104" t="s">
        <v>150</v>
      </c>
      <c r="E7" s="104" t="s">
        <v>151</v>
      </c>
      <c r="F7" s="104" t="s">
        <v>152</v>
      </c>
      <c r="G7" s="104" t="s">
        <v>153</v>
      </c>
      <c r="H7" s="104" t="s">
        <v>154</v>
      </c>
      <c r="I7" s="104" t="s">
        <v>155</v>
      </c>
      <c r="Q7" s="105">
        <v>250</v>
      </c>
      <c r="R7">
        <v>43.78</v>
      </c>
    </row>
    <row r="8" spans="1:18" ht="15.5" x14ac:dyDescent="0.35">
      <c r="C8">
        <v>140</v>
      </c>
      <c r="D8">
        <v>35</v>
      </c>
      <c r="E8">
        <v>20</v>
      </c>
      <c r="F8">
        <v>14.167</v>
      </c>
      <c r="G8">
        <v>8.3330000000000002</v>
      </c>
      <c r="H8">
        <v>6.25</v>
      </c>
      <c r="I8">
        <v>3.125</v>
      </c>
      <c r="Q8" s="105">
        <v>300</v>
      </c>
      <c r="R8">
        <v>52.54</v>
      </c>
    </row>
    <row r="9" spans="1:18" ht="15.5" x14ac:dyDescent="0.35">
      <c r="Q9" s="105">
        <v>350</v>
      </c>
      <c r="R9">
        <v>61.29</v>
      </c>
    </row>
    <row r="10" spans="1:18" ht="15.5" x14ac:dyDescent="0.35">
      <c r="B10" t="s">
        <v>163</v>
      </c>
      <c r="C10" s="106" t="s">
        <v>149</v>
      </c>
      <c r="D10" s="106" t="s">
        <v>164</v>
      </c>
      <c r="E10" s="106" t="s">
        <v>165</v>
      </c>
      <c r="F10" s="106" t="s">
        <v>166</v>
      </c>
      <c r="G10" s="106" t="s">
        <v>167</v>
      </c>
      <c r="Q10" s="105">
        <v>400</v>
      </c>
      <c r="R10">
        <v>70.05</v>
      </c>
    </row>
    <row r="11" spans="1:18" ht="15.5" x14ac:dyDescent="0.35">
      <c r="C11">
        <v>140</v>
      </c>
      <c r="D11">
        <v>140</v>
      </c>
      <c r="E11">
        <v>110</v>
      </c>
      <c r="F11">
        <v>60</v>
      </c>
      <c r="G11">
        <v>20</v>
      </c>
      <c r="Q11" s="105">
        <v>450</v>
      </c>
      <c r="R11">
        <v>78.81</v>
      </c>
    </row>
    <row r="12" spans="1:18" ht="15.5" x14ac:dyDescent="0.35">
      <c r="Q12" s="105">
        <v>500</v>
      </c>
      <c r="R12">
        <v>87.56</v>
      </c>
    </row>
    <row r="13" spans="1:18" ht="15.5" x14ac:dyDescent="0.35">
      <c r="A13" t="s">
        <v>169</v>
      </c>
      <c r="B13" t="s">
        <v>159</v>
      </c>
      <c r="C13" s="104" t="s">
        <v>149</v>
      </c>
      <c r="D13" s="104" t="s">
        <v>150</v>
      </c>
      <c r="E13" s="104" t="s">
        <v>151</v>
      </c>
      <c r="F13" s="104" t="s">
        <v>152</v>
      </c>
      <c r="G13" s="104" t="s">
        <v>153</v>
      </c>
      <c r="H13" s="104" t="s">
        <v>154</v>
      </c>
      <c r="I13" s="104" t="s">
        <v>155</v>
      </c>
      <c r="Q13" s="105">
        <v>550</v>
      </c>
      <c r="R13">
        <v>96.32</v>
      </c>
    </row>
    <row r="14" spans="1:18" ht="15.5" x14ac:dyDescent="0.35">
      <c r="C14">
        <v>150</v>
      </c>
      <c r="D14">
        <v>37.5</v>
      </c>
      <c r="E14">
        <v>20</v>
      </c>
      <c r="F14">
        <v>14.29</v>
      </c>
      <c r="G14">
        <v>9.0909999999999993</v>
      </c>
      <c r="H14">
        <v>6.25</v>
      </c>
      <c r="I14">
        <v>3.125</v>
      </c>
      <c r="Q14" s="105">
        <v>600</v>
      </c>
      <c r="R14">
        <v>105.1</v>
      </c>
    </row>
    <row r="15" spans="1:18" ht="15.5" x14ac:dyDescent="0.35">
      <c r="Q15" s="105">
        <v>650</v>
      </c>
      <c r="R15">
        <v>113.8</v>
      </c>
    </row>
    <row r="16" spans="1:18" x14ac:dyDescent="0.35">
      <c r="B16" t="s">
        <v>163</v>
      </c>
      <c r="C16" s="106" t="s">
        <v>149</v>
      </c>
      <c r="D16" s="106" t="s">
        <v>164</v>
      </c>
      <c r="E16" s="106" t="s">
        <v>165</v>
      </c>
      <c r="F16" s="106" t="s">
        <v>166</v>
      </c>
      <c r="G16" s="106" t="s">
        <v>167</v>
      </c>
    </row>
    <row r="17" spans="1:9" x14ac:dyDescent="0.35">
      <c r="C17">
        <v>150</v>
      </c>
      <c r="D17">
        <v>144</v>
      </c>
      <c r="E17">
        <v>130</v>
      </c>
      <c r="F17">
        <v>100</v>
      </c>
      <c r="G17">
        <v>30</v>
      </c>
    </row>
    <row r="19" spans="1:9" x14ac:dyDescent="0.35">
      <c r="A19" t="s">
        <v>170</v>
      </c>
      <c r="B19" t="s">
        <v>159</v>
      </c>
      <c r="C19" s="104" t="s">
        <v>149</v>
      </c>
      <c r="D19" s="104" t="s">
        <v>150</v>
      </c>
      <c r="E19" s="104" t="s">
        <v>151</v>
      </c>
      <c r="F19" s="104" t="s">
        <v>152</v>
      </c>
      <c r="G19" s="104" t="s">
        <v>153</v>
      </c>
      <c r="H19" s="104" t="s">
        <v>154</v>
      </c>
      <c r="I19" s="104" t="s">
        <v>155</v>
      </c>
    </row>
    <row r="20" spans="1:9" x14ac:dyDescent="0.35">
      <c r="C20">
        <v>140</v>
      </c>
      <c r="D20">
        <v>80</v>
      </c>
      <c r="E20">
        <v>33.33</v>
      </c>
      <c r="F20">
        <v>30</v>
      </c>
      <c r="G20">
        <v>18.75</v>
      </c>
      <c r="H20">
        <v>13.33</v>
      </c>
      <c r="I20">
        <v>8.125</v>
      </c>
    </row>
    <row r="22" spans="1:9" x14ac:dyDescent="0.35">
      <c r="B22" t="s">
        <v>163</v>
      </c>
      <c r="C22" s="106" t="s">
        <v>149</v>
      </c>
      <c r="D22" s="106" t="s">
        <v>164</v>
      </c>
      <c r="E22" s="106" t="s">
        <v>165</v>
      </c>
      <c r="F22" s="106" t="s">
        <v>166</v>
      </c>
      <c r="G22" s="106" t="s">
        <v>167</v>
      </c>
    </row>
    <row r="23" spans="1:9" x14ac:dyDescent="0.35">
      <c r="C23">
        <v>150</v>
      </c>
      <c r="D23">
        <v>100</v>
      </c>
      <c r="E23">
        <v>70</v>
      </c>
      <c r="F23">
        <v>44</v>
      </c>
      <c r="G23">
        <v>20</v>
      </c>
    </row>
    <row r="25" spans="1:9" x14ac:dyDescent="0.35">
      <c r="A25" t="s">
        <v>171</v>
      </c>
      <c r="B25" t="s">
        <v>159</v>
      </c>
      <c r="C25" s="104" t="s">
        <v>149</v>
      </c>
      <c r="D25" s="104" t="s">
        <v>150</v>
      </c>
      <c r="E25" s="104" t="s">
        <v>151</v>
      </c>
      <c r="F25" s="104" t="s">
        <v>152</v>
      </c>
      <c r="G25" s="104" t="s">
        <v>153</v>
      </c>
      <c r="H25" s="104" t="s">
        <v>154</v>
      </c>
      <c r="I25" s="104" t="s">
        <v>155</v>
      </c>
    </row>
    <row r="26" spans="1:9" x14ac:dyDescent="0.35">
      <c r="C26">
        <v>150</v>
      </c>
      <c r="D26">
        <v>80</v>
      </c>
      <c r="E26">
        <v>40</v>
      </c>
      <c r="F26">
        <v>30</v>
      </c>
      <c r="G26">
        <v>20</v>
      </c>
      <c r="H26">
        <v>16</v>
      </c>
      <c r="I26">
        <v>12</v>
      </c>
    </row>
    <row r="28" spans="1:9" x14ac:dyDescent="0.35">
      <c r="B28" t="s">
        <v>163</v>
      </c>
      <c r="C28" s="106" t="s">
        <v>149</v>
      </c>
      <c r="D28" s="106" t="s">
        <v>164</v>
      </c>
      <c r="E28" s="106" t="s">
        <v>165</v>
      </c>
      <c r="F28" s="106" t="s">
        <v>166</v>
      </c>
      <c r="G28" s="106" t="s">
        <v>167</v>
      </c>
    </row>
    <row r="29" spans="1:9" x14ac:dyDescent="0.35">
      <c r="C29">
        <v>150</v>
      </c>
      <c r="D29">
        <v>130</v>
      </c>
      <c r="E29">
        <v>104</v>
      </c>
      <c r="F29">
        <v>50</v>
      </c>
      <c r="G29">
        <v>20</v>
      </c>
    </row>
    <row r="31" spans="1:9" x14ac:dyDescent="0.35">
      <c r="A31" t="s">
        <v>172</v>
      </c>
      <c r="B31" t="s">
        <v>159</v>
      </c>
      <c r="C31" s="104" t="s">
        <v>149</v>
      </c>
      <c r="D31" s="104" t="s">
        <v>150</v>
      </c>
      <c r="E31" s="104" t="s">
        <v>151</v>
      </c>
      <c r="F31" s="104" t="s">
        <v>152</v>
      </c>
      <c r="G31" s="104" t="s">
        <v>153</v>
      </c>
      <c r="H31" s="104" t="s">
        <v>154</v>
      </c>
      <c r="I31" s="104" t="s">
        <v>155</v>
      </c>
    </row>
    <row r="32" spans="1:9" x14ac:dyDescent="0.35">
      <c r="C32">
        <v>150</v>
      </c>
      <c r="D32">
        <v>80</v>
      </c>
      <c r="E32">
        <v>40</v>
      </c>
      <c r="F32">
        <v>30</v>
      </c>
      <c r="G32">
        <v>20</v>
      </c>
      <c r="H32">
        <v>16</v>
      </c>
      <c r="I32">
        <v>12</v>
      </c>
    </row>
    <row r="34" spans="1:7" x14ac:dyDescent="0.35">
      <c r="B34" t="s">
        <v>163</v>
      </c>
      <c r="C34" s="106" t="s">
        <v>149</v>
      </c>
      <c r="D34" s="106" t="s">
        <v>164</v>
      </c>
      <c r="E34" s="106" t="s">
        <v>165</v>
      </c>
      <c r="F34" s="106" t="s">
        <v>166</v>
      </c>
      <c r="G34" s="106" t="s">
        <v>167</v>
      </c>
    </row>
    <row r="35" spans="1:7" x14ac:dyDescent="0.35">
      <c r="C35">
        <v>150</v>
      </c>
      <c r="D35">
        <v>150</v>
      </c>
      <c r="E35">
        <v>140</v>
      </c>
      <c r="F35">
        <v>80</v>
      </c>
      <c r="G35">
        <v>20</v>
      </c>
    </row>
    <row r="36" spans="1:7" x14ac:dyDescent="0.35">
      <c r="A36" t="s">
        <v>173</v>
      </c>
    </row>
  </sheetData>
  <mergeCells count="1">
    <mergeCell ref="Q1:R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77169-B31D-4B9C-B5E5-CCC1F4F81BC1}">
  <dimension ref="A1:Q40"/>
  <sheetViews>
    <sheetView zoomScale="80" zoomScaleNormal="80" workbookViewId="0">
      <selection activeCell="A34" sqref="A34"/>
    </sheetView>
  </sheetViews>
  <sheetFormatPr defaultRowHeight="14.5" x14ac:dyDescent="0.35"/>
  <cols>
    <col min="1" max="1" width="29.54296875" customWidth="1"/>
    <col min="2" max="2" width="5.26953125" customWidth="1"/>
    <col min="4" max="4" width="10.08984375" bestFit="1" customWidth="1"/>
    <col min="6" max="6" width="10.08984375" bestFit="1" customWidth="1"/>
    <col min="8" max="8" width="27.54296875" customWidth="1"/>
    <col min="9" max="9" width="5.26953125" customWidth="1"/>
    <col min="11" max="11" width="10.08984375" bestFit="1" customWidth="1"/>
    <col min="13" max="13" width="9.36328125" bestFit="1" customWidth="1"/>
    <col min="17" max="17" width="12.26953125" customWidth="1"/>
    <col min="19" max="19" width="8.7265625" customWidth="1"/>
    <col min="20" max="20" width="9.7265625" customWidth="1"/>
  </cols>
  <sheetData>
    <row r="1" spans="1:17" ht="64.900000000000006" customHeight="1" x14ac:dyDescent="0.35">
      <c r="A1" s="101" t="s">
        <v>174</v>
      </c>
      <c r="B1" s="56"/>
      <c r="C1" s="57"/>
      <c r="D1" s="57"/>
      <c r="E1" s="57"/>
      <c r="F1" s="58"/>
      <c r="G1" s="58"/>
      <c r="H1" s="56"/>
      <c r="I1" s="56"/>
      <c r="J1" s="57"/>
      <c r="K1" s="57"/>
      <c r="L1" s="57"/>
      <c r="M1" s="58"/>
      <c r="N1" s="76"/>
      <c r="O1" s="76"/>
      <c r="P1" s="76"/>
      <c r="Q1" s="76"/>
    </row>
    <row r="2" spans="1:17" ht="14.5" customHeight="1" x14ac:dyDescent="0.35">
      <c r="A2" s="165" t="s">
        <v>175</v>
      </c>
      <c r="B2" s="75"/>
      <c r="C2" s="59" t="s">
        <v>176</v>
      </c>
      <c r="D2" s="60"/>
      <c r="E2" s="61" t="s">
        <v>177</v>
      </c>
      <c r="F2" s="60"/>
      <c r="H2" s="165" t="s">
        <v>178</v>
      </c>
      <c r="I2" s="75"/>
      <c r="J2" s="59" t="s">
        <v>176</v>
      </c>
      <c r="K2" s="60"/>
      <c r="L2" s="61" t="s">
        <v>177</v>
      </c>
      <c r="M2" s="78"/>
      <c r="N2" s="57"/>
      <c r="O2" s="57"/>
      <c r="P2" s="57"/>
      <c r="Q2" s="57"/>
    </row>
    <row r="3" spans="1:17" x14ac:dyDescent="0.35">
      <c r="A3" s="166"/>
      <c r="B3" s="57"/>
      <c r="C3" s="62" t="s">
        <v>179</v>
      </c>
      <c r="D3">
        <v>0</v>
      </c>
      <c r="E3" s="52" t="s">
        <v>179</v>
      </c>
      <c r="F3" s="63">
        <v>0</v>
      </c>
      <c r="H3" s="166"/>
      <c r="I3" s="57"/>
      <c r="J3" s="62" t="s">
        <v>179</v>
      </c>
      <c r="K3">
        <v>0</v>
      </c>
      <c r="L3" s="52" t="s">
        <v>179</v>
      </c>
      <c r="M3" s="63">
        <v>0</v>
      </c>
      <c r="N3" s="57"/>
      <c r="O3" s="57"/>
      <c r="P3" s="57"/>
      <c r="Q3" s="57"/>
    </row>
    <row r="4" spans="1:17" x14ac:dyDescent="0.35">
      <c r="C4" s="62" t="s">
        <v>180</v>
      </c>
      <c r="D4">
        <v>0</v>
      </c>
      <c r="E4" s="52" t="s">
        <v>180</v>
      </c>
      <c r="F4" s="63">
        <v>0</v>
      </c>
      <c r="J4" s="62" t="s">
        <v>180</v>
      </c>
      <c r="K4">
        <v>0</v>
      </c>
      <c r="L4" s="52" t="s">
        <v>180</v>
      </c>
      <c r="M4" s="63">
        <v>0</v>
      </c>
    </row>
    <row r="5" spans="1:17" x14ac:dyDescent="0.35">
      <c r="C5" s="62" t="s">
        <v>181</v>
      </c>
      <c r="D5">
        <v>-146.25</v>
      </c>
      <c r="E5" s="52" t="s">
        <v>181</v>
      </c>
      <c r="F5" s="63">
        <v>-146.25</v>
      </c>
      <c r="J5" s="62" t="s">
        <v>181</v>
      </c>
      <c r="K5">
        <f>5*D5</f>
        <v>-731.25</v>
      </c>
      <c r="L5" s="52" t="s">
        <v>181</v>
      </c>
      <c r="M5" s="63">
        <f>5*F5</f>
        <v>-731.25</v>
      </c>
    </row>
    <row r="6" spans="1:17" x14ac:dyDescent="0.35">
      <c r="A6" s="3"/>
      <c r="B6" s="3"/>
      <c r="C6" s="64"/>
      <c r="D6" s="65"/>
      <c r="E6" s="66"/>
      <c r="F6" s="67"/>
      <c r="H6" s="3"/>
      <c r="I6" s="3"/>
      <c r="J6" s="64"/>
      <c r="K6" s="65"/>
      <c r="L6" s="66"/>
      <c r="M6" s="67"/>
    </row>
    <row r="7" spans="1:17" x14ac:dyDescent="0.35">
      <c r="A7" s="3"/>
      <c r="B7" s="3"/>
      <c r="C7" s="68" t="s">
        <v>182</v>
      </c>
      <c r="D7" s="69"/>
      <c r="E7" s="70" t="s">
        <v>183</v>
      </c>
      <c r="F7" s="69"/>
      <c r="H7" s="3"/>
      <c r="I7" s="3"/>
      <c r="J7" s="68" t="s">
        <v>182</v>
      </c>
      <c r="K7" s="69"/>
      <c r="L7" s="70" t="s">
        <v>183</v>
      </c>
      <c r="M7" s="69"/>
    </row>
    <row r="8" spans="1:17" x14ac:dyDescent="0.35">
      <c r="A8" s="3"/>
      <c r="B8" s="3"/>
      <c r="C8" s="62" t="s">
        <v>179</v>
      </c>
      <c r="D8">
        <v>0</v>
      </c>
      <c r="E8" s="52" t="s">
        <v>179</v>
      </c>
      <c r="F8" s="63">
        <v>0</v>
      </c>
      <c r="H8" s="3"/>
      <c r="I8" s="3"/>
      <c r="J8" s="62" t="s">
        <v>179</v>
      </c>
      <c r="K8">
        <v>0</v>
      </c>
      <c r="L8" s="52" t="s">
        <v>179</v>
      </c>
      <c r="M8" s="63">
        <v>0</v>
      </c>
    </row>
    <row r="9" spans="1:17" x14ac:dyDescent="0.35">
      <c r="A9" s="3"/>
      <c r="B9" s="3"/>
      <c r="C9" s="62" t="s">
        <v>180</v>
      </c>
      <c r="D9">
        <v>0</v>
      </c>
      <c r="E9" s="52" t="s">
        <v>180</v>
      </c>
      <c r="F9" s="63">
        <v>0</v>
      </c>
      <c r="H9" s="3"/>
      <c r="I9" s="3"/>
      <c r="J9" s="62" t="s">
        <v>180</v>
      </c>
      <c r="K9">
        <v>0</v>
      </c>
      <c r="L9" s="52" t="s">
        <v>180</v>
      </c>
      <c r="M9" s="63">
        <v>0</v>
      </c>
    </row>
    <row r="10" spans="1:17" x14ac:dyDescent="0.35">
      <c r="A10" s="3"/>
      <c r="B10" s="3"/>
      <c r="C10" s="71" t="s">
        <v>181</v>
      </c>
      <c r="D10" s="72">
        <v>-178.75</v>
      </c>
      <c r="E10" s="73" t="s">
        <v>181</v>
      </c>
      <c r="F10" s="74">
        <v>-178.75</v>
      </c>
      <c r="H10" s="3"/>
      <c r="I10" s="3"/>
      <c r="J10" s="71" t="s">
        <v>181</v>
      </c>
      <c r="K10" s="72">
        <f>5*D10</f>
        <v>-893.75</v>
      </c>
      <c r="L10" s="73" t="s">
        <v>181</v>
      </c>
      <c r="M10" s="74">
        <f>5*F10</f>
        <v>-893.75</v>
      </c>
    </row>
    <row r="11" spans="1:17" x14ac:dyDescent="0.35">
      <c r="A11" s="3"/>
      <c r="B11" s="3"/>
      <c r="C11" s="3"/>
      <c r="H11" s="3"/>
      <c r="I11" s="3"/>
      <c r="J11" s="3"/>
    </row>
    <row r="12" spans="1:17" x14ac:dyDescent="0.35">
      <c r="A12" s="163" t="s">
        <v>190</v>
      </c>
      <c r="B12" s="75"/>
      <c r="C12" s="59" t="s">
        <v>176</v>
      </c>
      <c r="D12" s="60"/>
      <c r="E12" s="61" t="s">
        <v>177</v>
      </c>
      <c r="F12" s="60"/>
      <c r="H12" s="76"/>
      <c r="I12" s="75"/>
      <c r="J12" s="46"/>
      <c r="L12" s="46"/>
    </row>
    <row r="13" spans="1:17" x14ac:dyDescent="0.35">
      <c r="A13" s="164"/>
      <c r="B13" s="57"/>
      <c r="C13" s="62" t="s">
        <v>179</v>
      </c>
      <c r="D13">
        <v>0</v>
      </c>
      <c r="E13" s="52" t="s">
        <v>179</v>
      </c>
      <c r="F13" s="63">
        <v>0</v>
      </c>
      <c r="H13" s="77"/>
      <c r="I13" s="57"/>
    </row>
    <row r="14" spans="1:17" x14ac:dyDescent="0.35">
      <c r="A14" t="s">
        <v>184</v>
      </c>
      <c r="C14" s="62" t="s">
        <v>180</v>
      </c>
      <c r="D14">
        <v>0</v>
      </c>
      <c r="E14" s="52" t="s">
        <v>180</v>
      </c>
      <c r="F14" s="63">
        <v>0</v>
      </c>
    </row>
    <row r="15" spans="1:17" x14ac:dyDescent="0.35">
      <c r="C15" s="62" t="s">
        <v>181</v>
      </c>
      <c r="D15">
        <v>-105.3002</v>
      </c>
      <c r="E15" s="52" t="s">
        <v>181</v>
      </c>
      <c r="F15" s="63">
        <v>-105.3002</v>
      </c>
    </row>
    <row r="16" spans="1:17" x14ac:dyDescent="0.35">
      <c r="A16" s="3"/>
      <c r="B16" s="3"/>
      <c r="C16" s="64"/>
      <c r="D16" s="65"/>
      <c r="E16" s="66"/>
      <c r="F16" s="67"/>
      <c r="H16" s="3"/>
      <c r="I16" s="3"/>
    </row>
    <row r="17" spans="1:13" x14ac:dyDescent="0.35">
      <c r="A17" s="3"/>
      <c r="B17" s="3"/>
      <c r="C17" s="68" t="s">
        <v>182</v>
      </c>
      <c r="D17" s="69"/>
      <c r="E17" s="70" t="s">
        <v>183</v>
      </c>
      <c r="F17" s="69"/>
      <c r="H17" s="3"/>
      <c r="I17" s="3"/>
      <c r="J17" s="46"/>
      <c r="L17" s="46"/>
    </row>
    <row r="18" spans="1:13" x14ac:dyDescent="0.35">
      <c r="A18" s="3"/>
      <c r="B18" s="3"/>
      <c r="C18" s="62" t="s">
        <v>179</v>
      </c>
      <c r="D18">
        <v>356.43650000000002</v>
      </c>
      <c r="E18" s="52" t="s">
        <v>179</v>
      </c>
      <c r="F18" s="63">
        <v>356.43650000000002</v>
      </c>
      <c r="H18" s="3"/>
      <c r="I18" s="3"/>
    </row>
    <row r="19" spans="1:13" x14ac:dyDescent="0.35">
      <c r="A19" s="3"/>
      <c r="B19" s="3"/>
      <c r="C19" s="62" t="s">
        <v>180</v>
      </c>
      <c r="D19">
        <v>0</v>
      </c>
      <c r="E19" s="52" t="s">
        <v>180</v>
      </c>
      <c r="F19" s="63">
        <v>0</v>
      </c>
      <c r="H19" s="3"/>
      <c r="I19" s="3"/>
    </row>
    <row r="20" spans="1:13" x14ac:dyDescent="0.35">
      <c r="A20" s="3"/>
      <c r="B20" s="3"/>
      <c r="C20" s="71" t="s">
        <v>181</v>
      </c>
      <c r="D20" s="72">
        <v>-219.69980000000001</v>
      </c>
      <c r="E20" s="73" t="s">
        <v>181</v>
      </c>
      <c r="F20" s="74">
        <v>-219.69980000000001</v>
      </c>
      <c r="H20" s="3"/>
      <c r="I20" s="3"/>
    </row>
    <row r="22" spans="1:13" x14ac:dyDescent="0.35">
      <c r="A22" s="163" t="s">
        <v>191</v>
      </c>
      <c r="B22" s="75"/>
      <c r="C22" s="59" t="s">
        <v>176</v>
      </c>
      <c r="D22" s="60"/>
      <c r="E22" s="61" t="s">
        <v>177</v>
      </c>
      <c r="F22" s="60"/>
      <c r="H22" s="76"/>
      <c r="I22" s="75"/>
      <c r="J22" s="46"/>
      <c r="L22" s="46"/>
    </row>
    <row r="23" spans="1:13" x14ac:dyDescent="0.35">
      <c r="A23" s="164"/>
      <c r="B23" s="57"/>
      <c r="C23" s="62" t="s">
        <v>179</v>
      </c>
      <c r="D23">
        <v>-821.46130000000005</v>
      </c>
      <c r="E23" s="52" t="s">
        <v>179</v>
      </c>
      <c r="F23" s="63">
        <v>-821.46130000000005</v>
      </c>
      <c r="H23" s="77"/>
      <c r="I23" s="57"/>
    </row>
    <row r="24" spans="1:13" x14ac:dyDescent="0.35">
      <c r="A24" t="s">
        <v>185</v>
      </c>
      <c r="C24" s="62" t="s">
        <v>180</v>
      </c>
      <c r="D24">
        <v>0</v>
      </c>
      <c r="E24" s="52" t="s">
        <v>180</v>
      </c>
      <c r="F24" s="63">
        <v>0</v>
      </c>
    </row>
    <row r="25" spans="1:13" x14ac:dyDescent="0.35">
      <c r="C25" s="62" t="s">
        <v>181</v>
      </c>
      <c r="D25">
        <v>-548.10699999999997</v>
      </c>
      <c r="E25" s="52" t="s">
        <v>181</v>
      </c>
      <c r="F25" s="63">
        <v>-548.10699999999997</v>
      </c>
    </row>
    <row r="26" spans="1:13" x14ac:dyDescent="0.35">
      <c r="A26" s="3"/>
      <c r="B26" s="3"/>
      <c r="C26" s="64"/>
      <c r="D26" s="65"/>
      <c r="E26" s="66"/>
      <c r="F26" s="67"/>
      <c r="H26" s="3"/>
      <c r="I26" s="3"/>
    </row>
    <row r="27" spans="1:13" x14ac:dyDescent="0.35">
      <c r="A27" s="3"/>
      <c r="B27" s="3"/>
      <c r="C27" s="68" t="s">
        <v>182</v>
      </c>
      <c r="D27" s="69"/>
      <c r="E27" s="70" t="s">
        <v>183</v>
      </c>
      <c r="F27" s="69"/>
      <c r="H27" s="3"/>
      <c r="I27" s="3"/>
      <c r="J27" s="46"/>
      <c r="L27" s="46"/>
    </row>
    <row r="28" spans="1:13" x14ac:dyDescent="0.35">
      <c r="A28" s="3"/>
      <c r="B28" s="3"/>
      <c r="C28" s="62" t="s">
        <v>179</v>
      </c>
      <c r="D28">
        <v>-500.9862</v>
      </c>
      <c r="E28" s="52" t="s">
        <v>179</v>
      </c>
      <c r="F28" s="63">
        <v>-500.9862</v>
      </c>
      <c r="H28" s="3"/>
      <c r="I28" s="3"/>
    </row>
    <row r="29" spans="1:13" x14ac:dyDescent="0.35">
      <c r="A29" s="3"/>
      <c r="B29" s="3"/>
      <c r="C29" s="62" t="s">
        <v>180</v>
      </c>
      <c r="D29">
        <v>0</v>
      </c>
      <c r="E29" s="52" t="s">
        <v>180</v>
      </c>
      <c r="F29" s="63">
        <v>0</v>
      </c>
      <c r="H29" s="3"/>
      <c r="I29" s="3"/>
    </row>
    <row r="30" spans="1:13" x14ac:dyDescent="0.35">
      <c r="A30" s="3"/>
      <c r="B30" s="3"/>
      <c r="C30" s="71" t="s">
        <v>181</v>
      </c>
      <c r="D30" s="72">
        <v>-316.25900000000001</v>
      </c>
      <c r="E30" s="73" t="s">
        <v>181</v>
      </c>
      <c r="F30" s="74">
        <v>-316.25900000000001</v>
      </c>
      <c r="H30" s="3"/>
      <c r="I30" s="3"/>
    </row>
    <row r="32" spans="1:13" ht="14.65" customHeight="1" x14ac:dyDescent="0.35">
      <c r="A32" s="163" t="s">
        <v>192</v>
      </c>
      <c r="B32" s="75"/>
      <c r="C32" s="59" t="s">
        <v>176</v>
      </c>
      <c r="D32" s="60"/>
      <c r="E32" s="61" t="s">
        <v>177</v>
      </c>
      <c r="F32" s="60"/>
      <c r="H32" s="165" t="s">
        <v>186</v>
      </c>
      <c r="I32" s="75"/>
      <c r="J32" s="59" t="s">
        <v>176</v>
      </c>
      <c r="K32" s="60"/>
      <c r="L32" s="61" t="s">
        <v>177</v>
      </c>
      <c r="M32" s="60"/>
    </row>
    <row r="33" spans="1:13" x14ac:dyDescent="0.35">
      <c r="A33" s="164"/>
      <c r="B33" s="57"/>
      <c r="C33" s="62" t="s">
        <v>179</v>
      </c>
      <c r="D33">
        <v>0</v>
      </c>
      <c r="E33" s="52" t="s">
        <v>179</v>
      </c>
      <c r="F33" s="63">
        <v>0</v>
      </c>
      <c r="H33" s="166"/>
      <c r="I33" s="57"/>
      <c r="J33" s="62" t="s">
        <v>179</v>
      </c>
      <c r="K33">
        <v>0</v>
      </c>
      <c r="L33" s="52" t="s">
        <v>179</v>
      </c>
      <c r="M33" s="63">
        <v>0</v>
      </c>
    </row>
    <row r="34" spans="1:13" x14ac:dyDescent="0.35">
      <c r="A34" t="s">
        <v>185</v>
      </c>
      <c r="C34" s="62" t="s">
        <v>180</v>
      </c>
      <c r="D34">
        <v>-243.20240000000001</v>
      </c>
      <c r="E34" s="52" t="s">
        <v>180</v>
      </c>
      <c r="F34" s="63">
        <v>-864.88990000000001</v>
      </c>
      <c r="J34" s="62" t="s">
        <v>180</v>
      </c>
      <c r="K34">
        <v>383.25099999999998</v>
      </c>
      <c r="L34" s="52" t="s">
        <v>180</v>
      </c>
      <c r="M34" s="63">
        <v>102.3192</v>
      </c>
    </row>
    <row r="35" spans="1:13" x14ac:dyDescent="0.35">
      <c r="C35" s="62" t="s">
        <v>181</v>
      </c>
      <c r="D35">
        <v>-143.7165</v>
      </c>
      <c r="E35" s="52" t="s">
        <v>181</v>
      </c>
      <c r="F35" s="63">
        <v>-580.27629999999999</v>
      </c>
      <c r="J35" s="62" t="s">
        <v>181</v>
      </c>
      <c r="K35">
        <v>-236.54509999999999</v>
      </c>
      <c r="L35" s="52" t="s">
        <v>181</v>
      </c>
      <c r="M35" s="63">
        <v>-55.954900000000002</v>
      </c>
    </row>
    <row r="36" spans="1:13" x14ac:dyDescent="0.35">
      <c r="A36" s="3"/>
      <c r="B36" s="3"/>
      <c r="C36" s="64"/>
      <c r="D36" s="65"/>
      <c r="E36" s="66"/>
      <c r="F36" s="67"/>
      <c r="H36" s="3"/>
      <c r="I36" s="3"/>
      <c r="J36" s="64"/>
      <c r="K36" s="65"/>
      <c r="L36" s="66"/>
      <c r="M36" s="67"/>
    </row>
    <row r="37" spans="1:13" x14ac:dyDescent="0.35">
      <c r="A37" s="3"/>
      <c r="B37" s="3"/>
      <c r="C37" s="68" t="s">
        <v>182</v>
      </c>
      <c r="D37" s="69"/>
      <c r="E37" s="70" t="s">
        <v>183</v>
      </c>
      <c r="F37" s="69"/>
      <c r="H37" s="3"/>
      <c r="I37" s="3"/>
      <c r="J37" s="68" t="s">
        <v>182</v>
      </c>
      <c r="K37" s="69"/>
      <c r="L37" s="70" t="s">
        <v>183</v>
      </c>
      <c r="M37" s="69"/>
    </row>
    <row r="38" spans="1:13" x14ac:dyDescent="0.35">
      <c r="A38" s="3"/>
      <c r="B38" s="3"/>
      <c r="C38" s="62" t="s">
        <v>179</v>
      </c>
      <c r="D38">
        <v>0</v>
      </c>
      <c r="E38" s="52" t="s">
        <v>179</v>
      </c>
      <c r="F38" s="63">
        <v>0</v>
      </c>
      <c r="H38" s="3"/>
      <c r="I38" s="3"/>
      <c r="J38" s="62" t="s">
        <v>179</v>
      </c>
      <c r="K38">
        <v>0</v>
      </c>
      <c r="L38" s="52" t="s">
        <v>179</v>
      </c>
      <c r="M38" s="63">
        <v>0</v>
      </c>
    </row>
    <row r="39" spans="1:13" x14ac:dyDescent="0.35">
      <c r="A39" s="3"/>
      <c r="B39" s="3"/>
      <c r="C39" s="62" t="s">
        <v>180</v>
      </c>
      <c r="D39">
        <v>-363.65269999999998</v>
      </c>
      <c r="E39" s="52" t="s">
        <v>180</v>
      </c>
      <c r="F39" s="159">
        <v>-1161.9992999999999</v>
      </c>
      <c r="H39" s="3"/>
      <c r="I39" s="3"/>
      <c r="J39" s="62" t="s">
        <v>180</v>
      </c>
      <c r="K39">
        <v>467.55239999999998</v>
      </c>
      <c r="L39" s="52" t="s">
        <v>180</v>
      </c>
      <c r="M39" s="63">
        <v>111.7771</v>
      </c>
    </row>
    <row r="40" spans="1:13" x14ac:dyDescent="0.35">
      <c r="A40" s="3"/>
      <c r="B40" s="3"/>
      <c r="C40" s="71" t="s">
        <v>181</v>
      </c>
      <c r="D40" s="72">
        <v>-224.45920000000001</v>
      </c>
      <c r="E40" s="73" t="s">
        <v>181</v>
      </c>
      <c r="F40" s="74">
        <v>-780.28</v>
      </c>
      <c r="H40" s="3"/>
      <c r="I40" s="3"/>
      <c r="J40" s="71" t="s">
        <v>181</v>
      </c>
      <c r="K40" s="72">
        <v>-293.7122</v>
      </c>
      <c r="L40" s="73" t="s">
        <v>181</v>
      </c>
      <c r="M40" s="74">
        <v>-63.787799999999997</v>
      </c>
    </row>
  </sheetData>
  <mergeCells count="6">
    <mergeCell ref="A12:A13"/>
    <mergeCell ref="A22:A23"/>
    <mergeCell ref="A32:A33"/>
    <mergeCell ref="H32:H33"/>
    <mergeCell ref="H2:H3"/>
    <mergeCell ref="A2:A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224F4-4987-4756-992B-A8EEBE120213}">
  <dimension ref="A1:J121"/>
  <sheetViews>
    <sheetView zoomScale="73" zoomScaleNormal="25" workbookViewId="0">
      <selection activeCell="R38" sqref="R38"/>
    </sheetView>
  </sheetViews>
  <sheetFormatPr defaultRowHeight="14.5" x14ac:dyDescent="0.35"/>
  <cols>
    <col min="1" max="1" width="15" customWidth="1"/>
    <col min="2" max="2" width="18.7265625" customWidth="1"/>
    <col min="3" max="3" width="10.1796875" bestFit="1" customWidth="1"/>
    <col min="4" max="4" width="26.90625" bestFit="1" customWidth="1"/>
    <col min="5" max="5" width="23" bestFit="1" customWidth="1"/>
    <col min="6" max="6" width="26" bestFit="1" customWidth="1"/>
    <col min="7" max="7" width="14.81640625" bestFit="1" customWidth="1"/>
    <col min="8" max="8" width="20.26953125" bestFit="1" customWidth="1"/>
    <col min="9" max="9" width="21.90625" bestFit="1" customWidth="1"/>
    <col min="10" max="10" width="17.26953125" bestFit="1" customWidth="1"/>
  </cols>
  <sheetData>
    <row r="1" spans="1:10" ht="29" x14ac:dyDescent="0.35">
      <c r="A1" s="170" t="s">
        <v>187</v>
      </c>
      <c r="B1" s="172" t="s">
        <v>188</v>
      </c>
      <c r="C1" s="86" t="s">
        <v>189</v>
      </c>
      <c r="D1" s="5" t="s">
        <v>190</v>
      </c>
      <c r="E1" s="5" t="s">
        <v>191</v>
      </c>
      <c r="F1" s="5" t="s">
        <v>192</v>
      </c>
      <c r="G1" s="86" t="s">
        <v>186</v>
      </c>
      <c r="H1" s="86" t="s">
        <v>178</v>
      </c>
      <c r="I1" s="5" t="s">
        <v>193</v>
      </c>
      <c r="J1" s="5" t="s">
        <v>194</v>
      </c>
    </row>
    <row r="2" spans="1:10" ht="15" thickBot="1" x14ac:dyDescent="0.4">
      <c r="A2" s="171"/>
      <c r="B2" s="173"/>
      <c r="C2" s="87" t="s">
        <v>195</v>
      </c>
      <c r="D2" s="6" t="s">
        <v>195</v>
      </c>
      <c r="E2" s="6" t="s">
        <v>195</v>
      </c>
      <c r="F2" s="6" t="s">
        <v>195</v>
      </c>
      <c r="G2" s="87" t="s">
        <v>195</v>
      </c>
      <c r="H2" s="87" t="s">
        <v>195</v>
      </c>
      <c r="I2" s="6" t="s">
        <v>195</v>
      </c>
      <c r="J2" s="6" t="s">
        <v>195</v>
      </c>
    </row>
    <row r="3" spans="1:10" x14ac:dyDescent="0.35">
      <c r="A3" s="174" t="s">
        <v>196</v>
      </c>
      <c r="B3" s="14" t="s">
        <v>197</v>
      </c>
      <c r="C3" s="2">
        <f>-'Tire Load Cases'!D3</f>
        <v>0</v>
      </c>
      <c r="D3" s="2">
        <f>-'Tire Load Cases'!D13</f>
        <v>0</v>
      </c>
      <c r="E3" s="2">
        <f>-'Tire Load Cases'!D23</f>
        <v>821.46130000000005</v>
      </c>
      <c r="F3" s="2">
        <f>-'Tire Load Cases'!D33</f>
        <v>0</v>
      </c>
      <c r="G3" s="2">
        <f>-'Tire Load Cases'!K33</f>
        <v>0</v>
      </c>
      <c r="H3" s="1">
        <f>-'Tire Load Cases'!K3</f>
        <v>0</v>
      </c>
      <c r="I3" s="9" t="s">
        <v>198</v>
      </c>
      <c r="J3" s="81" t="s">
        <v>198</v>
      </c>
    </row>
    <row r="4" spans="1:10" x14ac:dyDescent="0.35">
      <c r="A4" s="175"/>
      <c r="B4" s="15" t="s">
        <v>199</v>
      </c>
      <c r="C4" s="11">
        <f>'Tire Load Cases'!D4</f>
        <v>0</v>
      </c>
      <c r="D4" s="2">
        <f>'Tire Load Cases'!D14</f>
        <v>0</v>
      </c>
      <c r="E4" s="2">
        <f>'Tire Load Cases'!D24</f>
        <v>0</v>
      </c>
      <c r="F4" s="2">
        <f>'Tire Load Cases'!D34</f>
        <v>-243.20240000000001</v>
      </c>
      <c r="G4" s="2">
        <f>'Tire Load Cases'!K34</f>
        <v>383.25099999999998</v>
      </c>
      <c r="H4" s="2">
        <f>'Tire Load Cases'!K4</f>
        <v>0</v>
      </c>
      <c r="I4" s="9" t="s">
        <v>198</v>
      </c>
      <c r="J4" s="82" t="s">
        <v>198</v>
      </c>
    </row>
    <row r="5" spans="1:10" x14ac:dyDescent="0.35">
      <c r="A5" s="175"/>
      <c r="B5" s="18" t="s">
        <v>200</v>
      </c>
      <c r="C5" s="11">
        <f>-'Tire Load Cases'!D5</f>
        <v>146.25</v>
      </c>
      <c r="D5" s="2">
        <f>-'Tire Load Cases'!D15</f>
        <v>105.3002</v>
      </c>
      <c r="E5" s="2">
        <f>-'Tire Load Cases'!D25</f>
        <v>548.10699999999997</v>
      </c>
      <c r="F5" s="2">
        <f>-'Tire Load Cases'!D35</f>
        <v>143.7165</v>
      </c>
      <c r="G5" s="2">
        <f>-'Tire Load Cases'!K35</f>
        <v>236.54509999999999</v>
      </c>
      <c r="H5" s="79">
        <f>-'Tire Load Cases'!K5</f>
        <v>731.25</v>
      </c>
      <c r="I5" s="9" t="s">
        <v>198</v>
      </c>
      <c r="J5" s="82" t="s">
        <v>198</v>
      </c>
    </row>
    <row r="6" spans="1:10" x14ac:dyDescent="0.35">
      <c r="A6" s="175"/>
      <c r="B6" s="16" t="s">
        <v>201</v>
      </c>
      <c r="C6" s="12">
        <v>-16.581299999999999</v>
      </c>
      <c r="D6" s="7">
        <v>-11.938599999999999</v>
      </c>
      <c r="E6" s="7">
        <v>366.1712</v>
      </c>
      <c r="F6" s="7">
        <v>61.582999999999998</v>
      </c>
      <c r="G6" s="7">
        <v>-149.54140000000001</v>
      </c>
      <c r="H6" s="7">
        <v>-82.906700000000001</v>
      </c>
      <c r="I6" s="27">
        <f>IF(MIN(C6:H6)&lt;0, MIN(C6:H6), 0)</f>
        <v>-149.54140000000001</v>
      </c>
      <c r="J6" s="83">
        <f>IF(MAX(C6:H6)&gt;0, MAX(C6:H6), 0)</f>
        <v>366.1712</v>
      </c>
    </row>
    <row r="7" spans="1:10" x14ac:dyDescent="0.35">
      <c r="A7" s="175"/>
      <c r="B7" s="16" t="s">
        <v>202</v>
      </c>
      <c r="C7" s="12">
        <v>267.0299</v>
      </c>
      <c r="D7" s="7">
        <v>192.2619</v>
      </c>
      <c r="E7" s="7">
        <v>2171.9549999999999</v>
      </c>
      <c r="F7" s="7">
        <v>-123.18819999999999</v>
      </c>
      <c r="G7" s="7">
        <v>1039.5313000000001</v>
      </c>
      <c r="H7" s="7">
        <v>1335.1496</v>
      </c>
      <c r="I7" s="27">
        <f t="shared" ref="I7:I11" si="0">IF(MIN(C7:H7)&lt;0, MIN(C7:H7), 0)</f>
        <v>-123.18819999999999</v>
      </c>
      <c r="J7" s="83">
        <f t="shared" ref="J7:J11" si="1">IF(MAX(C7:H7)&gt;0, MAX(C7:H7), 0)</f>
        <v>2171.9549999999999</v>
      </c>
    </row>
    <row r="8" spans="1:10" x14ac:dyDescent="0.35">
      <c r="A8" s="175"/>
      <c r="B8" s="16" t="s">
        <v>203</v>
      </c>
      <c r="C8" s="12">
        <v>219.81479999999999</v>
      </c>
      <c r="D8" s="7">
        <v>158.26689999999999</v>
      </c>
      <c r="E8" s="7">
        <v>-1002.5725</v>
      </c>
      <c r="F8" s="7">
        <v>-89.268000000000001</v>
      </c>
      <c r="G8" s="7">
        <v>836.59699999999998</v>
      </c>
      <c r="H8" s="7">
        <v>1099.0739000000001</v>
      </c>
      <c r="I8" s="27">
        <f t="shared" si="0"/>
        <v>-1002.5725</v>
      </c>
      <c r="J8" s="83">
        <f t="shared" si="1"/>
        <v>1099.0739000000001</v>
      </c>
    </row>
    <row r="9" spans="1:10" x14ac:dyDescent="0.35">
      <c r="A9" s="175"/>
      <c r="B9" s="16" t="s">
        <v>204</v>
      </c>
      <c r="C9" s="12">
        <v>-32.523899999999998</v>
      </c>
      <c r="D9" s="7">
        <v>-23.417300000000001</v>
      </c>
      <c r="E9" s="7">
        <v>-715.08960000000002</v>
      </c>
      <c r="F9" s="7">
        <v>225.43979999999999</v>
      </c>
      <c r="G9" s="7">
        <v>-458.22910000000002</v>
      </c>
      <c r="H9" s="7">
        <v>-162.61969999999999</v>
      </c>
      <c r="I9" s="27">
        <f t="shared" si="0"/>
        <v>-715.08960000000002</v>
      </c>
      <c r="J9" s="83">
        <f t="shared" si="1"/>
        <v>225.43979999999999</v>
      </c>
    </row>
    <row r="10" spans="1:10" x14ac:dyDescent="0.35">
      <c r="A10" s="175"/>
      <c r="B10" s="16" t="s">
        <v>205</v>
      </c>
      <c r="C10" s="12">
        <v>-3.5541999999999998</v>
      </c>
      <c r="D10" s="7">
        <v>-2.5590999999999999</v>
      </c>
      <c r="E10" s="7">
        <v>504.50639999999999</v>
      </c>
      <c r="F10" s="7">
        <v>224.01220000000001</v>
      </c>
      <c r="G10" s="7">
        <v>-364.2627</v>
      </c>
      <c r="H10" s="7">
        <v>-17.7712</v>
      </c>
      <c r="I10" s="27">
        <f t="shared" si="0"/>
        <v>-364.2627</v>
      </c>
      <c r="J10" s="83">
        <f t="shared" si="1"/>
        <v>504.50639999999999</v>
      </c>
    </row>
    <row r="11" spans="1:10" ht="15" thickBot="1" x14ac:dyDescent="0.4">
      <c r="A11" s="176"/>
      <c r="B11" s="17" t="s">
        <v>206</v>
      </c>
      <c r="C11" s="13">
        <v>-398.23559999999998</v>
      </c>
      <c r="D11" s="8">
        <v>-286.73020000000002</v>
      </c>
      <c r="E11" s="8">
        <v>-1360.4956999999999</v>
      </c>
      <c r="F11" s="8">
        <v>20.405000000000001</v>
      </c>
      <c r="G11" s="8">
        <v>-1292.9517000000001</v>
      </c>
      <c r="H11" s="8">
        <v>-1991.1782000000001</v>
      </c>
      <c r="I11" s="80">
        <f t="shared" si="0"/>
        <v>-1991.1782000000001</v>
      </c>
      <c r="J11" s="84">
        <f t="shared" si="1"/>
        <v>20.405000000000001</v>
      </c>
    </row>
    <row r="12" spans="1:10" x14ac:dyDescent="0.35">
      <c r="A12" s="177" t="s">
        <v>207</v>
      </c>
      <c r="B12" s="14" t="s">
        <v>197</v>
      </c>
      <c r="C12" s="2">
        <f>-'Tire Load Cases'!F3</f>
        <v>0</v>
      </c>
      <c r="D12" s="2">
        <f>-'Tire Load Cases'!F13</f>
        <v>0</v>
      </c>
      <c r="E12" s="2">
        <f>-'Tire Load Cases'!F23</f>
        <v>821.46130000000005</v>
      </c>
      <c r="F12" s="2">
        <f>-'Tire Load Cases'!F33</f>
        <v>0</v>
      </c>
      <c r="G12" s="2">
        <f>-'Tire Load Cases'!M33</f>
        <v>0</v>
      </c>
      <c r="H12" s="79">
        <f>-'Tire Load Cases'!M3</f>
        <v>0</v>
      </c>
      <c r="I12" s="10" t="s">
        <v>198</v>
      </c>
      <c r="J12" s="85" t="s">
        <v>198</v>
      </c>
    </row>
    <row r="13" spans="1:10" x14ac:dyDescent="0.35">
      <c r="A13" s="175"/>
      <c r="B13" s="15" t="s">
        <v>199</v>
      </c>
      <c r="C13" s="2">
        <f>'Tire Load Cases'!F4</f>
        <v>0</v>
      </c>
      <c r="D13" s="2">
        <f>'Tire Load Cases'!F14</f>
        <v>0</v>
      </c>
      <c r="E13" s="2">
        <f>'Tire Load Cases'!F24</f>
        <v>0</v>
      </c>
      <c r="F13" s="2">
        <f>'Tire Load Cases'!F34</f>
        <v>-864.88990000000001</v>
      </c>
      <c r="G13" s="2">
        <f>'Tire Load Cases'!M34</f>
        <v>102.3192</v>
      </c>
      <c r="H13" s="79">
        <f>'Tire Load Cases'!M4</f>
        <v>0</v>
      </c>
      <c r="I13" s="9" t="s">
        <v>198</v>
      </c>
      <c r="J13" s="82" t="s">
        <v>198</v>
      </c>
    </row>
    <row r="14" spans="1:10" x14ac:dyDescent="0.35">
      <c r="A14" s="175"/>
      <c r="B14" s="15" t="s">
        <v>197</v>
      </c>
      <c r="C14" s="2">
        <f>-'Tire Load Cases'!F5</f>
        <v>146.25</v>
      </c>
      <c r="D14" s="2">
        <f>-'Tire Load Cases'!F15</f>
        <v>105.3002</v>
      </c>
      <c r="E14" s="2">
        <f>-'Tire Load Cases'!F25</f>
        <v>548.10699999999997</v>
      </c>
      <c r="F14" s="2">
        <f>-'Tire Load Cases'!F35</f>
        <v>580.27629999999999</v>
      </c>
      <c r="G14" s="2">
        <f>-'Tire Load Cases'!M35</f>
        <v>55.954900000000002</v>
      </c>
      <c r="H14" s="79">
        <f>-'Tire Load Cases'!M5</f>
        <v>731.25</v>
      </c>
      <c r="I14" s="9" t="s">
        <v>198</v>
      </c>
      <c r="J14" s="82" t="s">
        <v>198</v>
      </c>
    </row>
    <row r="15" spans="1:10" x14ac:dyDescent="0.35">
      <c r="A15" s="175"/>
      <c r="B15" s="16" t="s">
        <v>201</v>
      </c>
      <c r="C15" s="12">
        <v>-16.581299999999999</v>
      </c>
      <c r="D15" s="7">
        <v>-11.938599999999999</v>
      </c>
      <c r="E15" s="7">
        <v>366.1712</v>
      </c>
      <c r="F15" s="7">
        <v>-342.7405</v>
      </c>
      <c r="G15" s="7">
        <v>26.420200000000001</v>
      </c>
      <c r="H15" s="7">
        <v>-82.906700000000001</v>
      </c>
      <c r="I15" s="27">
        <f t="shared" ref="I15:I19" si="2">IF(MIN(C15:H15)&lt;0, MIN(C15:H15), 0)</f>
        <v>-342.7405</v>
      </c>
      <c r="J15" s="83">
        <f t="shared" ref="J15:J20" si="3">IF(MAX(C15:H15)&gt;0, MAX(C15:H15), 0)</f>
        <v>366.1712</v>
      </c>
    </row>
    <row r="16" spans="1:10" x14ac:dyDescent="0.35">
      <c r="A16" s="175"/>
      <c r="B16" s="16" t="s">
        <v>202</v>
      </c>
      <c r="C16" s="12">
        <v>267.0299</v>
      </c>
      <c r="D16" s="7">
        <v>192.2619</v>
      </c>
      <c r="E16" s="7">
        <v>2171.9549999999999</v>
      </c>
      <c r="F16" s="7">
        <v>2430.7599</v>
      </c>
      <c r="G16" s="7">
        <v>-60.06</v>
      </c>
      <c r="H16" s="7">
        <v>1335.1496</v>
      </c>
      <c r="I16" s="27">
        <f t="shared" si="2"/>
        <v>-60.06</v>
      </c>
      <c r="J16" s="83">
        <f t="shared" si="3"/>
        <v>2430.7599</v>
      </c>
    </row>
    <row r="17" spans="1:10" x14ac:dyDescent="0.35">
      <c r="A17" s="175"/>
      <c r="B17" s="16" t="s">
        <v>203</v>
      </c>
      <c r="C17" s="12">
        <v>219.81479999999999</v>
      </c>
      <c r="D17" s="7">
        <v>158.26689999999999</v>
      </c>
      <c r="E17" s="7">
        <v>-1002.5725</v>
      </c>
      <c r="F17" s="7">
        <v>1957.7947999999999</v>
      </c>
      <c r="G17" s="7">
        <v>-44.333500000000001</v>
      </c>
      <c r="H17" s="7">
        <v>1099.0739000000001</v>
      </c>
      <c r="I17" s="27">
        <f t="shared" si="2"/>
        <v>-1002.5725</v>
      </c>
      <c r="J17" s="83">
        <f t="shared" si="3"/>
        <v>1957.7947999999999</v>
      </c>
    </row>
    <row r="18" spans="1:10" x14ac:dyDescent="0.35">
      <c r="A18" s="175"/>
      <c r="B18" s="16" t="s">
        <v>204</v>
      </c>
      <c r="C18" s="12">
        <v>-32.523899999999998</v>
      </c>
      <c r="D18" s="7">
        <v>-23.417300000000001</v>
      </c>
      <c r="E18" s="7">
        <v>-715.08960000000002</v>
      </c>
      <c r="F18" s="7">
        <v>-1044.4265</v>
      </c>
      <c r="G18" s="7">
        <v>95.8489</v>
      </c>
      <c r="H18" s="7">
        <v>-162.61969999999999</v>
      </c>
      <c r="I18" s="27">
        <f>IF(MIN(C18:H18)&lt;0, MIN(C18:H18), 0)</f>
        <v>-1044.4265</v>
      </c>
      <c r="J18" s="83">
        <f t="shared" si="3"/>
        <v>95.8489</v>
      </c>
    </row>
    <row r="19" spans="1:10" x14ac:dyDescent="0.35">
      <c r="A19" s="175"/>
      <c r="B19" s="16" t="s">
        <v>205</v>
      </c>
      <c r="C19" s="12">
        <v>-3.5541999999999998</v>
      </c>
      <c r="D19" s="7">
        <v>-2.5590999999999999</v>
      </c>
      <c r="E19" s="7">
        <v>504.50639999999999</v>
      </c>
      <c r="F19" s="7">
        <v>-823.16769999999997</v>
      </c>
      <c r="G19" s="7">
        <v>94.355199999999996</v>
      </c>
      <c r="H19" s="7">
        <v>-17.7712</v>
      </c>
      <c r="I19" s="27">
        <f t="shared" si="2"/>
        <v>-823.16769999999997</v>
      </c>
      <c r="J19" s="83">
        <f t="shared" si="3"/>
        <v>504.50639999999999</v>
      </c>
    </row>
    <row r="20" spans="1:10" ht="15" thickBot="1" x14ac:dyDescent="0.4">
      <c r="A20" s="176"/>
      <c r="B20" s="17" t="s">
        <v>206</v>
      </c>
      <c r="C20" s="13">
        <v>-398.23559999999998</v>
      </c>
      <c r="D20" s="8">
        <v>-286.73020000000002</v>
      </c>
      <c r="E20" s="8">
        <v>-1360.4956999999999</v>
      </c>
      <c r="F20" s="44">
        <v>-3044.3397</v>
      </c>
      <c r="G20" s="44">
        <v>20.862500000000001</v>
      </c>
      <c r="H20" s="8">
        <v>-1991.1782000000001</v>
      </c>
      <c r="I20" s="80">
        <f>IF(MIN(C20:H20)&lt;0, MIN(C20:H20), 0)</f>
        <v>-3044.3397</v>
      </c>
      <c r="J20" s="84">
        <f t="shared" si="3"/>
        <v>20.862500000000001</v>
      </c>
    </row>
    <row r="21" spans="1:10" x14ac:dyDescent="0.35">
      <c r="A21" s="167" t="s">
        <v>208</v>
      </c>
      <c r="B21" s="14" t="s">
        <v>197</v>
      </c>
      <c r="C21" s="89">
        <f>-'Tire Load Cases'!D8</f>
        <v>0</v>
      </c>
      <c r="D21" s="1">
        <f>-'Tire Load Cases'!D18</f>
        <v>-356.43650000000002</v>
      </c>
      <c r="E21" s="1">
        <f>-'Tire Load Cases'!D28</f>
        <v>500.9862</v>
      </c>
      <c r="F21" s="1">
        <f>-'Tire Load Cases'!D38</f>
        <v>0</v>
      </c>
      <c r="G21" s="1">
        <f>-'Tire Load Cases'!K38</f>
        <v>0</v>
      </c>
      <c r="H21" s="1">
        <f>-'Tire Load Cases'!K8</f>
        <v>0</v>
      </c>
      <c r="I21" s="10" t="s">
        <v>198</v>
      </c>
      <c r="J21" s="85" t="s">
        <v>198</v>
      </c>
    </row>
    <row r="22" spans="1:10" x14ac:dyDescent="0.35">
      <c r="A22" s="168"/>
      <c r="B22" s="15" t="s">
        <v>199</v>
      </c>
      <c r="C22" s="90">
        <f>'Tire Load Cases'!D9</f>
        <v>0</v>
      </c>
      <c r="D22" s="2">
        <f>'Tire Load Cases'!D19</f>
        <v>0</v>
      </c>
      <c r="E22" s="2">
        <f>'Tire Load Cases'!D29</f>
        <v>0</v>
      </c>
      <c r="F22" s="79">
        <f>'Tire Load Cases'!D39</f>
        <v>-363.65269999999998</v>
      </c>
      <c r="G22" s="2">
        <f>'Tire Load Cases'!K39</f>
        <v>467.55239999999998</v>
      </c>
      <c r="H22" s="2">
        <f>'Tire Load Cases'!K9</f>
        <v>0</v>
      </c>
      <c r="I22" s="9" t="s">
        <v>198</v>
      </c>
      <c r="J22" s="82" t="s">
        <v>198</v>
      </c>
    </row>
    <row r="23" spans="1:10" x14ac:dyDescent="0.35">
      <c r="A23" s="168"/>
      <c r="B23" s="15" t="s">
        <v>197</v>
      </c>
      <c r="C23" s="88">
        <f>-'Tire Load Cases'!D10</f>
        <v>178.75</v>
      </c>
      <c r="D23" s="79">
        <f>-'Tire Load Cases'!D20</f>
        <v>219.69980000000001</v>
      </c>
      <c r="E23" s="79">
        <f>-'Tire Load Cases'!D30</f>
        <v>316.25900000000001</v>
      </c>
      <c r="F23" s="79">
        <f>-'Tire Load Cases'!D40</f>
        <v>224.45920000000001</v>
      </c>
      <c r="G23" s="79">
        <f>-'Tire Load Cases'!K40</f>
        <v>293.7122</v>
      </c>
      <c r="H23" s="79">
        <f>-'Tire Load Cases'!K10</f>
        <v>893.75</v>
      </c>
      <c r="I23" s="9" t="s">
        <v>198</v>
      </c>
      <c r="J23" s="82" t="s">
        <v>198</v>
      </c>
    </row>
    <row r="24" spans="1:10" x14ac:dyDescent="0.35">
      <c r="A24" s="168"/>
      <c r="B24" s="16" t="s">
        <v>209</v>
      </c>
      <c r="C24" s="12">
        <v>11.7758</v>
      </c>
      <c r="D24" s="7">
        <v>159.3441</v>
      </c>
      <c r="E24" s="7">
        <v>-182.7869</v>
      </c>
      <c r="F24" s="7">
        <v>-197.83240000000001</v>
      </c>
      <c r="G24" s="7">
        <v>292.71660000000003</v>
      </c>
      <c r="H24" s="7">
        <v>58.878900000000002</v>
      </c>
      <c r="I24" s="27">
        <f t="shared" ref="I24:I29" si="4">IF(MIN(C24:H24)&lt;0, MIN(C24:H24), 0)</f>
        <v>-197.83240000000001</v>
      </c>
      <c r="J24" s="83">
        <f t="shared" ref="J24:J29" si="5">IF(MAX(C24:H24)&gt;0, MAX(C24:H24), 0)</f>
        <v>292.71660000000003</v>
      </c>
    </row>
    <row r="25" spans="1:10" x14ac:dyDescent="0.35">
      <c r="A25" s="168"/>
      <c r="B25" s="16" t="s">
        <v>202</v>
      </c>
      <c r="C25" s="12">
        <v>-15.463699999999999</v>
      </c>
      <c r="D25" s="7">
        <v>-776.48180000000002</v>
      </c>
      <c r="E25" s="7">
        <v>1037.3034</v>
      </c>
      <c r="F25" s="7">
        <v>-55.850999999999999</v>
      </c>
      <c r="G25" s="7">
        <v>21.433199999999999</v>
      </c>
      <c r="H25" s="7">
        <v>-77.318600000000004</v>
      </c>
      <c r="I25" s="27">
        <f t="shared" si="4"/>
        <v>-776.48180000000002</v>
      </c>
      <c r="J25" s="83">
        <f t="shared" si="5"/>
        <v>1037.3034</v>
      </c>
    </row>
    <row r="26" spans="1:10" x14ac:dyDescent="0.35">
      <c r="A26" s="168"/>
      <c r="B26" s="16" t="s">
        <v>203</v>
      </c>
      <c r="C26" s="12">
        <v>61.699100000000001</v>
      </c>
      <c r="D26" s="7">
        <v>640.56600000000003</v>
      </c>
      <c r="E26" s="7">
        <v>-684.59130000000005</v>
      </c>
      <c r="F26" s="7">
        <v>-36.592399999999998</v>
      </c>
      <c r="G26" s="7">
        <v>248.04050000000001</v>
      </c>
      <c r="H26" s="7">
        <v>308.4957</v>
      </c>
      <c r="I26" s="27">
        <f t="shared" si="4"/>
        <v>-684.59130000000005</v>
      </c>
      <c r="J26" s="83">
        <f t="shared" si="5"/>
        <v>640.56600000000003</v>
      </c>
    </row>
    <row r="27" spans="1:10" x14ac:dyDescent="0.35">
      <c r="A27" s="168"/>
      <c r="B27" s="16" t="s">
        <v>204</v>
      </c>
      <c r="C27" s="12">
        <v>110.0458</v>
      </c>
      <c r="D27" s="7">
        <v>404.29629999999997</v>
      </c>
      <c r="E27" s="7">
        <v>-183.4451</v>
      </c>
      <c r="F27" s="7">
        <v>214.98869999999999</v>
      </c>
      <c r="G27" s="7">
        <v>82.075299999999999</v>
      </c>
      <c r="H27" s="7">
        <v>550.22889999999995</v>
      </c>
      <c r="I27" s="27">
        <f t="shared" si="4"/>
        <v>-183.4451</v>
      </c>
      <c r="J27" s="83">
        <f t="shared" si="5"/>
        <v>550.22889999999995</v>
      </c>
    </row>
    <row r="28" spans="1:10" x14ac:dyDescent="0.35">
      <c r="A28" s="168"/>
      <c r="B28" s="16" t="s">
        <v>205</v>
      </c>
      <c r="C28" s="12">
        <v>187.98750000000001</v>
      </c>
      <c r="D28" s="7">
        <v>-172.00880000000001</v>
      </c>
      <c r="E28" s="7">
        <v>899.1232</v>
      </c>
      <c r="F28" s="7">
        <v>553.92539999999997</v>
      </c>
      <c r="G28" s="7">
        <v>-99.793999999999997</v>
      </c>
      <c r="H28" s="7">
        <v>939.93730000000005</v>
      </c>
      <c r="I28" s="27">
        <f t="shared" si="4"/>
        <v>-172.00880000000001</v>
      </c>
      <c r="J28" s="83">
        <f t="shared" si="5"/>
        <v>939.93730000000005</v>
      </c>
    </row>
    <row r="29" spans="1:10" ht="15" thickBot="1" x14ac:dyDescent="0.4">
      <c r="A29" s="169"/>
      <c r="B29" s="17" t="s">
        <v>206</v>
      </c>
      <c r="C29" s="43">
        <v>-323.37279999999998</v>
      </c>
      <c r="D29" s="44">
        <v>-310.43520000000001</v>
      </c>
      <c r="E29" s="44">
        <v>-694.44619999999998</v>
      </c>
      <c r="F29" s="44">
        <v>-38.807099999999998</v>
      </c>
      <c r="G29" s="44">
        <v>-1003.5352</v>
      </c>
      <c r="H29" s="7">
        <v>-1616.8639000000001</v>
      </c>
      <c r="I29" s="80">
        <f t="shared" si="4"/>
        <v>-1616.8639000000001</v>
      </c>
      <c r="J29" s="83">
        <f t="shared" si="5"/>
        <v>0</v>
      </c>
    </row>
    <row r="30" spans="1:10" x14ac:dyDescent="0.35">
      <c r="A30" s="167" t="s">
        <v>210</v>
      </c>
      <c r="B30" s="14" t="s">
        <v>197</v>
      </c>
      <c r="C30" s="89">
        <f>-'Tire Load Cases'!F8</f>
        <v>0</v>
      </c>
      <c r="D30" s="1">
        <f>-'Tire Load Cases'!F18</f>
        <v>-356.43650000000002</v>
      </c>
      <c r="E30" s="1">
        <f>-'Tire Load Cases'!F28</f>
        <v>500.9862</v>
      </c>
      <c r="F30" s="1">
        <f>-'Tire Load Cases'!F38</f>
        <v>0</v>
      </c>
      <c r="G30" s="1">
        <f>-'Tire Load Cases'!M38</f>
        <v>0</v>
      </c>
      <c r="H30" s="1">
        <f>-'Tire Load Cases'!M8</f>
        <v>0</v>
      </c>
      <c r="I30" s="10" t="s">
        <v>198</v>
      </c>
      <c r="J30" s="81" t="s">
        <v>198</v>
      </c>
    </row>
    <row r="31" spans="1:10" x14ac:dyDescent="0.35">
      <c r="A31" s="168"/>
      <c r="B31" s="15" t="s">
        <v>199</v>
      </c>
      <c r="C31" s="90">
        <f>'Tire Load Cases'!F9</f>
        <v>0</v>
      </c>
      <c r="D31" s="2">
        <f>'Tire Load Cases'!F19</f>
        <v>0</v>
      </c>
      <c r="E31" s="2">
        <f>'Tire Load Cases'!F29</f>
        <v>0</v>
      </c>
      <c r="F31" s="2">
        <f>'Tire Load Cases'!F39</f>
        <v>-1161.9992999999999</v>
      </c>
      <c r="G31" s="2">
        <f>'Tire Load Cases'!M39</f>
        <v>111.7771</v>
      </c>
      <c r="H31" s="2">
        <f>'Tire Load Cases'!M9</f>
        <v>0</v>
      </c>
      <c r="I31" s="9" t="s">
        <v>198</v>
      </c>
      <c r="J31" s="82" t="s">
        <v>198</v>
      </c>
    </row>
    <row r="32" spans="1:10" x14ac:dyDescent="0.35">
      <c r="A32" s="168"/>
      <c r="B32" s="15" t="s">
        <v>197</v>
      </c>
      <c r="C32" s="88">
        <f>-'Tire Load Cases'!F10</f>
        <v>178.75</v>
      </c>
      <c r="D32" s="79">
        <f>-'Tire Load Cases'!F20</f>
        <v>219.69980000000001</v>
      </c>
      <c r="E32" s="79">
        <f>-'Tire Load Cases'!F30</f>
        <v>316.25900000000001</v>
      </c>
      <c r="F32" s="79">
        <f>-'Tire Load Cases'!F40</f>
        <v>780.28</v>
      </c>
      <c r="G32" s="79">
        <f>-'Tire Load Cases'!M40</f>
        <v>63.787799999999997</v>
      </c>
      <c r="H32" s="79">
        <f>-'Tire Load Cases'!M10</f>
        <v>893.75</v>
      </c>
      <c r="I32" s="9" t="s">
        <v>198</v>
      </c>
      <c r="J32" s="82" t="s">
        <v>198</v>
      </c>
    </row>
    <row r="33" spans="1:10" x14ac:dyDescent="0.35">
      <c r="A33" s="168"/>
      <c r="B33" s="16" t="s">
        <v>209</v>
      </c>
      <c r="C33" s="12">
        <v>11.7758</v>
      </c>
      <c r="D33" s="7">
        <v>159.3441</v>
      </c>
      <c r="E33" s="7">
        <v>-182.7869</v>
      </c>
      <c r="F33" s="7">
        <v>730.79830000000004</v>
      </c>
      <c r="G33" s="7">
        <v>-61.151299999999999</v>
      </c>
      <c r="H33" s="7">
        <v>58.878900000000002</v>
      </c>
      <c r="I33" s="27">
        <f t="shared" ref="I33:I38" si="6">IF(MIN(C33:H33)&lt;0, MIN(C33:H33), 0)</f>
        <v>-182.7869</v>
      </c>
      <c r="J33" s="83">
        <f t="shared" ref="J33:J38" si="7">IF(MAX(C33:H33)&gt;0, MAX(C33:H33), 0)</f>
        <v>730.79830000000004</v>
      </c>
    </row>
    <row r="34" spans="1:10" x14ac:dyDescent="0.35">
      <c r="A34" s="168"/>
      <c r="B34" s="16" t="s">
        <v>202</v>
      </c>
      <c r="C34" s="12">
        <v>-15.463699999999999</v>
      </c>
      <c r="D34" s="7">
        <v>-776.48180000000002</v>
      </c>
      <c r="E34" s="7">
        <v>1037.3034</v>
      </c>
      <c r="F34" s="7">
        <v>48.914099999999998</v>
      </c>
      <c r="G34" s="7">
        <v>-16.716799999999999</v>
      </c>
      <c r="H34" s="7">
        <v>-77.318600000000004</v>
      </c>
      <c r="I34" s="27">
        <f t="shared" si="6"/>
        <v>-776.48180000000002</v>
      </c>
      <c r="J34" s="83">
        <f t="shared" si="7"/>
        <v>1037.3034</v>
      </c>
    </row>
    <row r="35" spans="1:10" x14ac:dyDescent="0.35">
      <c r="A35" s="168"/>
      <c r="B35" s="16" t="s">
        <v>203</v>
      </c>
      <c r="C35" s="12">
        <v>61.699100000000001</v>
      </c>
      <c r="D35" s="7">
        <v>640.56600000000003</v>
      </c>
      <c r="E35" s="7">
        <v>-684.59130000000005</v>
      </c>
      <c r="F35" s="7">
        <v>633.82029999999997</v>
      </c>
      <c r="G35" s="7">
        <v>-13.0441</v>
      </c>
      <c r="H35" s="7">
        <v>308.4957</v>
      </c>
      <c r="I35" s="27">
        <f t="shared" si="6"/>
        <v>-684.59130000000005</v>
      </c>
      <c r="J35" s="83">
        <f t="shared" si="7"/>
        <v>640.56600000000003</v>
      </c>
    </row>
    <row r="36" spans="1:10" x14ac:dyDescent="0.35">
      <c r="A36" s="168"/>
      <c r="B36" s="16" t="s">
        <v>204</v>
      </c>
      <c r="C36" s="12">
        <v>110.0458</v>
      </c>
      <c r="D36" s="7">
        <v>404.29629999999997</v>
      </c>
      <c r="E36" s="7">
        <v>-183.4451</v>
      </c>
      <c r="F36" s="7">
        <v>234.96090000000001</v>
      </c>
      <c r="G36" s="7">
        <v>62.877400000000002</v>
      </c>
      <c r="H36" s="7">
        <v>550.22889999999995</v>
      </c>
      <c r="I36" s="27">
        <f t="shared" si="6"/>
        <v>-183.4451</v>
      </c>
      <c r="J36" s="83">
        <f t="shared" si="7"/>
        <v>550.22889999999995</v>
      </c>
    </row>
    <row r="37" spans="1:10" x14ac:dyDescent="0.35">
      <c r="A37" s="168"/>
      <c r="B37" s="16" t="s">
        <v>205</v>
      </c>
      <c r="C37" s="12">
        <v>187.98750000000001</v>
      </c>
      <c r="D37" s="7">
        <v>-172.00880000000001</v>
      </c>
      <c r="E37" s="7">
        <v>899.1232</v>
      </c>
      <c r="F37" s="7">
        <v>-195.09299999999999</v>
      </c>
      <c r="G37" s="7">
        <v>164.78790000000001</v>
      </c>
      <c r="H37" s="7">
        <v>939.93730000000005</v>
      </c>
      <c r="I37" s="27">
        <f t="shared" si="6"/>
        <v>-195.09299999999999</v>
      </c>
      <c r="J37" s="83">
        <f t="shared" si="7"/>
        <v>939.93730000000005</v>
      </c>
    </row>
    <row r="38" spans="1:10" ht="15" thickBot="1" x14ac:dyDescent="0.4">
      <c r="A38" s="169"/>
      <c r="B38" s="17" t="s">
        <v>206</v>
      </c>
      <c r="C38" s="45">
        <v>-323.37279999999998</v>
      </c>
      <c r="D38" s="8">
        <v>-310.43520000000001</v>
      </c>
      <c r="E38" s="8">
        <v>-694.44619999999998</v>
      </c>
      <c r="F38" s="8">
        <v>-2585.1048000000001</v>
      </c>
      <c r="G38" s="8">
        <v>-2.5121000000000002</v>
      </c>
      <c r="H38" s="8">
        <v>-1616.8639000000001</v>
      </c>
      <c r="I38" s="80">
        <f t="shared" si="6"/>
        <v>-2585.1048000000001</v>
      </c>
      <c r="J38" s="84">
        <f t="shared" si="7"/>
        <v>0</v>
      </c>
    </row>
    <row r="39" spans="1:10" x14ac:dyDescent="0.35">
      <c r="A39" t="s">
        <v>211</v>
      </c>
    </row>
    <row r="41" spans="1:10" x14ac:dyDescent="0.35">
      <c r="A41" s="46" t="s">
        <v>119</v>
      </c>
    </row>
    <row r="42" spans="1:10" x14ac:dyDescent="0.35">
      <c r="A42" t="s">
        <v>212</v>
      </c>
    </row>
    <row r="57" spans="1:1" x14ac:dyDescent="0.35">
      <c r="A57" t="s">
        <v>213</v>
      </c>
    </row>
    <row r="75" spans="1:1" x14ac:dyDescent="0.35">
      <c r="A75" s="46" t="s">
        <v>120</v>
      </c>
    </row>
    <row r="76" spans="1:1" x14ac:dyDescent="0.35">
      <c r="A76" t="s">
        <v>212</v>
      </c>
    </row>
    <row r="91" spans="1:1" x14ac:dyDescent="0.35">
      <c r="A91" t="s">
        <v>213</v>
      </c>
    </row>
    <row r="107" spans="1:1" x14ac:dyDescent="0.35">
      <c r="A107" s="46" t="s">
        <v>121</v>
      </c>
    </row>
    <row r="108" spans="1:1" x14ac:dyDescent="0.35">
      <c r="A108" t="s">
        <v>212</v>
      </c>
    </row>
    <row r="121" spans="1:1" x14ac:dyDescent="0.35">
      <c r="A121" t="s">
        <v>213</v>
      </c>
    </row>
  </sheetData>
  <mergeCells count="6">
    <mergeCell ref="A30:A38"/>
    <mergeCell ref="A1:A2"/>
    <mergeCell ref="B1:B2"/>
    <mergeCell ref="A3:A11"/>
    <mergeCell ref="A12:A20"/>
    <mergeCell ref="A21:A29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49A42-C931-4C39-8764-CC0C4EF67E2F}">
  <dimension ref="A1:Y17"/>
  <sheetViews>
    <sheetView topLeftCell="C1" workbookViewId="0">
      <selection activeCell="R14" sqref="R14"/>
    </sheetView>
  </sheetViews>
  <sheetFormatPr defaultRowHeight="14.5" x14ac:dyDescent="0.35"/>
  <cols>
    <col min="2" max="2" width="14.1796875" customWidth="1"/>
    <col min="3" max="3" width="17" customWidth="1"/>
    <col min="4" max="4" width="15.54296875" customWidth="1"/>
    <col min="7" max="7" width="14.7265625" customWidth="1"/>
    <col min="14" max="14" width="11.453125" bestFit="1" customWidth="1"/>
    <col min="15" max="15" width="19" customWidth="1"/>
    <col min="16" max="16" width="18.453125" customWidth="1"/>
    <col min="18" max="18" width="12.453125" customWidth="1"/>
    <col min="22" max="22" width="23.453125" customWidth="1"/>
  </cols>
  <sheetData>
    <row r="1" spans="1:25" ht="43.9" customHeight="1" thickBot="1" x14ac:dyDescent="0.4">
      <c r="A1" s="4" t="s">
        <v>187</v>
      </c>
      <c r="B1" s="5" t="s">
        <v>188</v>
      </c>
      <c r="C1" s="5" t="s">
        <v>214</v>
      </c>
      <c r="D1" s="5" t="s">
        <v>215</v>
      </c>
      <c r="E1" s="5" t="s">
        <v>216</v>
      </c>
      <c r="F1" s="5" t="s">
        <v>217</v>
      </c>
      <c r="G1" s="5" t="s">
        <v>218</v>
      </c>
      <c r="H1" s="5" t="s">
        <v>219</v>
      </c>
      <c r="I1" s="5" t="s">
        <v>220</v>
      </c>
      <c r="J1" s="5" t="s">
        <v>221</v>
      </c>
      <c r="K1" s="5" t="s">
        <v>222</v>
      </c>
      <c r="L1" s="5" t="s">
        <v>223</v>
      </c>
      <c r="M1" s="157" t="s">
        <v>224</v>
      </c>
      <c r="N1" s="5" t="s">
        <v>225</v>
      </c>
      <c r="O1" s="5" t="s">
        <v>226</v>
      </c>
      <c r="P1" s="5" t="s">
        <v>227</v>
      </c>
      <c r="Q1" s="5" t="s">
        <v>228</v>
      </c>
      <c r="R1" s="5" t="s">
        <v>229</v>
      </c>
      <c r="S1" s="5" t="s">
        <v>230</v>
      </c>
      <c r="T1" s="5" t="s">
        <v>231</v>
      </c>
      <c r="U1" s="28" t="s">
        <v>232</v>
      </c>
    </row>
    <row r="2" spans="1:25" ht="15" thickBot="1" x14ac:dyDescent="0.4">
      <c r="A2" s="181" t="s">
        <v>212</v>
      </c>
      <c r="B2" s="23" t="s">
        <v>201</v>
      </c>
      <c r="C2" s="19">
        <f>MAX(ABS('Geo Forces'!I6),ABS('Geo Forces'!I15))</f>
        <v>342.7405</v>
      </c>
      <c r="D2" s="19">
        <f>MAX(ABS('Geo Forces'!J6),ABS('Geo Forces'!J15))</f>
        <v>366.1712</v>
      </c>
      <c r="E2" s="19">
        <v>10.1089</v>
      </c>
      <c r="F2" s="29">
        <f>7/16</f>
        <v>0.4375</v>
      </c>
      <c r="G2" s="29">
        <f>0.12</f>
        <v>0.12</v>
      </c>
      <c r="H2" s="7">
        <f>PI()*((F2/2)^2-(F2/2-G2)^2)</f>
        <v>0.1196946801017711</v>
      </c>
      <c r="I2" s="7">
        <f>H2*E2</f>
        <v>1.2099815516807939</v>
      </c>
      <c r="J2" s="31">
        <f t="shared" ref="J2:J13" si="0">I2*$W$4</f>
        <v>0.34315076805667316</v>
      </c>
      <c r="K2" s="30">
        <f>PI()*(F2^4-(F2-(2*G2))^4)/64</f>
        <v>1.7236969049343337E-3</v>
      </c>
      <c r="L2" s="42">
        <f t="shared" ref="L2:L13" si="1">0.282*SQRT($W$6*1000*H2/C2)</f>
        <v>28.735665419069068</v>
      </c>
      <c r="M2" s="26">
        <f t="shared" ref="M2:M13" si="2">SQRT(2*PI()^2*U2*$W$6*1000/C2)</f>
        <v>1308.5779450708246</v>
      </c>
      <c r="N2" s="30">
        <f>E2/SQRT(K2/H2)</f>
        <v>84.238548247457686</v>
      </c>
      <c r="O2" s="30">
        <f t="shared" ref="O2:O13" si="3">H2*($W$5-($W$5*E2/(2*PI()*SQRT(K2/H2))^2/(U2*$W$6*1000)))</f>
        <v>7985.708167041229</v>
      </c>
      <c r="P2" s="30">
        <f>U2*PI()^2*$W$6*1000*K2/E2^2</f>
        <v>4949.8008286878667</v>
      </c>
      <c r="Q2" s="26">
        <f>H2*$W$5</f>
        <v>7985.7129427400187</v>
      </c>
      <c r="R2" s="144">
        <f>MIN(ABS(P2/C2),ABS(Q2/C2),ABS(Q2/D2))</f>
        <v>14.441832315375239</v>
      </c>
      <c r="S2" s="26">
        <f>$W$7/(MAX(C3:D3)/H3)</f>
        <v>2.6103646672039709</v>
      </c>
      <c r="T2" s="21" t="s">
        <v>233</v>
      </c>
      <c r="U2" s="96">
        <v>1</v>
      </c>
      <c r="V2" s="3"/>
      <c r="W2" s="3"/>
      <c r="X2" s="3"/>
    </row>
    <row r="3" spans="1:25" ht="15" thickBot="1" x14ac:dyDescent="0.4">
      <c r="A3" s="182"/>
      <c r="B3" s="24" t="s">
        <v>202</v>
      </c>
      <c r="C3" s="20">
        <f>MAX(ABS('Geo Forces'!I7),ABS('Geo Forces'!I16))</f>
        <v>123.18819999999999</v>
      </c>
      <c r="D3" s="20">
        <f>MAX(ABS('Geo Forces'!J7),ABS('Geo Forces'!J16))</f>
        <v>2430.7599</v>
      </c>
      <c r="E3" s="20">
        <v>11.1532</v>
      </c>
      <c r="F3" s="29">
        <f t="shared" ref="F3:F13" si="4">7/16</f>
        <v>0.4375</v>
      </c>
      <c r="G3" s="29">
        <f t="shared" ref="G3:G13" si="5">0.12</f>
        <v>0.12</v>
      </c>
      <c r="H3" s="7">
        <f t="shared" ref="H3:H13" si="6">PI()*((F3/2)^2-(F3/2-G3)^2)</f>
        <v>0.1196946801017711</v>
      </c>
      <c r="I3" s="7">
        <f t="shared" ref="I3:I13" si="7">H3*E3</f>
        <v>1.3349787061110734</v>
      </c>
      <c r="J3" s="31">
        <f t="shared" si="0"/>
        <v>0.37859996105310045</v>
      </c>
      <c r="K3" s="30">
        <f t="shared" ref="K3:K13" si="8">PI()*(F3^4-(F3-(2*G3))^4)/64</f>
        <v>1.7236969049343337E-3</v>
      </c>
      <c r="L3" s="42">
        <f t="shared" si="1"/>
        <v>47.931323006038404</v>
      </c>
      <c r="M3" s="26">
        <f t="shared" si="2"/>
        <v>3086.8302848685307</v>
      </c>
      <c r="N3" s="30">
        <f t="shared" ref="N3:N13" si="9">E3/SQRT(K3/H3)</f>
        <v>92.940812186641963</v>
      </c>
      <c r="O3" s="30">
        <f t="shared" si="3"/>
        <v>7985.7103082138219</v>
      </c>
      <c r="P3" s="30">
        <f>U3*PI()^2*$W$6*1000*K3/E3^2</f>
        <v>8132.5462231418469</v>
      </c>
      <c r="Q3" s="26">
        <f t="shared" ref="Q3:Q13" si="10">H3*$W$5</f>
        <v>7985.7129427400187</v>
      </c>
      <c r="R3" s="144">
        <f t="shared" ref="R3:R12" si="11">MIN(ABS(P3/C3),ABS(Q3/C3),ABS(Q3/D3))</f>
        <v>3.2852742645376116</v>
      </c>
      <c r="S3" s="26">
        <f t="shared" ref="S3:S12" si="12">$W$7/(MAX(C4:D4)/H4)</f>
        <v>3.2409779397801328</v>
      </c>
      <c r="T3" s="19" t="s">
        <v>234</v>
      </c>
      <c r="U3" s="32">
        <v>2</v>
      </c>
      <c r="V3" s="178" t="s">
        <v>235</v>
      </c>
      <c r="W3" s="179"/>
      <c r="X3" s="180"/>
    </row>
    <row r="4" spans="1:25" ht="15" thickBot="1" x14ac:dyDescent="0.4">
      <c r="A4" s="182"/>
      <c r="B4" s="24" t="s">
        <v>203</v>
      </c>
      <c r="C4" s="20">
        <f>MAX(ABS('Geo Forces'!I8),ABS('Geo Forces'!I17))</f>
        <v>1002.5725</v>
      </c>
      <c r="D4" s="20">
        <f>MAX(ABS('Geo Forces'!J8),ABS('Geo Forces'!J17))</f>
        <v>1957.7947999999999</v>
      </c>
      <c r="E4" s="20">
        <v>11.0952</v>
      </c>
      <c r="F4" s="29">
        <f t="shared" si="4"/>
        <v>0.4375</v>
      </c>
      <c r="G4" s="29">
        <f t="shared" si="5"/>
        <v>0.12</v>
      </c>
      <c r="H4" s="7">
        <f t="shared" si="6"/>
        <v>0.1196946801017711</v>
      </c>
      <c r="I4" s="7">
        <f t="shared" si="7"/>
        <v>1.3280364146651709</v>
      </c>
      <c r="J4" s="31">
        <f t="shared" si="0"/>
        <v>0.37663112719904246</v>
      </c>
      <c r="K4" s="30">
        <f t="shared" si="8"/>
        <v>1.7236969049343337E-3</v>
      </c>
      <c r="L4" s="42">
        <f t="shared" si="1"/>
        <v>16.801423440689888</v>
      </c>
      <c r="M4" s="26">
        <f t="shared" si="2"/>
        <v>1082.0302769253385</v>
      </c>
      <c r="N4" s="30">
        <f t="shared" si="9"/>
        <v>92.45749196403095</v>
      </c>
      <c r="O4" s="30">
        <f>H4*($W$5-($W$5*E4/(2*PI()*SQRT(K4/H4))^2/(U4*$W$6*1000)))</f>
        <v>7985.7103219141509</v>
      </c>
      <c r="P4" s="30">
        <f>U4*PI()^2*$W$6*1000*K4/E4^2</f>
        <v>8217.7939971810301</v>
      </c>
      <c r="Q4" s="26">
        <f t="shared" si="10"/>
        <v>7985.7129427400187</v>
      </c>
      <c r="R4" s="144">
        <f t="shared" si="11"/>
        <v>4.078932553472927</v>
      </c>
      <c r="S4" s="26">
        <f t="shared" si="12"/>
        <v>6.0752669119524034</v>
      </c>
      <c r="T4" s="19" t="s">
        <v>234</v>
      </c>
      <c r="U4" s="32">
        <v>2</v>
      </c>
      <c r="V4" s="33" t="s">
        <v>236</v>
      </c>
      <c r="W4" s="34">
        <v>0.28360000000000002</v>
      </c>
      <c r="X4" s="35" t="s">
        <v>237</v>
      </c>
    </row>
    <row r="5" spans="1:25" ht="15" thickBot="1" x14ac:dyDescent="0.4">
      <c r="A5" s="182"/>
      <c r="B5" s="24" t="s">
        <v>204</v>
      </c>
      <c r="C5" s="20">
        <f>MAX(ABS('Geo Forces'!I9),ABS('Geo Forces'!I18))</f>
        <v>1044.4265</v>
      </c>
      <c r="D5" s="20">
        <f>MAX(ABS('Geo Forces'!J9),ABS('Geo Forces'!J18))</f>
        <v>225.43979999999999</v>
      </c>
      <c r="E5" s="20">
        <v>9.9745000000000008</v>
      </c>
      <c r="F5" s="29">
        <f t="shared" si="4"/>
        <v>0.4375</v>
      </c>
      <c r="G5" s="29">
        <f t="shared" si="5"/>
        <v>0.12</v>
      </c>
      <c r="H5" s="7">
        <f t="shared" si="6"/>
        <v>0.1196946801017711</v>
      </c>
      <c r="I5" s="7">
        <f t="shared" si="7"/>
        <v>1.1938945866751161</v>
      </c>
      <c r="J5" s="31">
        <f t="shared" si="0"/>
        <v>0.33858850478106295</v>
      </c>
      <c r="K5" s="30">
        <f t="shared" si="8"/>
        <v>1.7236969049343337E-3</v>
      </c>
      <c r="L5" s="42">
        <f t="shared" si="1"/>
        <v>16.461334122345658</v>
      </c>
      <c r="M5" s="26">
        <f t="shared" si="2"/>
        <v>1060.1281481797371</v>
      </c>
      <c r="N5" s="30">
        <f t="shared" si="9"/>
        <v>83.118578628165935</v>
      </c>
      <c r="O5" s="30">
        <f t="shared" si="3"/>
        <v>7985.7105866375941</v>
      </c>
      <c r="P5" s="30">
        <f t="shared" ref="P5:P13" si="13">U5*PI()^2*$W$6*1000*K5/E5^2</f>
        <v>10168.180598481</v>
      </c>
      <c r="Q5" s="26">
        <f t="shared" si="10"/>
        <v>7985.7129427400187</v>
      </c>
      <c r="R5" s="144">
        <f t="shared" si="11"/>
        <v>7.6460267359551084</v>
      </c>
      <c r="S5" s="26">
        <f t="shared" si="12"/>
        <v>7.708234612966784</v>
      </c>
      <c r="T5" s="19" t="s">
        <v>234</v>
      </c>
      <c r="U5" s="32">
        <v>2</v>
      </c>
      <c r="V5" s="33" t="s">
        <v>238</v>
      </c>
      <c r="W5" s="34">
        <v>66717.358999999997</v>
      </c>
      <c r="X5" s="35" t="s">
        <v>239</v>
      </c>
    </row>
    <row r="6" spans="1:25" ht="15" thickBot="1" x14ac:dyDescent="0.4">
      <c r="A6" s="182"/>
      <c r="B6" s="24" t="s">
        <v>205</v>
      </c>
      <c r="C6" s="20">
        <f>MAX(ABS('Geo Forces'!I10),ABS('Geo Forces'!I19))</f>
        <v>823.16769999999997</v>
      </c>
      <c r="D6" s="20">
        <f>MAX(ABS('Geo Forces'!J10),ABS('Geo Forces'!J19))</f>
        <v>504.50639999999999</v>
      </c>
      <c r="E6" s="20">
        <v>10.076599999999999</v>
      </c>
      <c r="F6" s="29">
        <f t="shared" si="4"/>
        <v>0.4375</v>
      </c>
      <c r="G6" s="29">
        <f t="shared" si="5"/>
        <v>0.12</v>
      </c>
      <c r="H6" s="7">
        <f t="shared" si="6"/>
        <v>0.1196946801017711</v>
      </c>
      <c r="I6" s="7">
        <f t="shared" si="7"/>
        <v>1.2061154135135066</v>
      </c>
      <c r="J6" s="31">
        <f t="shared" si="0"/>
        <v>0.34205433127243051</v>
      </c>
      <c r="K6" s="30">
        <f t="shared" si="8"/>
        <v>1.7236969049343337E-3</v>
      </c>
      <c r="L6" s="42">
        <f t="shared" si="1"/>
        <v>18.54213807941801</v>
      </c>
      <c r="M6" s="26">
        <f t="shared" si="2"/>
        <v>1194.134227476902</v>
      </c>
      <c r="N6" s="30">
        <f t="shared" si="9"/>
        <v>83.969388882107054</v>
      </c>
      <c r="O6" s="30">
        <f t="shared" si="3"/>
        <v>7985.7105625202894</v>
      </c>
      <c r="P6" s="30">
        <f t="shared" si="13"/>
        <v>9963.1686572944727</v>
      </c>
      <c r="Q6" s="26">
        <f t="shared" si="10"/>
        <v>7985.7129427400187</v>
      </c>
      <c r="R6" s="144">
        <f t="shared" si="11"/>
        <v>9.7011981188523535</v>
      </c>
      <c r="S6" s="26">
        <f t="shared" si="12"/>
        <v>2.0842515562295025</v>
      </c>
      <c r="T6" s="19" t="s">
        <v>234</v>
      </c>
      <c r="U6" s="32">
        <v>2</v>
      </c>
      <c r="V6" s="33" t="s">
        <v>240</v>
      </c>
      <c r="W6" s="34">
        <v>29732.736199999999</v>
      </c>
      <c r="X6" s="35" t="s">
        <v>241</v>
      </c>
    </row>
    <row r="7" spans="1:25" ht="15" thickBot="1" x14ac:dyDescent="0.4">
      <c r="A7" s="183"/>
      <c r="B7" s="91" t="s">
        <v>206</v>
      </c>
      <c r="C7" s="21">
        <f>MAX(ABS('Geo Forces'!I11),ABS('Geo Forces'!I20))</f>
        <v>3044.3397</v>
      </c>
      <c r="D7" s="21">
        <f>MAX(ABS('Geo Forces'!J11),ABS('Geo Forces'!J20))</f>
        <v>20.862500000000001</v>
      </c>
      <c r="E7" s="21">
        <v>8.2745999999999995</v>
      </c>
      <c r="F7" s="29">
        <f t="shared" si="4"/>
        <v>0.4375</v>
      </c>
      <c r="G7" s="29">
        <f t="shared" si="5"/>
        <v>0.12</v>
      </c>
      <c r="H7" s="8">
        <f t="shared" si="6"/>
        <v>0.1196946801017711</v>
      </c>
      <c r="I7" s="8">
        <f t="shared" si="7"/>
        <v>0.99042559997011514</v>
      </c>
      <c r="J7" s="92">
        <f t="shared" si="0"/>
        <v>0.28088470015152467</v>
      </c>
      <c r="K7" s="93">
        <f t="shared" si="8"/>
        <v>1.7236969049343337E-3</v>
      </c>
      <c r="L7" s="94">
        <f t="shared" si="1"/>
        <v>9.6417843944052866</v>
      </c>
      <c r="M7" s="95">
        <f t="shared" si="2"/>
        <v>439.07201123222023</v>
      </c>
      <c r="N7" s="93">
        <f t="shared" si="9"/>
        <v>68.953129552019831</v>
      </c>
      <c r="O7" s="93">
        <f t="shared" si="3"/>
        <v>7985.7090336107158</v>
      </c>
      <c r="P7" s="93">
        <f t="shared" si="13"/>
        <v>7387.5682671179993</v>
      </c>
      <c r="Q7" s="143">
        <f t="shared" si="10"/>
        <v>7985.7129427400187</v>
      </c>
      <c r="R7" s="143">
        <f t="shared" si="11"/>
        <v>2.4266570077964689</v>
      </c>
      <c r="S7" s="95">
        <f t="shared" si="12"/>
        <v>8.6825184971232918</v>
      </c>
      <c r="T7" s="21" t="s">
        <v>233</v>
      </c>
      <c r="U7" s="96">
        <v>1</v>
      </c>
      <c r="V7" s="36" t="s">
        <v>230</v>
      </c>
      <c r="W7" s="37">
        <v>53011.292999999998</v>
      </c>
      <c r="X7" s="38" t="s">
        <v>239</v>
      </c>
      <c r="Y7" s="100" t="s">
        <v>242</v>
      </c>
    </row>
    <row r="8" spans="1:25" ht="15" thickBot="1" x14ac:dyDescent="0.4">
      <c r="A8" s="181" t="s">
        <v>213</v>
      </c>
      <c r="B8" s="25" t="s">
        <v>209</v>
      </c>
      <c r="C8" s="22">
        <f>MAX(ABS('Geo Forces'!I24),ABS('Geo Forces'!I33))</f>
        <v>197.83240000000001</v>
      </c>
      <c r="D8" s="22">
        <f>MAX(ABS('Geo Forces'!J24),ABS('Geo Forces'!J33))</f>
        <v>730.79830000000004</v>
      </c>
      <c r="E8" s="22">
        <v>9.6038999999999994</v>
      </c>
      <c r="F8" s="29">
        <f t="shared" si="4"/>
        <v>0.4375</v>
      </c>
      <c r="G8" s="29">
        <f t="shared" si="5"/>
        <v>0.12</v>
      </c>
      <c r="H8" s="39">
        <f t="shared" si="6"/>
        <v>0.1196946801017711</v>
      </c>
      <c r="I8" s="39">
        <f t="shared" si="7"/>
        <v>1.1495357382293994</v>
      </c>
      <c r="J8" s="97">
        <f t="shared" si="0"/>
        <v>0.32600833536185769</v>
      </c>
      <c r="K8" s="39">
        <f t="shared" si="8"/>
        <v>1.7236969049343337E-3</v>
      </c>
      <c r="L8" s="98">
        <f t="shared" si="1"/>
        <v>37.822938058276421</v>
      </c>
      <c r="M8" s="26">
        <f t="shared" si="2"/>
        <v>1722.3983450195633</v>
      </c>
      <c r="N8" s="39">
        <f t="shared" si="9"/>
        <v>80.030329067827239</v>
      </c>
      <c r="O8" s="39">
        <f t="shared" si="3"/>
        <v>7985.7084056159392</v>
      </c>
      <c r="P8" s="39">
        <f t="shared" si="13"/>
        <v>5484.0356098362454</v>
      </c>
      <c r="Q8" s="26">
        <f t="shared" si="10"/>
        <v>7985.7129427400187</v>
      </c>
      <c r="R8" s="144">
        <f t="shared" si="11"/>
        <v>10.927383031323442</v>
      </c>
      <c r="S8" s="26">
        <f t="shared" si="12"/>
        <v>6.1169854040932066</v>
      </c>
      <c r="T8" s="21" t="s">
        <v>233</v>
      </c>
      <c r="U8" s="96">
        <v>1</v>
      </c>
      <c r="V8" s="3"/>
      <c r="W8" s="3"/>
      <c r="X8" s="3"/>
    </row>
    <row r="9" spans="1:25" ht="15" thickBot="1" x14ac:dyDescent="0.4">
      <c r="A9" s="182"/>
      <c r="B9" s="24" t="s">
        <v>202</v>
      </c>
      <c r="C9" s="22">
        <f>MAX(ABS('Geo Forces'!I25),ABS('Geo Forces'!I34))</f>
        <v>776.48180000000002</v>
      </c>
      <c r="D9" s="22">
        <f>MAX(ABS('Geo Forces'!J25),ABS('Geo Forces'!J34))</f>
        <v>1037.3034</v>
      </c>
      <c r="E9" s="20">
        <v>12.9062</v>
      </c>
      <c r="F9" s="29">
        <f t="shared" si="4"/>
        <v>0.4375</v>
      </c>
      <c r="G9" s="29">
        <f t="shared" si="5"/>
        <v>0.12</v>
      </c>
      <c r="H9" s="7">
        <f t="shared" si="6"/>
        <v>0.1196946801017711</v>
      </c>
      <c r="I9" s="7">
        <f t="shared" si="7"/>
        <v>1.5448034803294781</v>
      </c>
      <c r="J9" s="31">
        <f t="shared" si="0"/>
        <v>0.43810626702144001</v>
      </c>
      <c r="K9" s="30">
        <f t="shared" si="8"/>
        <v>1.7236969049343337E-3</v>
      </c>
      <c r="L9" s="98">
        <f t="shared" si="1"/>
        <v>19.091424351824976</v>
      </c>
      <c r="M9" s="26">
        <f t="shared" si="2"/>
        <v>1229.5088717468871</v>
      </c>
      <c r="N9" s="30">
        <f t="shared" si="9"/>
        <v>107.54874925969574</v>
      </c>
      <c r="O9" s="30">
        <f t="shared" si="3"/>
        <v>7985.7098941331624</v>
      </c>
      <c r="P9" s="30">
        <f t="shared" si="13"/>
        <v>6073.3560009410121</v>
      </c>
      <c r="Q9" s="26">
        <f t="shared" si="10"/>
        <v>7985.7129427400187</v>
      </c>
      <c r="R9" s="144">
        <f t="shared" si="11"/>
        <v>7.698531541244364</v>
      </c>
      <c r="S9" s="26">
        <f t="shared" si="12"/>
        <v>9.2685515539216716</v>
      </c>
      <c r="T9" s="19" t="s">
        <v>234</v>
      </c>
      <c r="U9" s="40">
        <v>2</v>
      </c>
      <c r="V9" s="3"/>
      <c r="W9" s="3"/>
      <c r="X9" s="3"/>
    </row>
    <row r="10" spans="1:25" ht="15" thickBot="1" x14ac:dyDescent="0.4">
      <c r="A10" s="182"/>
      <c r="B10" s="24" t="s">
        <v>203</v>
      </c>
      <c r="C10" s="22">
        <f>MAX(ABS('Geo Forces'!I26),ABS('Geo Forces'!I35))</f>
        <v>684.59130000000005</v>
      </c>
      <c r="D10" s="22">
        <f>MAX(ABS('Geo Forces'!J26),ABS('Geo Forces'!J35))</f>
        <v>640.56600000000003</v>
      </c>
      <c r="E10" s="20">
        <v>9.5704999999999991</v>
      </c>
      <c r="F10" s="29">
        <f t="shared" si="4"/>
        <v>0.4375</v>
      </c>
      <c r="G10" s="29">
        <f t="shared" si="5"/>
        <v>0.12</v>
      </c>
      <c r="H10" s="7">
        <f t="shared" si="6"/>
        <v>0.1196946801017711</v>
      </c>
      <c r="I10" s="7">
        <f t="shared" si="7"/>
        <v>1.1455379359140003</v>
      </c>
      <c r="J10" s="31">
        <f t="shared" si="0"/>
        <v>0.32487455862521053</v>
      </c>
      <c r="K10" s="30">
        <f t="shared" si="8"/>
        <v>1.7236969049343337E-3</v>
      </c>
      <c r="L10" s="98">
        <f t="shared" si="1"/>
        <v>20.332383074742001</v>
      </c>
      <c r="M10" s="26">
        <f t="shared" si="2"/>
        <v>1309.4279878474269</v>
      </c>
      <c r="N10" s="30">
        <f t="shared" si="9"/>
        <v>79.75200328446158</v>
      </c>
      <c r="O10" s="30">
        <f t="shared" si="3"/>
        <v>7985.710682067479</v>
      </c>
      <c r="P10" s="30">
        <f t="shared" si="13"/>
        <v>11044.75954543019</v>
      </c>
      <c r="Q10" s="26">
        <f t="shared" si="10"/>
        <v>7985.7129427400187</v>
      </c>
      <c r="R10" s="144">
        <f t="shared" si="11"/>
        <v>11.664934892891596</v>
      </c>
      <c r="S10" s="26">
        <f t="shared" si="12"/>
        <v>11.531872930368175</v>
      </c>
      <c r="T10" s="19" t="s">
        <v>234</v>
      </c>
      <c r="U10" s="40">
        <v>2</v>
      </c>
      <c r="V10" s="3"/>
      <c r="W10" s="3"/>
      <c r="X10" s="3"/>
    </row>
    <row r="11" spans="1:25" ht="15" thickBot="1" x14ac:dyDescent="0.4">
      <c r="A11" s="182"/>
      <c r="B11" s="24" t="s">
        <v>204</v>
      </c>
      <c r="C11" s="22">
        <f>MAX(ABS('Geo Forces'!I27),ABS('Geo Forces'!I36))</f>
        <v>183.4451</v>
      </c>
      <c r="D11" s="22">
        <f>MAX(ABS('Geo Forces'!J27),ABS('Geo Forces'!J36))</f>
        <v>550.22889999999995</v>
      </c>
      <c r="E11" s="20">
        <v>9.6173999999999999</v>
      </c>
      <c r="F11" s="29">
        <f t="shared" si="4"/>
        <v>0.4375</v>
      </c>
      <c r="G11" s="29">
        <f t="shared" si="5"/>
        <v>0.12</v>
      </c>
      <c r="H11" s="7">
        <f t="shared" si="6"/>
        <v>0.1196946801017711</v>
      </c>
      <c r="I11" s="7">
        <f t="shared" si="7"/>
        <v>1.1511516164107733</v>
      </c>
      <c r="J11" s="31">
        <f t="shared" si="0"/>
        <v>0.32646659841409537</v>
      </c>
      <c r="K11" s="30">
        <f t="shared" si="8"/>
        <v>1.7236969049343337E-3</v>
      </c>
      <c r="L11" s="98">
        <f t="shared" si="1"/>
        <v>39.278139968921352</v>
      </c>
      <c r="M11" s="26">
        <f t="shared" si="2"/>
        <v>2529.5557139972343</v>
      </c>
      <c r="N11" s="30">
        <f t="shared" si="9"/>
        <v>80.142826016193595</v>
      </c>
      <c r="O11" s="30">
        <f t="shared" si="3"/>
        <v>7985.7106709891086</v>
      </c>
      <c r="P11" s="30">
        <f t="shared" si="13"/>
        <v>10937.300941044834</v>
      </c>
      <c r="Q11" s="26">
        <f t="shared" si="10"/>
        <v>7985.7129427400187</v>
      </c>
      <c r="R11" s="144">
        <f t="shared" si="11"/>
        <v>14.513437848757162</v>
      </c>
      <c r="S11" s="26">
        <f t="shared" si="12"/>
        <v>6.7506308744383876</v>
      </c>
      <c r="T11" s="19" t="s">
        <v>234</v>
      </c>
      <c r="U11" s="40">
        <v>2</v>
      </c>
      <c r="V11" s="3"/>
      <c r="W11" s="3"/>
      <c r="X11" s="3"/>
    </row>
    <row r="12" spans="1:25" ht="15" thickBot="1" x14ac:dyDescent="0.4">
      <c r="A12" s="182"/>
      <c r="B12" s="24" t="s">
        <v>205</v>
      </c>
      <c r="C12" s="22">
        <f>MAX(ABS('Geo Forces'!I28),ABS('Geo Forces'!I37))</f>
        <v>195.09299999999999</v>
      </c>
      <c r="D12" s="22">
        <f>MAX(ABS('Geo Forces'!J28),ABS('Geo Forces'!J37))</f>
        <v>939.93730000000005</v>
      </c>
      <c r="E12" s="20">
        <v>8.0454000000000008</v>
      </c>
      <c r="F12" s="29">
        <f t="shared" si="4"/>
        <v>0.4375</v>
      </c>
      <c r="G12" s="29">
        <f t="shared" si="5"/>
        <v>0.12</v>
      </c>
      <c r="H12" s="7">
        <f t="shared" si="6"/>
        <v>0.1196946801017711</v>
      </c>
      <c r="I12" s="7">
        <f t="shared" si="7"/>
        <v>0.96299157929078938</v>
      </c>
      <c r="J12" s="31">
        <f t="shared" si="0"/>
        <v>0.2731044118868679</v>
      </c>
      <c r="K12" s="30">
        <f t="shared" si="8"/>
        <v>1.7236969049343337E-3</v>
      </c>
      <c r="L12" s="98">
        <f t="shared" si="1"/>
        <v>38.087557932274784</v>
      </c>
      <c r="M12" s="26">
        <f t="shared" si="2"/>
        <v>2452.880912283998</v>
      </c>
      <c r="N12" s="30">
        <f t="shared" si="9"/>
        <v>67.043181361977673</v>
      </c>
      <c r="O12" s="30">
        <f t="shared" si="3"/>
        <v>7985.7110423152917</v>
      </c>
      <c r="P12" s="30">
        <f t="shared" si="13"/>
        <v>15628.96570492653</v>
      </c>
      <c r="Q12" s="26">
        <f t="shared" si="10"/>
        <v>7985.7129427400187</v>
      </c>
      <c r="R12" s="144">
        <f t="shared" si="11"/>
        <v>8.4960060024642257</v>
      </c>
      <c r="S12" s="26">
        <f t="shared" si="12"/>
        <v>2.4545116149319197</v>
      </c>
      <c r="T12" s="19" t="s">
        <v>234</v>
      </c>
      <c r="U12" s="40">
        <v>2</v>
      </c>
      <c r="V12" s="3"/>
      <c r="W12" s="3"/>
      <c r="X12" s="3"/>
    </row>
    <row r="13" spans="1:25" ht="15" thickBot="1" x14ac:dyDescent="0.4">
      <c r="A13" s="183"/>
      <c r="B13" s="91" t="s">
        <v>206</v>
      </c>
      <c r="C13" s="21">
        <f>MAX(ABS('Geo Forces'!I29),ABS('Geo Forces'!I38))</f>
        <v>2585.1048000000001</v>
      </c>
      <c r="D13" s="21">
        <f>MAX(ABS('Geo Forces'!J29),ABS('Geo Forces'!J38))</f>
        <v>0</v>
      </c>
      <c r="E13" s="21">
        <v>8.9595000000000002</v>
      </c>
      <c r="F13" s="29">
        <f t="shared" si="4"/>
        <v>0.4375</v>
      </c>
      <c r="G13" s="29">
        <f t="shared" si="5"/>
        <v>0.12</v>
      </c>
      <c r="H13" s="8">
        <f t="shared" si="6"/>
        <v>0.1196946801017711</v>
      </c>
      <c r="I13" s="8">
        <f t="shared" si="7"/>
        <v>1.0724044863718183</v>
      </c>
      <c r="J13" s="92">
        <f t="shared" si="0"/>
        <v>0.30413391233504766</v>
      </c>
      <c r="K13" s="93">
        <f t="shared" si="8"/>
        <v>1.7236969049343337E-3</v>
      </c>
      <c r="L13" s="80">
        <f t="shared" si="1"/>
        <v>10.463208854697404</v>
      </c>
      <c r="M13" s="143">
        <f t="shared" si="2"/>
        <v>476.4784160119288</v>
      </c>
      <c r="N13" s="93">
        <f t="shared" si="9"/>
        <v>74.660474732473077</v>
      </c>
      <c r="O13" s="93">
        <f t="shared" si="3"/>
        <v>7985.7087100467179</v>
      </c>
      <c r="P13" s="93">
        <f t="shared" si="13"/>
        <v>6301.2683801833018</v>
      </c>
      <c r="Q13" s="143">
        <f t="shared" si="10"/>
        <v>7985.7129427400187</v>
      </c>
      <c r="R13" s="143">
        <f>MIN(ABS(P13/C13),ABS(Q13/C13))</f>
        <v>2.4375291787719018</v>
      </c>
      <c r="S13" s="95" cm="1">
        <f t="array" ref="S13">$W$7/(MAX(C13:D13/H13))</f>
        <v>2.4545116149319197</v>
      </c>
      <c r="T13" s="21" t="s">
        <v>233</v>
      </c>
      <c r="U13" s="96">
        <v>1</v>
      </c>
      <c r="V13" s="3"/>
      <c r="W13" s="3"/>
      <c r="X13" s="3"/>
    </row>
    <row r="14" spans="1:25" x14ac:dyDescent="0.35">
      <c r="L14" t="s">
        <v>243</v>
      </c>
    </row>
    <row r="16" spans="1:25" x14ac:dyDescent="0.35">
      <c r="R16" s="41"/>
    </row>
    <row r="17" spans="15:15" x14ac:dyDescent="0.35">
      <c r="O17" s="158"/>
    </row>
  </sheetData>
  <mergeCells count="3">
    <mergeCell ref="V3:X3"/>
    <mergeCell ref="A2:A7"/>
    <mergeCell ref="A8:A13"/>
  </mergeCells>
  <conditionalFormatting sqref="R2:S13">
    <cfRule type="cellIs" dxfId="3" priority="1" operator="lessThan">
      <formula>1.5</formula>
    </cfRule>
    <cfRule type="cellIs" dxfId="2" priority="2" operator="greaterThan">
      <formula>1.5</formula>
    </cfRule>
  </conditionalFormatting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65914-6A5F-41AC-8BCC-FF3BE10AE856}">
  <dimension ref="A1:Y16"/>
  <sheetViews>
    <sheetView workbookViewId="0">
      <selection activeCell="F22" sqref="F22"/>
    </sheetView>
  </sheetViews>
  <sheetFormatPr defaultRowHeight="14.5" x14ac:dyDescent="0.35"/>
  <cols>
    <col min="2" max="2" width="14.1796875" customWidth="1"/>
    <col min="3" max="3" width="17" customWidth="1"/>
    <col min="4" max="4" width="15.54296875" customWidth="1"/>
    <col min="7" max="7" width="14.7265625" customWidth="1"/>
    <col min="15" max="15" width="19" customWidth="1"/>
    <col min="16" max="16" width="18.453125" customWidth="1"/>
    <col min="18" max="18" width="12.453125" customWidth="1"/>
    <col min="22" max="22" width="23.453125" customWidth="1"/>
  </cols>
  <sheetData>
    <row r="1" spans="1:25" ht="44" thickBot="1" x14ac:dyDescent="0.4">
      <c r="A1" s="4" t="s">
        <v>187</v>
      </c>
      <c r="B1" s="5" t="s">
        <v>188</v>
      </c>
      <c r="C1" s="5" t="s">
        <v>214</v>
      </c>
      <c r="D1" s="5" t="s">
        <v>215</v>
      </c>
      <c r="E1" s="5" t="s">
        <v>216</v>
      </c>
      <c r="F1" s="5" t="s">
        <v>217</v>
      </c>
      <c r="G1" s="5" t="s">
        <v>218</v>
      </c>
      <c r="H1" s="5" t="s">
        <v>219</v>
      </c>
      <c r="I1" s="5" t="s">
        <v>220</v>
      </c>
      <c r="J1" s="5" t="s">
        <v>221</v>
      </c>
      <c r="K1" s="5" t="s">
        <v>222</v>
      </c>
      <c r="L1" s="5" t="s">
        <v>223</v>
      </c>
      <c r="M1" s="157" t="s">
        <v>224</v>
      </c>
      <c r="N1" s="5" t="s">
        <v>225</v>
      </c>
      <c r="O1" s="5" t="s">
        <v>226</v>
      </c>
      <c r="P1" s="5" t="s">
        <v>227</v>
      </c>
      <c r="Q1" s="5" t="s">
        <v>228</v>
      </c>
      <c r="R1" s="5" t="s">
        <v>229</v>
      </c>
      <c r="S1" s="5" t="s">
        <v>230</v>
      </c>
      <c r="T1" s="5" t="s">
        <v>231</v>
      </c>
      <c r="U1" s="28" t="s">
        <v>232</v>
      </c>
    </row>
    <row r="2" spans="1:25" ht="15" thickBot="1" x14ac:dyDescent="0.4">
      <c r="A2" s="181" t="s">
        <v>212</v>
      </c>
      <c r="B2" s="23" t="s">
        <v>201</v>
      </c>
      <c r="C2" s="19">
        <f>MAX(ABS('Geo Forces'!I6),ABS('Geo Forces'!I15))</f>
        <v>342.7405</v>
      </c>
      <c r="D2" s="19">
        <f>MAX(ABS('Geo Forces'!J6),ABS('Geo Forces'!J15))</f>
        <v>366.1712</v>
      </c>
      <c r="E2" s="19">
        <f>'Steel A-Arm Tube Force Analysis'!E2-1.168</f>
        <v>8.940900000000001</v>
      </c>
      <c r="F2" s="29">
        <v>0.60499999999999998</v>
      </c>
      <c r="G2" s="29">
        <v>5.6500000000000002E-2</v>
      </c>
      <c r="H2" s="7">
        <f>PI()*((F2/2)^2-(F2/2-G2)^2)</f>
        <v>9.7358741732911078E-2</v>
      </c>
      <c r="I2" s="7">
        <f>H2*E2</f>
        <v>0.87047477395978479</v>
      </c>
      <c r="J2" s="31">
        <f t="shared" ref="J2:J13" si="0">I2*$W$4</f>
        <v>4.6918590316432404E-2</v>
      </c>
      <c r="K2" s="30">
        <f>PI()*(F2^4-(F2-(2*G2))^4)/64</f>
        <v>3.7001737438515096E-3</v>
      </c>
      <c r="L2" s="42">
        <f t="shared" ref="L2:L8" si="1">0.282*SQRT($W$6*1000*H2/C2)</f>
        <v>20.988005881745075</v>
      </c>
      <c r="M2" s="145">
        <f t="shared" ref="M2:M13" si="2">SQRT(2*PI()^2*U2*$W$6*1000/C2)</f>
        <v>1059.740332084642</v>
      </c>
      <c r="N2" s="30">
        <f>E2/SQRT(K2/H2)</f>
        <v>45.86249265157759</v>
      </c>
      <c r="O2" s="30">
        <f>H2*($W$5-($W$5*E2/(2*PI()*SQRT(K2/H2))^2/(U2*$W$6*1000)))</f>
        <v>6143.3347260019218</v>
      </c>
      <c r="P2" s="30">
        <f>U2*PI()^2*$W$6*1000*K2/E2^2</f>
        <v>8908.2828664510944</v>
      </c>
      <c r="Q2" s="26">
        <f>H2*$W$5</f>
        <v>6143.3366033466891</v>
      </c>
      <c r="R2" s="144">
        <f>MIN(ABS(P2/C2),ABS(Q2/C2),ABS(Q2/D2))</f>
        <v>16.77722497931757</v>
      </c>
      <c r="S2" s="26">
        <f>$W$7/(MAX(C3:D3)/H3)</f>
        <v>2.3230624384205294</v>
      </c>
      <c r="T2" s="21" t="s">
        <v>233</v>
      </c>
      <c r="U2" s="96">
        <v>1</v>
      </c>
      <c r="V2" s="3"/>
      <c r="W2" s="3"/>
      <c r="X2" s="3"/>
    </row>
    <row r="3" spans="1:25" ht="15" thickBot="1" x14ac:dyDescent="0.4">
      <c r="A3" s="182"/>
      <c r="B3" s="24" t="s">
        <v>202</v>
      </c>
      <c r="C3" s="20">
        <f>MAX(ABS('Geo Forces'!I7),ABS('Geo Forces'!I16))</f>
        <v>123.18819999999999</v>
      </c>
      <c r="D3" s="20">
        <f>MAX(ABS('Geo Forces'!J7),ABS('Geo Forces'!J16))</f>
        <v>2430.7599</v>
      </c>
      <c r="E3" s="19">
        <f>'Steel A-Arm Tube Force Analysis'!E3-0.584</f>
        <v>10.5692</v>
      </c>
      <c r="F3" s="29">
        <v>0.60499999999999998</v>
      </c>
      <c r="G3" s="29">
        <v>5.6500000000000002E-2</v>
      </c>
      <c r="H3" s="7">
        <f t="shared" ref="H3:H13" si="3">PI()*((F3/2)^2-(F3/2-G3)^2)</f>
        <v>9.7358741732911078E-2</v>
      </c>
      <c r="I3" s="7">
        <f t="shared" ref="I3:I13" si="4">H3*E3</f>
        <v>1.0290040131234839</v>
      </c>
      <c r="J3" s="31">
        <f t="shared" si="0"/>
        <v>5.5463316307355785E-2</v>
      </c>
      <c r="K3" s="30">
        <f t="shared" ref="K3:K13" si="5">PI()*(F3^4-(F3-(2*G3))^4)/64</f>
        <v>3.7001737438515096E-3</v>
      </c>
      <c r="L3" s="42">
        <f t="shared" si="1"/>
        <v>35.008164053266853</v>
      </c>
      <c r="M3" s="144">
        <f t="shared" si="2"/>
        <v>2499.8423391573024</v>
      </c>
      <c r="N3" s="30">
        <f t="shared" ref="N3:N13" si="6">E3/SQRT(K3/H3)</f>
        <v>54.214884109323876</v>
      </c>
      <c r="O3" s="30">
        <f t="shared" ref="O3:O13" si="7">H3*($W$5-($W$5*E3/(2*PI()*SQRT(K3/H3))^2/(U3*$W$6*1000)))</f>
        <v>6143.3354937250451</v>
      </c>
      <c r="P3" s="30">
        <f t="shared" ref="P3:P13" si="8">U3*PI()^2*$W$6*1000*K3/E3^2</f>
        <v>12749.766681479599</v>
      </c>
      <c r="Q3" s="26">
        <f t="shared" ref="Q3:Q13" si="9">H3*$W$5</f>
        <v>6143.3366033466891</v>
      </c>
      <c r="R3" s="144">
        <f t="shared" ref="R3:R13" si="10">MIN(ABS(P3/C3),ABS(Q3/C3),ABS(Q3/D3))</f>
        <v>2.5273317217988867</v>
      </c>
      <c r="S3" s="26">
        <f t="shared" ref="S3:S12" si="11">$W$7/(MAX(C4:D4)/H4)</f>
        <v>2.8842690870916825</v>
      </c>
      <c r="T3" s="19" t="s">
        <v>234</v>
      </c>
      <c r="U3" s="32">
        <v>2</v>
      </c>
      <c r="V3" s="178" t="s">
        <v>235</v>
      </c>
      <c r="W3" s="179"/>
      <c r="X3" s="180"/>
    </row>
    <row r="4" spans="1:25" ht="15" thickBot="1" x14ac:dyDescent="0.4">
      <c r="A4" s="182"/>
      <c r="B4" s="24" t="s">
        <v>203</v>
      </c>
      <c r="C4" s="20">
        <f>MAX(ABS('Geo Forces'!I8),ABS('Geo Forces'!I17))</f>
        <v>1002.5725</v>
      </c>
      <c r="D4" s="20">
        <f>MAX(ABS('Geo Forces'!J8),ABS('Geo Forces'!J17))</f>
        <v>1957.7947999999999</v>
      </c>
      <c r="E4" s="19">
        <f>'Steel A-Arm Tube Force Analysis'!E4-0.584</f>
        <v>10.511200000000001</v>
      </c>
      <c r="F4" s="29">
        <v>0.60499999999999998</v>
      </c>
      <c r="G4" s="29">
        <v>5.6500000000000002E-2</v>
      </c>
      <c r="H4" s="7">
        <f t="shared" si="3"/>
        <v>9.7358741732911078E-2</v>
      </c>
      <c r="I4" s="7">
        <f t="shared" si="4"/>
        <v>1.023357206102975</v>
      </c>
      <c r="J4" s="31">
        <f t="shared" si="0"/>
        <v>5.5158953408950356E-2</v>
      </c>
      <c r="K4" s="30">
        <f t="shared" si="5"/>
        <v>3.7001737438515096E-3</v>
      </c>
      <c r="L4" s="42">
        <f t="shared" si="1"/>
        <v>12.271453222060547</v>
      </c>
      <c r="M4" s="144">
        <f t="shared" si="2"/>
        <v>876.27269687204875</v>
      </c>
      <c r="N4" s="30">
        <f t="shared" si="6"/>
        <v>53.917372161556706</v>
      </c>
      <c r="O4" s="30">
        <f t="shared" si="7"/>
        <v>6143.3354998142531</v>
      </c>
      <c r="P4" s="30">
        <f t="shared" si="8"/>
        <v>12890.859360239881</v>
      </c>
      <c r="Q4" s="26">
        <f t="shared" si="9"/>
        <v>6143.3366033466891</v>
      </c>
      <c r="R4" s="144">
        <f t="shared" si="10"/>
        <v>3.137885851646296</v>
      </c>
      <c r="S4" s="26">
        <f t="shared" si="11"/>
        <v>5.4066102502271276</v>
      </c>
      <c r="T4" s="19" t="s">
        <v>234</v>
      </c>
      <c r="U4" s="32">
        <v>2</v>
      </c>
      <c r="V4" s="33" t="s">
        <v>236</v>
      </c>
      <c r="W4" s="142">
        <v>5.3900000000000003E-2</v>
      </c>
      <c r="X4" s="35" t="s">
        <v>237</v>
      </c>
    </row>
    <row r="5" spans="1:25" ht="15" thickBot="1" x14ac:dyDescent="0.4">
      <c r="A5" s="182"/>
      <c r="B5" s="24" t="s">
        <v>204</v>
      </c>
      <c r="C5" s="20">
        <f>MAX(ABS('Geo Forces'!I9),ABS('Geo Forces'!I18))</f>
        <v>1044.4265</v>
      </c>
      <c r="D5" s="20">
        <f>MAX(ABS('Geo Forces'!J9),ABS('Geo Forces'!J18))</f>
        <v>225.43979999999999</v>
      </c>
      <c r="E5" s="19">
        <f>'Steel A-Arm Tube Force Analysis'!E5-0.584</f>
        <v>9.3905000000000012</v>
      </c>
      <c r="F5" s="29">
        <v>0.60499999999999998</v>
      </c>
      <c r="G5" s="29">
        <v>5.6500000000000002E-2</v>
      </c>
      <c r="H5" s="7">
        <f t="shared" si="3"/>
        <v>9.7358741732911078E-2</v>
      </c>
      <c r="I5" s="7">
        <f t="shared" si="4"/>
        <v>0.91424726424290159</v>
      </c>
      <c r="J5" s="31">
        <f t="shared" si="0"/>
        <v>4.9277927542692397E-2</v>
      </c>
      <c r="K5" s="30">
        <f t="shared" si="5"/>
        <v>3.7001737438515096E-3</v>
      </c>
      <c r="L5" s="42">
        <f t="shared" si="1"/>
        <v>12.02305818719246</v>
      </c>
      <c r="M5" s="144">
        <f t="shared" si="2"/>
        <v>858.53545066699519</v>
      </c>
      <c r="N5" s="30">
        <f t="shared" si="6"/>
        <v>48.16872319840725</v>
      </c>
      <c r="O5" s="30">
        <f t="shared" si="7"/>
        <v>6143.3356174724458</v>
      </c>
      <c r="P5" s="30">
        <f t="shared" si="8"/>
        <v>16151.357700800178</v>
      </c>
      <c r="Q5" s="26">
        <f t="shared" si="9"/>
        <v>6143.3366033466891</v>
      </c>
      <c r="R5" s="144">
        <f t="shared" si="10"/>
        <v>5.8820190825746845</v>
      </c>
      <c r="S5" s="26">
        <f t="shared" si="11"/>
        <v>6.8598500894882575</v>
      </c>
      <c r="T5" s="19" t="s">
        <v>234</v>
      </c>
      <c r="U5" s="32">
        <v>2</v>
      </c>
      <c r="V5" s="33" t="s">
        <v>238</v>
      </c>
      <c r="W5" s="140">
        <v>63100</v>
      </c>
      <c r="X5" s="35" t="s">
        <v>239</v>
      </c>
    </row>
    <row r="6" spans="1:25" ht="15" thickBot="1" x14ac:dyDescent="0.4">
      <c r="A6" s="182"/>
      <c r="B6" s="24" t="s">
        <v>205</v>
      </c>
      <c r="C6" s="20">
        <f>MAX(ABS('Geo Forces'!I10),ABS('Geo Forces'!I19))</f>
        <v>823.16769999999997</v>
      </c>
      <c r="D6" s="20">
        <f>MAX(ABS('Geo Forces'!J10),ABS('Geo Forces'!J19))</f>
        <v>504.50639999999999</v>
      </c>
      <c r="E6" s="19">
        <f>'Steel A-Arm Tube Force Analysis'!E6-0.584</f>
        <v>9.4925999999999995</v>
      </c>
      <c r="F6" s="29">
        <v>0.60499999999999998</v>
      </c>
      <c r="G6" s="29">
        <v>5.6500000000000002E-2</v>
      </c>
      <c r="H6" s="7">
        <f t="shared" si="3"/>
        <v>9.7358741732911078E-2</v>
      </c>
      <c r="I6" s="7">
        <f t="shared" si="4"/>
        <v>0.9241875917738317</v>
      </c>
      <c r="J6" s="31">
        <f t="shared" si="0"/>
        <v>4.9813711196609531E-2</v>
      </c>
      <c r="K6" s="30">
        <f t="shared" si="5"/>
        <v>3.7001737438515096E-3</v>
      </c>
      <c r="L6" s="42">
        <f t="shared" si="1"/>
        <v>13.542839443443171</v>
      </c>
      <c r="M6" s="144">
        <f t="shared" si="2"/>
        <v>967.05909460480609</v>
      </c>
      <c r="N6" s="30">
        <f t="shared" si="6"/>
        <v>48.692446816804278</v>
      </c>
      <c r="O6" s="30">
        <f t="shared" si="7"/>
        <v>6143.3356067533405</v>
      </c>
      <c r="P6" s="30">
        <f t="shared" si="8"/>
        <v>15805.786367376904</v>
      </c>
      <c r="Q6" s="26">
        <f t="shared" si="9"/>
        <v>6143.3366033466891</v>
      </c>
      <c r="R6" s="144">
        <f t="shared" si="10"/>
        <v>7.463043804253604</v>
      </c>
      <c r="S6" s="26">
        <f t="shared" si="11"/>
        <v>1.8548544436446572</v>
      </c>
      <c r="T6" s="19" t="s">
        <v>234</v>
      </c>
      <c r="U6" s="32">
        <v>2</v>
      </c>
      <c r="V6" s="33" t="s">
        <v>240</v>
      </c>
      <c r="W6" s="140">
        <v>19500</v>
      </c>
      <c r="X6" s="35" t="s">
        <v>241</v>
      </c>
    </row>
    <row r="7" spans="1:25" ht="15" thickBot="1" x14ac:dyDescent="0.4">
      <c r="A7" s="183"/>
      <c r="B7" s="91" t="s">
        <v>206</v>
      </c>
      <c r="C7" s="21">
        <f>MAX(ABS('Geo Forces'!I11),ABS('Geo Forces'!I20))</f>
        <v>3044.3397</v>
      </c>
      <c r="D7" s="21">
        <f>MAX(ABS('Geo Forces'!J11),ABS('Geo Forces'!J20))</f>
        <v>20.862500000000001</v>
      </c>
      <c r="E7" s="19">
        <f>'Steel A-Arm Tube Force Analysis'!E7-1.168</f>
        <v>7.1065999999999994</v>
      </c>
      <c r="F7" s="29">
        <v>0.60499999999999998</v>
      </c>
      <c r="G7" s="29">
        <v>5.6500000000000002E-2</v>
      </c>
      <c r="H7" s="8">
        <f t="shared" si="3"/>
        <v>9.7358741732911078E-2</v>
      </c>
      <c r="I7" s="8">
        <f t="shared" si="4"/>
        <v>0.69188963399910586</v>
      </c>
      <c r="J7" s="92">
        <f t="shared" si="0"/>
        <v>3.7292851272551809E-2</v>
      </c>
      <c r="K7" s="93">
        <f t="shared" si="5"/>
        <v>3.7001737438515096E-3</v>
      </c>
      <c r="L7" s="94">
        <f t="shared" si="1"/>
        <v>7.0421834549203837</v>
      </c>
      <c r="M7" s="143">
        <f t="shared" si="2"/>
        <v>355.57860404495881</v>
      </c>
      <c r="N7" s="93">
        <f t="shared" si="6"/>
        <v>36.453420827623759</v>
      </c>
      <c r="O7" s="93">
        <f t="shared" si="7"/>
        <v>6143.3351111548154</v>
      </c>
      <c r="P7" s="93">
        <f t="shared" si="8"/>
        <v>14100.442137597538</v>
      </c>
      <c r="Q7" s="143">
        <f t="shared" si="9"/>
        <v>6143.3366033466891</v>
      </c>
      <c r="R7" s="143">
        <f t="shared" si="10"/>
        <v>2.0179537136892738</v>
      </c>
      <c r="S7" s="95">
        <f t="shared" si="11"/>
        <v>7.7269022389746151</v>
      </c>
      <c r="T7" s="21" t="s">
        <v>233</v>
      </c>
      <c r="U7" s="96">
        <v>1</v>
      </c>
      <c r="V7" s="36" t="s">
        <v>230</v>
      </c>
      <c r="W7" s="141">
        <v>58000</v>
      </c>
      <c r="X7" s="38" t="s">
        <v>239</v>
      </c>
      <c r="Y7" s="100" t="s">
        <v>242</v>
      </c>
    </row>
    <row r="8" spans="1:25" ht="15" thickBot="1" x14ac:dyDescent="0.4">
      <c r="A8" s="181" t="s">
        <v>213</v>
      </c>
      <c r="B8" s="25" t="s">
        <v>209</v>
      </c>
      <c r="C8" s="22">
        <f>MAX(ABS('Geo Forces'!I24),ABS('Geo Forces'!I33))</f>
        <v>197.83240000000001</v>
      </c>
      <c r="D8" s="22">
        <f>MAX(ABS('Geo Forces'!J24),ABS('Geo Forces'!J33))</f>
        <v>730.79830000000004</v>
      </c>
      <c r="E8" s="19">
        <f>'Steel A-Arm Tube Force Analysis'!E8-1.168</f>
        <v>8.4359000000000002</v>
      </c>
      <c r="F8" s="29">
        <v>0.60499999999999998</v>
      </c>
      <c r="G8" s="29">
        <v>5.6500000000000002E-2</v>
      </c>
      <c r="H8" s="39">
        <f t="shared" si="3"/>
        <v>9.7358741732911078E-2</v>
      </c>
      <c r="I8" s="39">
        <f t="shared" si="4"/>
        <v>0.82130860938466455</v>
      </c>
      <c r="J8" s="97">
        <f t="shared" si="0"/>
        <v>4.4268534045833419E-2</v>
      </c>
      <c r="K8" s="39">
        <f t="shared" si="5"/>
        <v>3.7001737438515096E-3</v>
      </c>
      <c r="L8" s="98">
        <f t="shared" si="1"/>
        <v>27.625184064998155</v>
      </c>
      <c r="M8" s="26">
        <f t="shared" si="2"/>
        <v>1394.8691409698781</v>
      </c>
      <c r="N8" s="39">
        <f t="shared" si="6"/>
        <v>43.272086899466871</v>
      </c>
      <c r="O8" s="39">
        <f t="shared" si="7"/>
        <v>6143.3348320381274</v>
      </c>
      <c r="P8" s="39">
        <f t="shared" si="8"/>
        <v>10006.763320552158</v>
      </c>
      <c r="Q8" s="26">
        <f t="shared" si="9"/>
        <v>6143.3366033466891</v>
      </c>
      <c r="R8" s="144">
        <f t="shared" si="10"/>
        <v>8.4063367461947962</v>
      </c>
      <c r="S8" s="26">
        <f t="shared" si="11"/>
        <v>5.4437371173263696</v>
      </c>
      <c r="T8" s="21" t="s">
        <v>233</v>
      </c>
      <c r="U8" s="96">
        <v>1</v>
      </c>
      <c r="V8" s="3"/>
      <c r="W8" s="3"/>
      <c r="X8" s="3"/>
    </row>
    <row r="9" spans="1:25" ht="15" thickBot="1" x14ac:dyDescent="0.4">
      <c r="A9" s="182"/>
      <c r="B9" s="24" t="s">
        <v>202</v>
      </c>
      <c r="C9" s="22">
        <f>MAX(ABS('Geo Forces'!I25),ABS('Geo Forces'!I34))</f>
        <v>776.48180000000002</v>
      </c>
      <c r="D9" s="22">
        <f>MAX(ABS('Geo Forces'!J25),ABS('Geo Forces'!J34))</f>
        <v>1037.3034</v>
      </c>
      <c r="E9" s="19">
        <f>'Steel A-Arm Tube Force Analysis'!E9-0.584</f>
        <v>12.3222</v>
      </c>
      <c r="F9" s="29">
        <v>0.60499999999999998</v>
      </c>
      <c r="G9" s="29">
        <v>5.6500000000000002E-2</v>
      </c>
      <c r="H9" s="7">
        <f t="shared" si="3"/>
        <v>9.7358741732911078E-2</v>
      </c>
      <c r="I9" s="7">
        <f t="shared" si="4"/>
        <v>1.1996738873812769</v>
      </c>
      <c r="J9" s="31">
        <f t="shared" si="0"/>
        <v>6.4662422529850827E-2</v>
      </c>
      <c r="K9" s="30">
        <f t="shared" si="5"/>
        <v>3.7001737438515096E-3</v>
      </c>
      <c r="L9" s="98">
        <f t="shared" ref="L9:L13" si="12">0.282*SQRT($W$6*1000*H9/C9)</f>
        <v>13.944028117793092</v>
      </c>
      <c r="M9" s="26">
        <f t="shared" si="2"/>
        <v>995.70693893632665</v>
      </c>
      <c r="N9" s="30">
        <f t="shared" si="6"/>
        <v>63.206926254769577</v>
      </c>
      <c r="O9" s="30">
        <f t="shared" si="7"/>
        <v>6143.3353096839883</v>
      </c>
      <c r="P9" s="30">
        <f t="shared" si="8"/>
        <v>9380.1538705173716</v>
      </c>
      <c r="Q9" s="26">
        <f t="shared" si="9"/>
        <v>6143.3366033466891</v>
      </c>
      <c r="R9" s="144">
        <f t="shared" si="10"/>
        <v>5.9224105535050677</v>
      </c>
      <c r="S9" s="26">
        <f t="shared" si="11"/>
        <v>8.2484352642355265</v>
      </c>
      <c r="T9" s="19" t="s">
        <v>234</v>
      </c>
      <c r="U9" s="40">
        <v>2</v>
      </c>
      <c r="V9" s="3"/>
      <c r="W9" s="3"/>
      <c r="X9" s="3"/>
    </row>
    <row r="10" spans="1:25" ht="15" thickBot="1" x14ac:dyDescent="0.4">
      <c r="A10" s="182"/>
      <c r="B10" s="24" t="s">
        <v>203</v>
      </c>
      <c r="C10" s="22">
        <f>MAX(ABS('Geo Forces'!I26),ABS('Geo Forces'!I35))</f>
        <v>684.59130000000005</v>
      </c>
      <c r="D10" s="22">
        <f>MAX(ABS('Geo Forces'!J26),ABS('Geo Forces'!J35))</f>
        <v>640.56600000000003</v>
      </c>
      <c r="E10" s="19">
        <f>'Steel A-Arm Tube Force Analysis'!E10-0.584</f>
        <v>8.9864999999999995</v>
      </c>
      <c r="F10" s="29">
        <v>0.60499999999999998</v>
      </c>
      <c r="G10" s="29">
        <v>5.6500000000000002E-2</v>
      </c>
      <c r="H10" s="7">
        <f t="shared" si="3"/>
        <v>9.7358741732911078E-2</v>
      </c>
      <c r="I10" s="7">
        <f t="shared" si="4"/>
        <v>0.87491433258280538</v>
      </c>
      <c r="J10" s="31">
        <f t="shared" si="0"/>
        <v>4.715788252621321E-2</v>
      </c>
      <c r="K10" s="30">
        <f t="shared" si="5"/>
        <v>3.7001737438515096E-3</v>
      </c>
      <c r="L10" s="98">
        <f t="shared" si="12"/>
        <v>14.850401733846603</v>
      </c>
      <c r="M10" s="26">
        <f t="shared" si="2"/>
        <v>1060.428731746088</v>
      </c>
      <c r="N10" s="30">
        <f t="shared" si="6"/>
        <v>46.096398596718672</v>
      </c>
      <c r="O10" s="30">
        <f t="shared" si="7"/>
        <v>6143.3356598869286</v>
      </c>
      <c r="P10" s="30">
        <f t="shared" si="8"/>
        <v>17636.212061093476</v>
      </c>
      <c r="Q10" s="26">
        <f t="shared" si="9"/>
        <v>6143.3366033466891</v>
      </c>
      <c r="R10" s="144">
        <f t="shared" si="10"/>
        <v>8.9737287098838223</v>
      </c>
      <c r="S10" s="26">
        <f t="shared" si="11"/>
        <v>10.262650726831767</v>
      </c>
      <c r="T10" s="19" t="s">
        <v>234</v>
      </c>
      <c r="U10" s="40">
        <v>2</v>
      </c>
      <c r="V10" s="3"/>
      <c r="W10" s="3"/>
      <c r="X10" s="3"/>
    </row>
    <row r="11" spans="1:25" ht="15" thickBot="1" x14ac:dyDescent="0.4">
      <c r="A11" s="182"/>
      <c r="B11" s="24" t="s">
        <v>204</v>
      </c>
      <c r="C11" s="22">
        <f>MAX(ABS('Geo Forces'!I27),ABS('Geo Forces'!I36))</f>
        <v>183.4451</v>
      </c>
      <c r="D11" s="22">
        <f>MAX(ABS('Geo Forces'!J27),ABS('Geo Forces'!J36))</f>
        <v>550.22889999999995</v>
      </c>
      <c r="E11" s="19">
        <f>'Steel A-Arm Tube Force Analysis'!E11-0.584</f>
        <v>9.0334000000000003</v>
      </c>
      <c r="F11" s="29">
        <v>0.60499999999999998</v>
      </c>
      <c r="G11" s="29">
        <v>5.6500000000000002E-2</v>
      </c>
      <c r="H11" s="7">
        <f t="shared" si="3"/>
        <v>9.7358741732911078E-2</v>
      </c>
      <c r="I11" s="7">
        <f t="shared" si="4"/>
        <v>0.87948045757007898</v>
      </c>
      <c r="J11" s="31">
        <f t="shared" si="0"/>
        <v>4.7403996663027262E-2</v>
      </c>
      <c r="K11" s="30">
        <f t="shared" si="5"/>
        <v>3.7001737438515096E-3</v>
      </c>
      <c r="L11" s="98">
        <f t="shared" si="12"/>
        <v>28.688036997558918</v>
      </c>
      <c r="M11" s="26">
        <f t="shared" si="2"/>
        <v>2048.5384324836264</v>
      </c>
      <c r="N11" s="30">
        <f t="shared" si="6"/>
        <v>46.336972913102819</v>
      </c>
      <c r="O11" s="30">
        <f t="shared" si="7"/>
        <v>6143.3356549630689</v>
      </c>
      <c r="P11" s="30">
        <f t="shared" si="8"/>
        <v>17453.558539894129</v>
      </c>
      <c r="Q11" s="26">
        <f t="shared" si="9"/>
        <v>6143.3366033466891</v>
      </c>
      <c r="R11" s="144">
        <f t="shared" si="10"/>
        <v>11.165056221777318</v>
      </c>
      <c r="S11" s="26">
        <f t="shared" si="11"/>
        <v>6.0076422336988253</v>
      </c>
      <c r="T11" s="19" t="s">
        <v>234</v>
      </c>
      <c r="U11" s="40">
        <v>2</v>
      </c>
      <c r="V11" s="3"/>
      <c r="W11" s="3"/>
      <c r="X11" s="3"/>
    </row>
    <row r="12" spans="1:25" ht="15" thickBot="1" x14ac:dyDescent="0.4">
      <c r="A12" s="182"/>
      <c r="B12" s="24" t="s">
        <v>205</v>
      </c>
      <c r="C12" s="22">
        <f>MAX(ABS('Geo Forces'!I28),ABS('Geo Forces'!I37))</f>
        <v>195.09299999999999</v>
      </c>
      <c r="D12" s="22">
        <f>MAX(ABS('Geo Forces'!J28),ABS('Geo Forces'!J37))</f>
        <v>939.93730000000005</v>
      </c>
      <c r="E12" s="19">
        <f>'Steel A-Arm Tube Force Analysis'!E12-0.584</f>
        <v>7.4614000000000011</v>
      </c>
      <c r="F12" s="29">
        <v>0.60499999999999998</v>
      </c>
      <c r="G12" s="29">
        <v>5.6500000000000002E-2</v>
      </c>
      <c r="H12" s="7">
        <f t="shared" si="3"/>
        <v>9.7358741732911078E-2</v>
      </c>
      <c r="I12" s="7">
        <f t="shared" si="4"/>
        <v>0.72643251556594279</v>
      </c>
      <c r="J12" s="31">
        <f t="shared" si="0"/>
        <v>3.9154712589004319E-2</v>
      </c>
      <c r="K12" s="30">
        <f t="shared" si="5"/>
        <v>3.7001737438515096E-3</v>
      </c>
      <c r="L12" s="98">
        <f t="shared" si="12"/>
        <v>27.81845759428343</v>
      </c>
      <c r="M12" s="26">
        <f t="shared" si="2"/>
        <v>1986.4440191273698</v>
      </c>
      <c r="N12" s="30">
        <f t="shared" si="6"/>
        <v>38.273373225344322</v>
      </c>
      <c r="O12" s="30">
        <f t="shared" si="7"/>
        <v>6143.3358200015982</v>
      </c>
      <c r="P12" s="30">
        <f t="shared" si="8"/>
        <v>25582.667357624567</v>
      </c>
      <c r="Q12" s="26">
        <f t="shared" si="9"/>
        <v>6143.3366033466891</v>
      </c>
      <c r="R12" s="144">
        <f t="shared" si="10"/>
        <v>6.5359004301102734</v>
      </c>
      <c r="S12" s="26">
        <f t="shared" si="11"/>
        <v>2.1843629010742012</v>
      </c>
      <c r="T12" s="19" t="s">
        <v>234</v>
      </c>
      <c r="U12" s="40">
        <v>2</v>
      </c>
      <c r="V12" s="3"/>
      <c r="W12" s="3"/>
      <c r="X12" s="3"/>
    </row>
    <row r="13" spans="1:25" ht="15" thickBot="1" x14ac:dyDescent="0.4">
      <c r="A13" s="183"/>
      <c r="B13" s="91" t="s">
        <v>206</v>
      </c>
      <c r="C13" s="21">
        <f>MAX(ABS('Geo Forces'!I29),ABS('Geo Forces'!I38))</f>
        <v>2585.1048000000001</v>
      </c>
      <c r="D13" s="21">
        <f>MAX(ABS('Geo Forces'!J29),ABS('Geo Forces'!J38))</f>
        <v>0</v>
      </c>
      <c r="E13" s="19">
        <f>'Steel A-Arm Tube Force Analysis'!E13-1.168</f>
        <v>7.7915000000000001</v>
      </c>
      <c r="F13" s="29">
        <v>0.60499999999999998</v>
      </c>
      <c r="G13" s="29">
        <v>5.6500000000000002E-2</v>
      </c>
      <c r="H13" s="8">
        <f t="shared" si="3"/>
        <v>9.7358741732911078E-2</v>
      </c>
      <c r="I13" s="8">
        <f t="shared" si="4"/>
        <v>0.75857063621197662</v>
      </c>
      <c r="J13" s="92">
        <f t="shared" si="0"/>
        <v>4.0886957291825544E-2</v>
      </c>
      <c r="K13" s="93">
        <f t="shared" si="5"/>
        <v>3.7001737438515096E-3</v>
      </c>
      <c r="L13" s="98">
        <f t="shared" si="12"/>
        <v>7.642136897883975</v>
      </c>
      <c r="M13" s="98">
        <f t="shared" si="2"/>
        <v>385.87185174385337</v>
      </c>
      <c r="N13" s="93">
        <f t="shared" si="6"/>
        <v>39.966626569446788</v>
      </c>
      <c r="O13" s="93">
        <f t="shared" si="7"/>
        <v>6143.3349673445246</v>
      </c>
      <c r="P13" s="93">
        <f t="shared" si="8"/>
        <v>11730.440577003053</v>
      </c>
      <c r="Q13" s="143">
        <f t="shared" si="9"/>
        <v>6143.3366033466891</v>
      </c>
      <c r="R13" s="143" t="e">
        <f t="shared" si="10"/>
        <v>#DIV/0!</v>
      </c>
      <c r="S13" s="95" cm="1">
        <f t="array" ref="S13">$W$7/(MAX(C13:D13/H13))</f>
        <v>2.1843629010742012</v>
      </c>
      <c r="T13" s="21" t="s">
        <v>233</v>
      </c>
      <c r="U13" s="96">
        <v>1</v>
      </c>
      <c r="V13" s="3"/>
      <c r="W13" s="3"/>
      <c r="X13" s="3"/>
    </row>
    <row r="14" spans="1:25" x14ac:dyDescent="0.35">
      <c r="L14" t="s">
        <v>243</v>
      </c>
    </row>
    <row r="16" spans="1:25" x14ac:dyDescent="0.35">
      <c r="R16" s="41"/>
    </row>
  </sheetData>
  <mergeCells count="3">
    <mergeCell ref="A2:A7"/>
    <mergeCell ref="A8:A13"/>
    <mergeCell ref="V3:X3"/>
  </mergeCells>
  <conditionalFormatting sqref="R2:S13">
    <cfRule type="cellIs" dxfId="1" priority="2" operator="lessThan">
      <formula>1.5</formula>
    </cfRule>
    <cfRule type="cellIs" dxfId="0" priority="3" operator="greaterThan">
      <formula>1.5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8AD4A-859A-43E8-B844-97DC084B0D4D}">
  <dimension ref="A1:R6"/>
  <sheetViews>
    <sheetView workbookViewId="0">
      <selection activeCell="R30" sqref="R30"/>
    </sheetView>
  </sheetViews>
  <sheetFormatPr defaultRowHeight="14.5" x14ac:dyDescent="0.35"/>
  <cols>
    <col min="1" max="1" width="29.81640625" customWidth="1"/>
    <col min="12" max="12" width="17.26953125" customWidth="1"/>
    <col min="14" max="14" width="11.54296875" customWidth="1"/>
  </cols>
  <sheetData>
    <row r="1" spans="1:18" x14ac:dyDescent="0.35">
      <c r="B1" s="184" t="s">
        <v>212</v>
      </c>
      <c r="C1" s="184"/>
      <c r="D1" s="184"/>
      <c r="E1" s="184"/>
      <c r="F1" s="185" t="s">
        <v>213</v>
      </c>
      <c r="G1" s="185"/>
      <c r="H1" s="185"/>
      <c r="I1" s="185"/>
      <c r="J1" s="156"/>
    </row>
    <row r="2" spans="1:18" x14ac:dyDescent="0.35">
      <c r="B2" t="s">
        <v>202</v>
      </c>
      <c r="C2" t="s">
        <v>203</v>
      </c>
      <c r="D2" t="s">
        <v>204</v>
      </c>
      <c r="E2" t="s">
        <v>205</v>
      </c>
      <c r="F2" t="s">
        <v>202</v>
      </c>
      <c r="G2" t="s">
        <v>203</v>
      </c>
      <c r="H2" t="s">
        <v>204</v>
      </c>
      <c r="I2" t="s">
        <v>205</v>
      </c>
      <c r="J2" t="s">
        <v>209</v>
      </c>
      <c r="L2" s="102" t="s">
        <v>244</v>
      </c>
      <c r="M2">
        <v>2860</v>
      </c>
      <c r="N2" t="s">
        <v>245</v>
      </c>
      <c r="O2" t="s">
        <v>246</v>
      </c>
    </row>
    <row r="3" spans="1:18" x14ac:dyDescent="0.35">
      <c r="A3" t="s">
        <v>244</v>
      </c>
      <c r="B3">
        <f>$M$2</f>
        <v>2860</v>
      </c>
      <c r="C3">
        <f t="shared" ref="C3:J3" si="0">$M$2</f>
        <v>2860</v>
      </c>
      <c r="D3">
        <f t="shared" si="0"/>
        <v>2860</v>
      </c>
      <c r="E3">
        <f t="shared" si="0"/>
        <v>2860</v>
      </c>
      <c r="F3">
        <f t="shared" si="0"/>
        <v>2860</v>
      </c>
      <c r="G3">
        <f t="shared" si="0"/>
        <v>2860</v>
      </c>
      <c r="H3">
        <f t="shared" si="0"/>
        <v>2860</v>
      </c>
      <c r="I3">
        <f t="shared" si="0"/>
        <v>2860</v>
      </c>
      <c r="J3">
        <f t="shared" si="0"/>
        <v>2860</v>
      </c>
      <c r="L3" s="102" t="s">
        <v>247</v>
      </c>
      <c r="M3">
        <v>0.5</v>
      </c>
      <c r="N3" s="102" t="s">
        <v>248</v>
      </c>
      <c r="O3">
        <v>0.42</v>
      </c>
    </row>
    <row r="4" spans="1:18" x14ac:dyDescent="0.35">
      <c r="A4" t="s">
        <v>249</v>
      </c>
      <c r="B4">
        <f>IF('Steel A-Arm Tube Force Analysis'!D3&lt;$M$4,'Steel A-Arm Tube Force Analysis'!D3,$O$4)</f>
        <v>1201.2</v>
      </c>
      <c r="C4">
        <f>IF('Steel A-Arm Tube Force Analysis'!D4&lt;$M$4,'Steel A-Arm Tube Force Analysis'!D4,$O$4)</f>
        <v>1201.2</v>
      </c>
      <c r="D4">
        <f>IF('Steel A-Arm Tube Force Analysis'!D5&lt;$M$4,'Steel A-Arm Tube Force Analysis'!D5,$O$4)</f>
        <v>225.43979999999999</v>
      </c>
      <c r="E4">
        <f>IF('Steel A-Arm Tube Force Analysis'!D6&lt;$M$4,'Steel A-Arm Tube Force Analysis'!D6,$O$4)</f>
        <v>504.50639999999999</v>
      </c>
      <c r="F4">
        <f>IF('Steel A-Arm Tube Force Analysis'!D9&lt;$M$4,'Steel A-Arm Tube Force Analysis'!D9,$O$4)</f>
        <v>1037.3034</v>
      </c>
      <c r="G4">
        <f>IF('Steel A-Arm Tube Force Analysis'!D10&lt;$M$4,'Steel A-Arm Tube Force Analysis'!D10,$O$4)</f>
        <v>640.56600000000003</v>
      </c>
      <c r="H4">
        <f>IF('Steel A-Arm Tube Force Analysis'!D11&lt;$M$4,'Steel A-Arm Tube Force Analysis'!D11,$O$4)</f>
        <v>550.22889999999995</v>
      </c>
      <c r="I4">
        <f>IF('Steel A-Arm Tube Force Analysis'!D12&lt;$M$4,'Steel A-Arm Tube Force Analysis'!D12,$O$4)</f>
        <v>939.93730000000005</v>
      </c>
      <c r="J4">
        <f>IF('Steel A-Arm Tube Force Analysis'!D8&lt;$M$4,'Steel A-Arm Tube Force Analysis'!D8,$O$4)</f>
        <v>730.79830000000004</v>
      </c>
      <c r="L4" t="s">
        <v>250</v>
      </c>
      <c r="M4">
        <f>M3*$M$2</f>
        <v>1430</v>
      </c>
      <c r="O4">
        <f>O3*$M$2</f>
        <v>1201.2</v>
      </c>
    </row>
    <row r="5" spans="1:18" x14ac:dyDescent="0.35">
      <c r="A5" t="s">
        <v>251</v>
      </c>
      <c r="B5">
        <f>IF('Steel A-Arm Tube Force Analysis'!C3&lt;$M$4,'Steel A-Arm Tube Force Analysis'!C3,$O$4)</f>
        <v>123.18819999999999</v>
      </c>
      <c r="C5">
        <f>IF('Steel A-Arm Tube Force Analysis'!C4&lt;$M$4,'Steel A-Arm Tube Force Analysis'!C4,$O$4)</f>
        <v>1002.5725</v>
      </c>
      <c r="D5">
        <f>IF('Steel A-Arm Tube Force Analysis'!C5&lt;$M$4,'Steel A-Arm Tube Force Analysis'!C5,$O$4)</f>
        <v>1044.4265</v>
      </c>
      <c r="E5">
        <f>IF('Steel A-Arm Tube Force Analysis'!C6&lt;$M$4,'Steel A-Arm Tube Force Analysis'!C6,$O$4)</f>
        <v>823.16769999999997</v>
      </c>
      <c r="F5">
        <f>IF('Steel A-Arm Tube Force Analysis'!C9&lt;$M$4,'Steel A-Arm Tube Force Analysis'!C9,$O$4)</f>
        <v>776.48180000000002</v>
      </c>
      <c r="G5">
        <f>IF('Steel A-Arm Tube Force Analysis'!C10&lt;$M$4,'Steel A-Arm Tube Force Analysis'!C10,$O$4)</f>
        <v>684.59130000000005</v>
      </c>
      <c r="H5">
        <f>IF('Steel A-Arm Tube Force Analysis'!C11&lt;$M$4,'Steel A-Arm Tube Force Analysis'!C11,$O$4)</f>
        <v>183.4451</v>
      </c>
      <c r="I5">
        <f>IF('Steel A-Arm Tube Force Analysis'!C12&lt;$M$4,'Steel A-Arm Tube Force Analysis'!C12,$O$4)</f>
        <v>195.09299999999999</v>
      </c>
      <c r="J5">
        <f>IF('Steel A-Arm Tube Force Analysis'!C8&lt;$M$4,'Steel A-Arm Tube Force Analysis'!C8,$O$4)</f>
        <v>197.83240000000001</v>
      </c>
    </row>
    <row r="6" spans="1:18" x14ac:dyDescent="0.35">
      <c r="Q6" s="102"/>
      <c r="R6" s="107" t="s">
        <v>252</v>
      </c>
    </row>
  </sheetData>
  <mergeCells count="2">
    <mergeCell ref="B1:E1"/>
    <mergeCell ref="F1:I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58442-D3A9-4F34-8474-C76E9ECFE050}">
  <dimension ref="A1:P36"/>
  <sheetViews>
    <sheetView zoomScale="90" zoomScaleNormal="90" workbookViewId="0">
      <selection activeCell="B26" sqref="B26"/>
    </sheetView>
  </sheetViews>
  <sheetFormatPr defaultRowHeight="14.5" x14ac:dyDescent="0.35"/>
  <sheetData>
    <row r="1" spans="1:16" x14ac:dyDescent="0.35">
      <c r="A1" s="46" t="s">
        <v>212</v>
      </c>
      <c r="D1" s="46" t="s">
        <v>213</v>
      </c>
      <c r="G1" s="103" t="s">
        <v>253</v>
      </c>
    </row>
    <row r="2" spans="1:16" x14ac:dyDescent="0.35">
      <c r="A2" s="102" t="s">
        <v>254</v>
      </c>
      <c r="B2">
        <v>2</v>
      </c>
      <c r="D2" s="102" t="s">
        <v>254</v>
      </c>
      <c r="E2">
        <v>2</v>
      </c>
      <c r="O2" s="102"/>
      <c r="P2" s="107" t="s">
        <v>252</v>
      </c>
    </row>
    <row r="3" spans="1:16" x14ac:dyDescent="0.35">
      <c r="A3" s="102" t="s">
        <v>255</v>
      </c>
      <c r="B3">
        <v>-0.13500000000000001</v>
      </c>
      <c r="D3" s="102" t="s">
        <v>255</v>
      </c>
      <c r="E3">
        <v>-0.23960000000000001</v>
      </c>
    </row>
    <row r="4" spans="1:16" x14ac:dyDescent="0.35">
      <c r="A4" s="102" t="s">
        <v>256</v>
      </c>
      <c r="B4">
        <v>2.0299999999999998</v>
      </c>
      <c r="D4" s="102" t="s">
        <v>256</v>
      </c>
      <c r="E4">
        <v>2.2869999999999999</v>
      </c>
    </row>
    <row r="5" spans="1:16" x14ac:dyDescent="0.35">
      <c r="A5" s="102" t="s">
        <v>257</v>
      </c>
      <c r="B5">
        <v>1.1100000000000001</v>
      </c>
      <c r="D5" s="102" t="s">
        <v>257</v>
      </c>
      <c r="E5">
        <v>1.1140000000000001</v>
      </c>
    </row>
    <row r="6" spans="1:16" x14ac:dyDescent="0.35">
      <c r="A6" s="102" t="s">
        <v>258</v>
      </c>
      <c r="B6">
        <v>3.78</v>
      </c>
      <c r="D6" s="102" t="s">
        <v>258</v>
      </c>
      <c r="E6">
        <v>2.5196999999999998</v>
      </c>
    </row>
    <row r="7" spans="1:16" x14ac:dyDescent="0.35">
      <c r="A7" s="102" t="s">
        <v>259</v>
      </c>
      <c r="B7">
        <v>8</v>
      </c>
      <c r="D7" s="102" t="s">
        <v>259</v>
      </c>
      <c r="E7">
        <v>8</v>
      </c>
    </row>
    <row r="8" spans="1:16" x14ac:dyDescent="0.35">
      <c r="A8" t="s">
        <v>260</v>
      </c>
      <c r="D8" t="s">
        <v>260</v>
      </c>
    </row>
    <row r="10" spans="1:16" x14ac:dyDescent="0.35">
      <c r="A10" s="103" t="s">
        <v>253</v>
      </c>
      <c r="D10" s="103" t="s">
        <v>253</v>
      </c>
    </row>
    <row r="11" spans="1:16" x14ac:dyDescent="0.35">
      <c r="A11" s="47" t="s">
        <v>261</v>
      </c>
      <c r="B11">
        <f>ABS('Geo Forces'!F13)</f>
        <v>864.88990000000001</v>
      </c>
      <c r="C11" s="107" t="s">
        <v>262</v>
      </c>
      <c r="D11" s="47" t="s">
        <v>261</v>
      </c>
      <c r="E11">
        <f>ABS('Geo Forces'!F31)</f>
        <v>1161.9992999999999</v>
      </c>
      <c r="F11" s="107" t="s">
        <v>262</v>
      </c>
    </row>
    <row r="12" spans="1:16" x14ac:dyDescent="0.35">
      <c r="A12" t="s">
        <v>263</v>
      </c>
      <c r="B12">
        <f>ABS('Geo Forces'!F14)</f>
        <v>580.27629999999999</v>
      </c>
      <c r="D12" t="s">
        <v>263</v>
      </c>
      <c r="E12">
        <f>ABS('Geo Forces'!F32)</f>
        <v>780.28</v>
      </c>
    </row>
    <row r="14" spans="1:16" x14ac:dyDescent="0.35">
      <c r="A14" s="47" t="s">
        <v>264</v>
      </c>
      <c r="B14">
        <f>((B12*(B2+B3))-(B11*B7))/B2</f>
        <v>-2918.4519502500002</v>
      </c>
      <c r="D14" s="47" t="s">
        <v>264</v>
      </c>
      <c r="E14">
        <f>((E12*(E2+E3))-(E11*E7))/E2</f>
        <v>-3961.1947439999999</v>
      </c>
    </row>
    <row r="15" spans="1:16" x14ac:dyDescent="0.35">
      <c r="A15" s="47" t="s">
        <v>265</v>
      </c>
      <c r="B15">
        <f>B14-B12</f>
        <v>-3498.7282502500002</v>
      </c>
      <c r="D15" s="47" t="s">
        <v>265</v>
      </c>
      <c r="E15">
        <f>E14-E12</f>
        <v>-4741.4747440000001</v>
      </c>
      <c r="G15" s="103" t="s">
        <v>266</v>
      </c>
    </row>
    <row r="17" spans="1:7" x14ac:dyDescent="0.35">
      <c r="A17" s="103" t="s">
        <v>266</v>
      </c>
      <c r="D17" s="103" t="s">
        <v>266</v>
      </c>
    </row>
    <row r="18" spans="1:7" x14ac:dyDescent="0.35">
      <c r="A18" t="s">
        <v>267</v>
      </c>
      <c r="B18">
        <f>ABS('Geo Forces'!E12)</f>
        <v>821.46130000000005</v>
      </c>
      <c r="D18" t="s">
        <v>267</v>
      </c>
      <c r="E18">
        <f>ABS('Geo Forces'!E30)</f>
        <v>500.9862</v>
      </c>
    </row>
    <row r="19" spans="1:7" x14ac:dyDescent="0.35">
      <c r="A19" t="s">
        <v>263</v>
      </c>
      <c r="B19">
        <f>ABS('Geo Forces'!E14)</f>
        <v>548.10699999999997</v>
      </c>
      <c r="D19" t="s">
        <v>263</v>
      </c>
      <c r="E19">
        <f>ABS('Geo Forces'!E32)</f>
        <v>316.25900000000001</v>
      </c>
    </row>
    <row r="21" spans="1:7" x14ac:dyDescent="0.35">
      <c r="A21" s="47" t="s">
        <v>268</v>
      </c>
      <c r="B21">
        <f>(B19*(B2+B3))/B2</f>
        <v>511.10977749999995</v>
      </c>
      <c r="D21" s="47" t="s">
        <v>268</v>
      </c>
      <c r="E21">
        <f>(E19*(E2+E3))/E2</f>
        <v>278.37117180000001</v>
      </c>
    </row>
    <row r="22" spans="1:7" x14ac:dyDescent="0.35">
      <c r="A22" s="47" t="s">
        <v>269</v>
      </c>
      <c r="B22">
        <f>(B18*(B2+B3))/B2</f>
        <v>766.01266225000006</v>
      </c>
      <c r="D22" s="47" t="s">
        <v>269</v>
      </c>
      <c r="E22">
        <f>(E18*(E2+E3))/E2</f>
        <v>440.96805323999996</v>
      </c>
    </row>
    <row r="23" spans="1:7" x14ac:dyDescent="0.35">
      <c r="A23" s="47" t="s">
        <v>270</v>
      </c>
      <c r="B23">
        <f>B21-B19</f>
        <v>-36.997222500000021</v>
      </c>
      <c r="D23" s="47" t="s">
        <v>270</v>
      </c>
      <c r="E23">
        <f>E21-E19</f>
        <v>-37.887828200000001</v>
      </c>
    </row>
    <row r="24" spans="1:7" x14ac:dyDescent="0.35">
      <c r="A24" s="47" t="s">
        <v>271</v>
      </c>
      <c r="B24">
        <f>B22-B18</f>
        <v>-55.448637749999989</v>
      </c>
      <c r="D24" s="47" t="s">
        <v>271</v>
      </c>
      <c r="E24">
        <f>E22-E18</f>
        <v>-60.018146760000036</v>
      </c>
    </row>
    <row r="25" spans="1:7" x14ac:dyDescent="0.35">
      <c r="A25" t="s">
        <v>272</v>
      </c>
      <c r="B25">
        <f>(B18*B7)/(B4+B5)</f>
        <v>2092.8950318471343</v>
      </c>
      <c r="D25" t="s">
        <v>272</v>
      </c>
      <c r="E25">
        <f>(E18*E7)/(E4+E5)</f>
        <v>1178.4444575124965</v>
      </c>
    </row>
    <row r="26" spans="1:7" x14ac:dyDescent="0.35">
      <c r="A26" s="47" t="s">
        <v>273</v>
      </c>
      <c r="B26">
        <f>B25/2</f>
        <v>1046.4475159235672</v>
      </c>
      <c r="D26" s="47" t="s">
        <v>273</v>
      </c>
      <c r="E26">
        <f>E25/2</f>
        <v>589.22222875624823</v>
      </c>
    </row>
    <row r="27" spans="1:7" x14ac:dyDescent="0.35">
      <c r="A27" s="47" t="s">
        <v>274</v>
      </c>
      <c r="B27">
        <f>(B25*B5)/B6</f>
        <v>614.58028712971418</v>
      </c>
      <c r="D27" s="47" t="s">
        <v>274</v>
      </c>
      <c r="E27">
        <f>(E25*E5)/E6</f>
        <v>521.0092970071521</v>
      </c>
    </row>
    <row r="29" spans="1:7" x14ac:dyDescent="0.35">
      <c r="D29" s="103" t="s">
        <v>275</v>
      </c>
      <c r="G29" s="103" t="s">
        <v>275</v>
      </c>
    </row>
    <row r="30" spans="1:7" x14ac:dyDescent="0.35">
      <c r="D30" t="s">
        <v>267</v>
      </c>
      <c r="E30">
        <f>ABS('Geo Forces'!D30)</f>
        <v>356.43650000000002</v>
      </c>
    </row>
    <row r="31" spans="1:7" x14ac:dyDescent="0.35">
      <c r="D31" t="s">
        <v>263</v>
      </c>
      <c r="E31">
        <f>ABS('Geo Forces'!D32)</f>
        <v>219.69980000000001</v>
      </c>
    </row>
    <row r="33" spans="4:5" x14ac:dyDescent="0.35">
      <c r="D33" s="47" t="s">
        <v>268</v>
      </c>
      <c r="E33">
        <f>(E31*(E2+E3))/E2</f>
        <v>193.37976395999999</v>
      </c>
    </row>
    <row r="34" spans="4:5" x14ac:dyDescent="0.35">
      <c r="D34" s="47" t="s">
        <v>269</v>
      </c>
      <c r="E34">
        <f>(E30*(E2+E3))/E2</f>
        <v>313.73540730000002</v>
      </c>
    </row>
    <row r="35" spans="4:5" x14ac:dyDescent="0.35">
      <c r="D35" s="47" t="s">
        <v>270</v>
      </c>
      <c r="E35">
        <f>E33-E31</f>
        <v>-26.320036040000019</v>
      </c>
    </row>
    <row r="36" spans="4:5" x14ac:dyDescent="0.35">
      <c r="D36" s="47" t="s">
        <v>271</v>
      </c>
      <c r="E36">
        <f>E34-E30</f>
        <v>-42.701092700000004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DCF4F-FCFB-4BD3-8469-0F9A8ABF460A}">
  <dimension ref="A1:G10"/>
  <sheetViews>
    <sheetView workbookViewId="0">
      <selection activeCell="B4" sqref="B4"/>
    </sheetView>
  </sheetViews>
  <sheetFormatPr defaultRowHeight="14.5" x14ac:dyDescent="0.35"/>
  <cols>
    <col min="6" max="6" width="32.7265625" customWidth="1"/>
  </cols>
  <sheetData>
    <row r="1" spans="1:7" x14ac:dyDescent="0.35">
      <c r="A1" s="46" t="s">
        <v>276</v>
      </c>
    </row>
    <row r="2" spans="1:7" x14ac:dyDescent="0.35">
      <c r="A2" s="152" t="s">
        <v>277</v>
      </c>
      <c r="B2" s="154" t="s">
        <v>212</v>
      </c>
      <c r="C2" s="155" t="s">
        <v>213</v>
      </c>
      <c r="D2" t="s">
        <v>278</v>
      </c>
      <c r="F2" t="s">
        <v>279</v>
      </c>
      <c r="G2">
        <v>4.4249999999999998</v>
      </c>
    </row>
    <row r="3" spans="1:7" x14ac:dyDescent="0.35">
      <c r="A3" t="s">
        <v>280</v>
      </c>
      <c r="B3">
        <f>-'Geo Forces'!H20</f>
        <v>1991.1782000000001</v>
      </c>
      <c r="C3">
        <f>-'Geo Forces'!H38</f>
        <v>1616.8639000000001</v>
      </c>
      <c r="F3" t="s">
        <v>281</v>
      </c>
      <c r="G3">
        <f>G2-Parameters!K4</f>
        <v>3.4249999999999998</v>
      </c>
    </row>
    <row r="4" spans="1:7" x14ac:dyDescent="0.35">
      <c r="A4" t="s">
        <v>282</v>
      </c>
      <c r="B4">
        <f>Parameters!F4*($G$2-($G$3-(($G$4/2)*Parameters!$F$8)))</f>
        <v>600</v>
      </c>
      <c r="C4">
        <f>Parameters!F5*($G$2-($G$3-(($G$4/2)*Parameters!$F$9)))</f>
        <v>900</v>
      </c>
      <c r="F4" t="s">
        <v>283</v>
      </c>
      <c r="G4">
        <v>2</v>
      </c>
    </row>
    <row r="5" spans="1:7" x14ac:dyDescent="0.35">
      <c r="A5" t="s">
        <v>284</v>
      </c>
      <c r="B5">
        <f>Parameters!$K$6*(($G$4/2)*Parameters!$F$10)</f>
        <v>1000</v>
      </c>
      <c r="C5">
        <f>Parameters!$K$7*(($G$4/2)*Parameters!$F$11)</f>
        <v>1000</v>
      </c>
    </row>
    <row r="6" spans="1:7" x14ac:dyDescent="0.35">
      <c r="F6" t="s">
        <v>285</v>
      </c>
    </row>
    <row r="7" spans="1:7" x14ac:dyDescent="0.35">
      <c r="A7" s="153" t="s">
        <v>286</v>
      </c>
      <c r="B7" s="154" t="s">
        <v>212</v>
      </c>
      <c r="C7" s="155" t="s">
        <v>213</v>
      </c>
      <c r="D7" t="s">
        <v>287</v>
      </c>
      <c r="F7" t="s">
        <v>288</v>
      </c>
    </row>
    <row r="8" spans="1:7" x14ac:dyDescent="0.35">
      <c r="A8" t="s">
        <v>280</v>
      </c>
      <c r="B8">
        <f>-'Geo Forces'!D20</f>
        <v>286.73020000000002</v>
      </c>
      <c r="C8">
        <f>-'Geo Forces'!E38</f>
        <v>694.44619999999998</v>
      </c>
    </row>
    <row r="9" spans="1:7" x14ac:dyDescent="0.35">
      <c r="A9" t="s">
        <v>282</v>
      </c>
      <c r="B9">
        <f>Parameters!F4*($G$2-($G$3+(($G$4/2)*Parameters!$F$8)))</f>
        <v>0</v>
      </c>
      <c r="C9">
        <f>Parameters!F5*($G$2-($G$3+(($G$4/2)*Parameters!$F$9)))</f>
        <v>0</v>
      </c>
    </row>
    <row r="10" spans="1:7" x14ac:dyDescent="0.35">
      <c r="A10" t="s">
        <v>284</v>
      </c>
      <c r="B10">
        <f>Parameters!$K$6*(($G$4/2)*Parameters!$F$10)</f>
        <v>1000</v>
      </c>
      <c r="C10">
        <f>Parameters!$K$7*(($G$4/2)*Parameters!$F$11)</f>
        <v>1000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63E56-CF89-42AA-BCA7-9EF8AA8C689A}">
  <dimension ref="A1"/>
  <sheetViews>
    <sheetView topLeftCell="B1" workbookViewId="0">
      <selection activeCell="F33" sqref="F33"/>
    </sheetView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Flow_SignoffStatus xmlns="cedb6cce-4789-47d7-80e7-084ae43e5aeb" xsi:nil="true"/>
    <TaxCatchAll xmlns="451e9e83-0d82-4a6b-ab34-314dfff0ce35" xsi:nil="true"/>
    <lcf76f155ced4ddcb4097134ff3c332f xmlns="cedb6cce-4789-47d7-80e7-084ae43e5aeb">
      <Terms xmlns="http://schemas.microsoft.com/office/infopath/2007/PartnerControls"/>
    </lcf76f155ced4ddcb4097134ff3c332f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B04E478543B71439A8B446FAE864F93" ma:contentTypeVersion="21" ma:contentTypeDescription="Create a new document." ma:contentTypeScope="" ma:versionID="ab1d43c324b5e14d8333cd633f6ee0a0">
  <xsd:schema xmlns:xsd="http://www.w3.org/2001/XMLSchema" xmlns:xs="http://www.w3.org/2001/XMLSchema" xmlns:p="http://schemas.microsoft.com/office/2006/metadata/properties" xmlns:ns1="http://schemas.microsoft.com/sharepoint/v3" xmlns:ns2="cedb6cce-4789-47d7-80e7-084ae43e5aeb" xmlns:ns3="451e9e83-0d82-4a6b-ab34-314dfff0ce35" targetNamespace="http://schemas.microsoft.com/office/2006/metadata/properties" ma:root="true" ma:fieldsID="bac3fe62d9fb2ad2b67ec932b03bcfea" ns1:_="" ns2:_="" ns3:_="">
    <xsd:import namespace="http://schemas.microsoft.com/sharepoint/v3"/>
    <xsd:import namespace="cedb6cce-4789-47d7-80e7-084ae43e5aeb"/>
    <xsd:import namespace="451e9e83-0d82-4a6b-ab34-314dfff0ce3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_Flow_SignoffStatus" minOccurs="0"/>
                <xsd:element ref="ns2:MediaServiceSearchProperties" minOccurs="0"/>
                <xsd:element ref="ns2:MediaServiceObjectDetectorVersions" minOccurs="0"/>
                <xsd:element ref="ns1:_ip_UnifiedCompliancePolicyProperties" minOccurs="0"/>
                <xsd:element ref="ns1:_ip_UnifiedCompliancePolicyUIAc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6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7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db6cce-4789-47d7-80e7-084ae43e5ae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552db424-83e4-4b18-a664-0b46eae255e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_Flow_SignoffStatus" ma:index="23" nillable="true" ma:displayName="Sign-off status" ma:internalName="Sign_x002d_off_x0020_status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51e9e83-0d82-4a6b-ab34-314dfff0ce35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57e87c3e-9629-437d-8359-a09cad94bbfc}" ma:internalName="TaxCatchAll" ma:showField="CatchAllData" ma:web="451e9e83-0d82-4a6b-ab34-314dfff0ce3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7D3C9A4-DECC-45B4-BD47-E6C1E78A4079}">
  <ds:schemaRefs>
    <ds:schemaRef ds:uri="http://schemas.microsoft.com/office/2006/metadata/properties"/>
    <ds:schemaRef ds:uri="http://schemas.microsoft.com/office/infopath/2007/PartnerControls"/>
    <ds:schemaRef ds:uri="cedb6cce-4789-47d7-80e7-084ae43e5aeb"/>
    <ds:schemaRef ds:uri="451e9e83-0d82-4a6b-ab34-314dfff0ce35"/>
    <ds:schemaRef ds:uri="http://schemas.microsoft.com/sharepoint/v3"/>
  </ds:schemaRefs>
</ds:datastoreItem>
</file>

<file path=customXml/itemProps2.xml><?xml version="1.0" encoding="utf-8"?>
<ds:datastoreItem xmlns:ds="http://schemas.openxmlformats.org/officeDocument/2006/customXml" ds:itemID="{33B0E582-8221-4AEF-B830-2EAF58C1DAD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cedb6cce-4789-47d7-80e7-084ae43e5aeb"/>
    <ds:schemaRef ds:uri="451e9e83-0d82-4a6b-ab34-314dfff0ce3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4A18FDE-D87D-412B-9D8C-C9A505D9ED8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Parameters</vt:lpstr>
      <vt:lpstr>Tire Data</vt:lpstr>
      <vt:lpstr>Geo Points</vt:lpstr>
      <vt:lpstr>BRS Camber &amp; Toe Gain</vt:lpstr>
      <vt:lpstr>Motor Data</vt:lpstr>
      <vt:lpstr>Damper Data --</vt:lpstr>
      <vt:lpstr>Tire Load Cases</vt:lpstr>
      <vt:lpstr>Geo Forces</vt:lpstr>
      <vt:lpstr>Steel A-Arm Tube Force Analysis</vt:lpstr>
      <vt:lpstr>CF A-Arm Tube Force Analysis</vt:lpstr>
      <vt:lpstr>A-Arm Mount Analysis</vt:lpstr>
      <vt:lpstr>Upright Force Analysis</vt:lpstr>
      <vt:lpstr>Bellcrank-ARB Force Analysis</vt:lpstr>
      <vt:lpstr>Setups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Yash Goswami</dc:creator>
  <cp:keywords/>
  <dc:description/>
  <cp:lastModifiedBy>Yash Jayesh Goswami</cp:lastModifiedBy>
  <cp:revision/>
  <dcterms:created xsi:type="dcterms:W3CDTF">2022-06-19T12:42:23Z</dcterms:created>
  <dcterms:modified xsi:type="dcterms:W3CDTF">2023-11-20T01:45:48Z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0x0101000B04E478543B71439A8B446FAE864F93</vt:lpwstr>
  </property>
  <property fmtid="{D5CDD505-2E9C-101B-9397-08002B2CF9AE}" pid="3" name="MediaServiceImageTags">
    <vt:lpwstr/>
  </property>
</Properties>
</file>