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/style1.xml" ContentType="application/vnd.ms-office.chart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externalLinks/externalLink2.xml" ContentType="application/vnd.openxmlformats-officedocument.spreadsheetml.externalLink+xml"/>
  <Override PartName="/xl/metadata.xml" ContentType="application/vnd.openxmlformats-officedocument.spreadsheetml.sheetMetadata+xml"/>
  <Override PartName="/xl/externalLinks/externalLink1.xml" ContentType="application/vnd.openxmlformats-officedocument.spreadsheetml.externalLink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rps Racing\_Simulation\Purojekuto (YM) D\"/>
    </mc:Choice>
  </mc:AlternateContent>
  <xr:revisionPtr revIDLastSave="0" documentId="13_ncr:1_{9F3FF88A-4058-46BF-A854-675A3AB7A079}" xr6:coauthVersionLast="47" xr6:coauthVersionMax="47" xr10:uidLastSave="{00000000-0000-0000-0000-000000000000}"/>
  <bookViews>
    <workbookView xWindow="1416" yWindow="2604" windowWidth="17280" windowHeight="8964" tabRatio="696" firstSheet="1" activeTab="1" xr2:uid="{559BFB7A-9BBA-4C72-BBD1-49C097DF3BF1}"/>
  </bookViews>
  <sheets>
    <sheet name="Order" sheetId="17" r:id="rId1"/>
    <sheet name="Input + Tire Forces" sheetId="1" r:id="rId2"/>
    <sheet name="Steering" sheetId="5" r:id="rId3"/>
    <sheet name="Slip Angle" sheetId="4" r:id="rId4"/>
    <sheet name="Steering Angle Sweep" sheetId="15" r:id="rId5"/>
    <sheet name="Geo Points + Force Sim" sheetId="9" r:id="rId6"/>
    <sheet name="Springs and Dampers" sheetId="7" r:id="rId7"/>
    <sheet name="TTX25 Data" sheetId="16" r:id="rId8"/>
    <sheet name="ARB" sheetId="10" r:id="rId9"/>
    <sheet name="Braking + Initial DF Sim" sheetId="8" r:id="rId10"/>
    <sheet name="Time + Accel Sim --" sheetId="2" r:id="rId11"/>
    <sheet name="Velocity &amp; G's Sim" sheetId="6" r:id="rId12"/>
    <sheet name="Optimal Steer Angle Sim" sheetId="14" r:id="rId13"/>
    <sheet name="K_ARB vs. Roll Gradient Sim" sheetId="11" r:id="rId14"/>
    <sheet name="Driver Force -&gt; Lock Up Sim" sheetId="12" r:id="rId15"/>
    <sheet name="YMD Setup" sheetId="13" r:id="rId16"/>
  </sheets>
  <externalReferences>
    <externalReference r:id="rId17"/>
    <externalReference r:id="rId18"/>
  </externalReferences>
  <definedNames>
    <definedName name="solver_adj" localSheetId="12" hidden="1">'Optimal Steer Angle Sim'!#REF!</definedName>
    <definedName name="solver_cvg" localSheetId="12" hidden="1">0.0001</definedName>
    <definedName name="solver_drv" localSheetId="12" hidden="1">2</definedName>
    <definedName name="solver_eng" localSheetId="12" hidden="1">1</definedName>
    <definedName name="solver_est" localSheetId="12" hidden="1">1</definedName>
    <definedName name="solver_itr" localSheetId="12" hidden="1">2147483647</definedName>
    <definedName name="solver_mip" localSheetId="12" hidden="1">2147483647</definedName>
    <definedName name="solver_mni" localSheetId="12" hidden="1">30</definedName>
    <definedName name="solver_mrt" localSheetId="12" hidden="1">0.075</definedName>
    <definedName name="solver_msl" localSheetId="12" hidden="1">2</definedName>
    <definedName name="solver_neg" localSheetId="12" hidden="1">1</definedName>
    <definedName name="solver_nod" localSheetId="12" hidden="1">2147483647</definedName>
    <definedName name="solver_num" localSheetId="12" hidden="1">0</definedName>
    <definedName name="solver_nwt" localSheetId="12" hidden="1">1</definedName>
    <definedName name="solver_opt" localSheetId="12" hidden="1">'Optimal Steer Angle Sim'!$F$242</definedName>
    <definedName name="solver_pre" localSheetId="12" hidden="1">0.000001</definedName>
    <definedName name="solver_rbv" localSheetId="12" hidden="1">2</definedName>
    <definedName name="solver_rlx" localSheetId="12" hidden="1">2</definedName>
    <definedName name="solver_rsd" localSheetId="12" hidden="1">0</definedName>
    <definedName name="solver_scl" localSheetId="12" hidden="1">2</definedName>
    <definedName name="solver_sho" localSheetId="12" hidden="1">2</definedName>
    <definedName name="solver_ssz" localSheetId="12" hidden="1">100</definedName>
    <definedName name="solver_tim" localSheetId="12" hidden="1">2147483647</definedName>
    <definedName name="solver_tol" localSheetId="12" hidden="1">0.01</definedName>
    <definedName name="solver_typ" localSheetId="12" hidden="1">3</definedName>
    <definedName name="solver_val" localSheetId="12" hidden="1">80.937827</definedName>
    <definedName name="solver_ver" localSheetId="1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2" i="10" l="1"/>
  <c r="I51" i="10"/>
  <c r="I54" i="10" l="1"/>
  <c r="L15" i="11"/>
  <c r="M15" i="11"/>
  <c r="L16" i="11"/>
  <c r="M16" i="11"/>
  <c r="L17" i="11"/>
  <c r="M17" i="11"/>
  <c r="L46" i="1"/>
  <c r="L47" i="1"/>
  <c r="J3" i="9"/>
  <c r="N13" i="2"/>
  <c r="I9" i="2"/>
  <c r="I8" i="2"/>
  <c r="I6" i="2"/>
  <c r="I5" i="2"/>
  <c r="I3" i="2"/>
  <c r="I2" i="2"/>
  <c r="N16" i="2" l="1"/>
  <c r="I14" i="2"/>
  <c r="I15" i="2" s="1"/>
  <c r="I18" i="2" s="1"/>
  <c r="N12" i="9"/>
  <c r="N13" i="9"/>
  <c r="N14" i="9"/>
  <c r="N15" i="9"/>
  <c r="N16" i="9"/>
  <c r="AZ31" i="9"/>
  <c r="AZ30" i="9"/>
  <c r="AZ29" i="9"/>
  <c r="Z31" i="9"/>
  <c r="Z30" i="9"/>
  <c r="Z29" i="9"/>
  <c r="N17" i="2" l="1"/>
  <c r="I16" i="2"/>
  <c r="I17" i="2" s="1"/>
  <c r="G8" i="1" l="1"/>
  <c r="T9" i="1" l="1"/>
  <c r="Q44" i="1"/>
  <c r="Q45" i="1"/>
  <c r="A8" i="11"/>
  <c r="Z14" i="6"/>
  <c r="B18" i="14"/>
  <c r="B17" i="14"/>
  <c r="B16" i="14"/>
  <c r="B15" i="14"/>
  <c r="AX4" i="14"/>
  <c r="B45" i="14" s="1"/>
  <c r="AY3" i="14"/>
  <c r="AY2" i="14"/>
  <c r="AT2" i="14"/>
  <c r="AS2" i="14"/>
  <c r="B28" i="14"/>
  <c r="B27" i="14"/>
  <c r="B26" i="14"/>
  <c r="B25" i="14"/>
  <c r="B24" i="14"/>
  <c r="B23" i="14"/>
  <c r="B22" i="14"/>
  <c r="B21" i="14"/>
  <c r="B20" i="14"/>
  <c r="B1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R223" i="14"/>
  <c r="Q223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R206" i="14"/>
  <c r="Q206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R189" i="14"/>
  <c r="Q189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R172" i="14"/>
  <c r="Q172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R155" i="14"/>
  <c r="Q155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R138" i="14"/>
  <c r="Q138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R121" i="14"/>
  <c r="Q121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R104" i="14"/>
  <c r="Q104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R87" i="14"/>
  <c r="Q87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R70" i="14"/>
  <c r="Q70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R53" i="14"/>
  <c r="Q53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R36" i="14"/>
  <c r="Q36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R19" i="14"/>
  <c r="Q19" i="14"/>
  <c r="W17" i="14"/>
  <c r="W16" i="14"/>
  <c r="W15" i="14"/>
  <c r="W14" i="14"/>
  <c r="W13" i="14"/>
  <c r="Q2" i="14"/>
  <c r="W3" i="14"/>
  <c r="W4" i="14"/>
  <c r="W5" i="14"/>
  <c r="W6" i="14"/>
  <c r="W7" i="14"/>
  <c r="W8" i="14"/>
  <c r="W9" i="14"/>
  <c r="W10" i="14"/>
  <c r="W11" i="14"/>
  <c r="W12" i="14"/>
  <c r="W2" i="14"/>
  <c r="Q40" i="1"/>
  <c r="E11" i="4"/>
  <c r="A7" i="5"/>
  <c r="B10" i="14"/>
  <c r="B9" i="14"/>
  <c r="B6" i="14"/>
  <c r="D6" i="14" s="1"/>
  <c r="N144" i="14" s="1"/>
  <c r="B5" i="14"/>
  <c r="B4" i="14"/>
  <c r="B2" i="15"/>
  <c r="B44" i="15"/>
  <c r="B43" i="15"/>
  <c r="B42" i="15"/>
  <c r="D42" i="15" s="1"/>
  <c r="B41" i="15"/>
  <c r="D41" i="15" s="1"/>
  <c r="A3" i="15"/>
  <c r="B3" i="15" s="1"/>
  <c r="D2" i="15" l="1"/>
  <c r="F2" i="15" s="1"/>
  <c r="H2" i="15" s="1"/>
  <c r="C2" i="15"/>
  <c r="N111" i="14"/>
  <c r="P111" i="14" s="1"/>
  <c r="R111" i="14" s="1"/>
  <c r="T111" i="14" s="1"/>
  <c r="P144" i="14"/>
  <c r="R144" i="14" s="1"/>
  <c r="N232" i="14"/>
  <c r="N174" i="14"/>
  <c r="N122" i="14"/>
  <c r="P122" i="14" s="1"/>
  <c r="R122" i="14" s="1"/>
  <c r="T122" i="14" s="1"/>
  <c r="N160" i="14"/>
  <c r="O160" i="14" s="1"/>
  <c r="Q160" i="14" s="1"/>
  <c r="S160" i="14" s="1"/>
  <c r="N161" i="14"/>
  <c r="P161" i="14" s="1"/>
  <c r="R161" i="14" s="1"/>
  <c r="T161" i="14" s="1"/>
  <c r="N136" i="14"/>
  <c r="O136" i="14" s="1"/>
  <c r="Q136" i="14" s="1"/>
  <c r="S136" i="14" s="1"/>
  <c r="N110" i="14"/>
  <c r="P110" i="14" s="1"/>
  <c r="R110" i="14" s="1"/>
  <c r="T110" i="14" s="1"/>
  <c r="N192" i="14"/>
  <c r="O192" i="14" s="1"/>
  <c r="Q192" i="14" s="1"/>
  <c r="S192" i="14" s="1"/>
  <c r="N236" i="14"/>
  <c r="P236" i="14" s="1"/>
  <c r="R236" i="14" s="1"/>
  <c r="T236" i="14" s="1"/>
  <c r="N130" i="14"/>
  <c r="P130" i="14" s="1"/>
  <c r="R130" i="14" s="1"/>
  <c r="T130" i="14" s="1"/>
  <c r="AV2" i="14"/>
  <c r="N203" i="14"/>
  <c r="P203" i="14" s="1"/>
  <c r="R203" i="14" s="1"/>
  <c r="N219" i="14"/>
  <c r="O219" i="14" s="1"/>
  <c r="Q219" i="14" s="1"/>
  <c r="S219" i="14" s="1"/>
  <c r="N182" i="14"/>
  <c r="P182" i="14" s="1"/>
  <c r="R182" i="14" s="1"/>
  <c r="T182" i="14" s="1"/>
  <c r="AU2" i="14"/>
  <c r="N143" i="14"/>
  <c r="O143" i="14" s="1"/>
  <c r="Q143" i="14" s="1"/>
  <c r="S143" i="14" s="1"/>
  <c r="N183" i="14"/>
  <c r="P183" i="14" s="1"/>
  <c r="R183" i="14" s="1"/>
  <c r="T183" i="14" s="1"/>
  <c r="N134" i="14"/>
  <c r="P134" i="14" s="1"/>
  <c r="R134" i="14" s="1"/>
  <c r="T134" i="14" s="1"/>
  <c r="N145" i="14"/>
  <c r="O145" i="14" s="1"/>
  <c r="Q145" i="14" s="1"/>
  <c r="S145" i="14" s="1"/>
  <c r="N159" i="14"/>
  <c r="P159" i="14" s="1"/>
  <c r="R159" i="14" s="1"/>
  <c r="T159" i="14" s="1"/>
  <c r="N185" i="14"/>
  <c r="P185" i="14" s="1"/>
  <c r="R185" i="14" s="1"/>
  <c r="T185" i="14" s="1"/>
  <c r="N212" i="14"/>
  <c r="P212" i="14" s="1"/>
  <c r="R212" i="14" s="1"/>
  <c r="T212" i="14" s="1"/>
  <c r="N181" i="14"/>
  <c r="P181" i="14" s="1"/>
  <c r="R181" i="14" s="1"/>
  <c r="T181" i="14" s="1"/>
  <c r="N193" i="14"/>
  <c r="O193" i="14" s="1"/>
  <c r="Q193" i="14" s="1"/>
  <c r="N142" i="14"/>
  <c r="P142" i="14" s="1"/>
  <c r="R142" i="14" s="1"/>
  <c r="N208" i="14"/>
  <c r="O208" i="14" s="1"/>
  <c r="Q208" i="14" s="1"/>
  <c r="S208" i="14" s="1"/>
  <c r="N194" i="14"/>
  <c r="P194" i="14" s="1"/>
  <c r="R194" i="14" s="1"/>
  <c r="T194" i="14" s="1"/>
  <c r="N224" i="14"/>
  <c r="P224" i="14" s="1"/>
  <c r="R224" i="14" s="1"/>
  <c r="T224" i="14" s="1"/>
  <c r="N119" i="14"/>
  <c r="O119" i="14" s="1"/>
  <c r="Q119" i="14" s="1"/>
  <c r="S119" i="14" s="1"/>
  <c r="N108" i="14"/>
  <c r="P108" i="14" s="1"/>
  <c r="R108" i="14" s="1"/>
  <c r="T108" i="14" s="1"/>
  <c r="N135" i="14"/>
  <c r="P135" i="14" s="1"/>
  <c r="R135" i="14" s="1"/>
  <c r="T135" i="14" s="1"/>
  <c r="N173" i="14"/>
  <c r="P173" i="14" s="1"/>
  <c r="R173" i="14" s="1"/>
  <c r="T173" i="14" s="1"/>
  <c r="N237" i="14"/>
  <c r="P237" i="14" s="1"/>
  <c r="R237" i="14" s="1"/>
  <c r="T237" i="14" s="1"/>
  <c r="N109" i="14"/>
  <c r="P109" i="14" s="1"/>
  <c r="R109" i="14" s="1"/>
  <c r="T109" i="14" s="1"/>
  <c r="N184" i="14"/>
  <c r="P184" i="14" s="1"/>
  <c r="R184" i="14" s="1"/>
  <c r="T184" i="14" s="1"/>
  <c r="P174" i="14"/>
  <c r="R174" i="14" s="1"/>
  <c r="T174" i="14" s="1"/>
  <c r="N126" i="14"/>
  <c r="N152" i="14"/>
  <c r="O152" i="14" s="1"/>
  <c r="Q152" i="14" s="1"/>
  <c r="N164" i="14"/>
  <c r="O164" i="14" s="1"/>
  <c r="Q164" i="14" s="1"/>
  <c r="S164" i="14" s="1"/>
  <c r="N229" i="14"/>
  <c r="P229" i="14" s="1"/>
  <c r="R229" i="14" s="1"/>
  <c r="T229" i="14" s="1"/>
  <c r="N175" i="14"/>
  <c r="O175" i="14" s="1"/>
  <c r="Q175" i="14" s="1"/>
  <c r="S175" i="14" s="1"/>
  <c r="N112" i="14"/>
  <c r="O112" i="14" s="1"/>
  <c r="Q112" i="14" s="1"/>
  <c r="N151" i="14"/>
  <c r="P151" i="14" s="1"/>
  <c r="R151" i="14" s="1"/>
  <c r="T151" i="14" s="1"/>
  <c r="N165" i="14"/>
  <c r="O165" i="14" s="1"/>
  <c r="Q165" i="14" s="1"/>
  <c r="S165" i="14" s="1"/>
  <c r="AP3" i="14"/>
  <c r="AR3" i="14" s="1"/>
  <c r="AT3" i="14" s="1"/>
  <c r="AV3" i="14" s="1"/>
  <c r="AX5" i="14"/>
  <c r="AY4" i="14"/>
  <c r="AP4" i="14" s="1"/>
  <c r="T142" i="14"/>
  <c r="S172" i="14"/>
  <c r="T172" i="14"/>
  <c r="P152" i="14"/>
  <c r="R152" i="14" s="1"/>
  <c r="T152" i="14" s="1"/>
  <c r="O144" i="14"/>
  <c r="Q144" i="14" s="1"/>
  <c r="S144" i="14" s="1"/>
  <c r="N101" i="14"/>
  <c r="P101" i="14" s="1"/>
  <c r="R101" i="14" s="1"/>
  <c r="T101" i="14" s="1"/>
  <c r="N231" i="14"/>
  <c r="P231" i="14" s="1"/>
  <c r="R231" i="14" s="1"/>
  <c r="T231" i="14" s="1"/>
  <c r="N199" i="14"/>
  <c r="P199" i="14" s="1"/>
  <c r="R199" i="14" s="1"/>
  <c r="T199" i="14" s="1"/>
  <c r="N180" i="14"/>
  <c r="P180" i="14" s="1"/>
  <c r="R180" i="14" s="1"/>
  <c r="T180" i="14" s="1"/>
  <c r="N157" i="14"/>
  <c r="P157" i="14" s="1"/>
  <c r="R157" i="14" s="1"/>
  <c r="T157" i="14" s="1"/>
  <c r="N214" i="14"/>
  <c r="P214" i="14" s="1"/>
  <c r="R214" i="14" s="1"/>
  <c r="T214" i="14" s="1"/>
  <c r="N197" i="14"/>
  <c r="P197" i="14" s="1"/>
  <c r="R197" i="14" s="1"/>
  <c r="N162" i="14"/>
  <c r="O162" i="14" s="1"/>
  <c r="Q162" i="14" s="1"/>
  <c r="S162" i="14" s="1"/>
  <c r="N148" i="14"/>
  <c r="P148" i="14" s="1"/>
  <c r="R148" i="14" s="1"/>
  <c r="T148" i="14" s="1"/>
  <c r="N106" i="14"/>
  <c r="P106" i="14" s="1"/>
  <c r="R106" i="14" s="1"/>
  <c r="T106" i="14" s="1"/>
  <c r="N178" i="14"/>
  <c r="P178" i="14" s="1"/>
  <c r="R178" i="14" s="1"/>
  <c r="T178" i="14" s="1"/>
  <c r="N124" i="14"/>
  <c r="O124" i="14" s="1"/>
  <c r="Q124" i="14" s="1"/>
  <c r="S124" i="14" s="1"/>
  <c r="N234" i="14"/>
  <c r="P234" i="14" s="1"/>
  <c r="R234" i="14" s="1"/>
  <c r="T234" i="14" s="1"/>
  <c r="N196" i="14"/>
  <c r="O196" i="14" s="1"/>
  <c r="Q196" i="14" s="1"/>
  <c r="S196" i="14" s="1"/>
  <c r="N169" i="14"/>
  <c r="O169" i="14" s="1"/>
  <c r="Q169" i="14" s="1"/>
  <c r="S169" i="14" s="1"/>
  <c r="N217" i="14"/>
  <c r="O217" i="14" s="1"/>
  <c r="Q217" i="14" s="1"/>
  <c r="S217" i="14" s="1"/>
  <c r="N153" i="14"/>
  <c r="P153" i="14" s="1"/>
  <c r="R153" i="14" s="1"/>
  <c r="T153" i="14" s="1"/>
  <c r="N146" i="14"/>
  <c r="P146" i="14" s="1"/>
  <c r="R146" i="14" s="1"/>
  <c r="T146" i="14" s="1"/>
  <c r="N123" i="14"/>
  <c r="P123" i="14" s="1"/>
  <c r="R123" i="14" s="1"/>
  <c r="T123" i="14" s="1"/>
  <c r="N195" i="14"/>
  <c r="P195" i="14" s="1"/>
  <c r="R195" i="14" s="1"/>
  <c r="T195" i="14" s="1"/>
  <c r="N235" i="14"/>
  <c r="P235" i="14" s="1"/>
  <c r="R235" i="14" s="1"/>
  <c r="T235" i="14" s="1"/>
  <c r="N170" i="14"/>
  <c r="O170" i="14" s="1"/>
  <c r="Q170" i="14" s="1"/>
  <c r="S170" i="14" s="1"/>
  <c r="N163" i="14"/>
  <c r="O163" i="14" s="1"/>
  <c r="Q163" i="14" s="1"/>
  <c r="S163" i="14" s="1"/>
  <c r="N141" i="14"/>
  <c r="P141" i="14" s="1"/>
  <c r="R141" i="14" s="1"/>
  <c r="T141" i="14" s="1"/>
  <c r="N133" i="14"/>
  <c r="O133" i="14" s="1"/>
  <c r="Q133" i="14" s="1"/>
  <c r="S133" i="14" s="1"/>
  <c r="N125" i="14"/>
  <c r="P125" i="14" s="1"/>
  <c r="R125" i="14" s="1"/>
  <c r="T125" i="14" s="1"/>
  <c r="N116" i="14"/>
  <c r="P116" i="14" s="1"/>
  <c r="R116" i="14" s="1"/>
  <c r="T116" i="14" s="1"/>
  <c r="N107" i="14"/>
  <c r="P107" i="14" s="1"/>
  <c r="R107" i="14" s="1"/>
  <c r="T107" i="14" s="1"/>
  <c r="N226" i="14"/>
  <c r="P226" i="14" s="1"/>
  <c r="R226" i="14" s="1"/>
  <c r="T226" i="14" s="1"/>
  <c r="N115" i="14"/>
  <c r="O115" i="14" s="1"/>
  <c r="Q115" i="14" s="1"/>
  <c r="S115" i="14" s="1"/>
  <c r="N187" i="14"/>
  <c r="P187" i="14" s="1"/>
  <c r="R187" i="14" s="1"/>
  <c r="T187" i="14" s="1"/>
  <c r="N132" i="14"/>
  <c r="O132" i="14" s="1"/>
  <c r="Q132" i="14" s="1"/>
  <c r="S132" i="14" s="1"/>
  <c r="N221" i="14"/>
  <c r="P221" i="14" s="1"/>
  <c r="R221" i="14" s="1"/>
  <c r="T221" i="14" s="1"/>
  <c r="N140" i="14"/>
  <c r="P140" i="14" s="1"/>
  <c r="R140" i="14" s="1"/>
  <c r="T140" i="14" s="1"/>
  <c r="N114" i="14"/>
  <c r="O114" i="14" s="1"/>
  <c r="Q114" i="14" s="1"/>
  <c r="S114" i="14" s="1"/>
  <c r="O161" i="14"/>
  <c r="Q161" i="14" s="1"/>
  <c r="S161" i="14" s="1"/>
  <c r="N131" i="14"/>
  <c r="P131" i="14" s="1"/>
  <c r="R131" i="14" s="1"/>
  <c r="T131" i="14" s="1"/>
  <c r="N218" i="14"/>
  <c r="O218" i="14" s="1"/>
  <c r="Q218" i="14" s="1"/>
  <c r="S218" i="14" s="1"/>
  <c r="N179" i="14"/>
  <c r="O179" i="14" s="1"/>
  <c r="Q179" i="14" s="1"/>
  <c r="S179" i="14" s="1"/>
  <c r="N230" i="14"/>
  <c r="O230" i="14" s="1"/>
  <c r="Q230" i="14" s="1"/>
  <c r="S230" i="14" s="1"/>
  <c r="N210" i="14"/>
  <c r="P210" i="14" s="1"/>
  <c r="R210" i="14" s="1"/>
  <c r="T210" i="14" s="1"/>
  <c r="N238" i="14"/>
  <c r="O238" i="14" s="1"/>
  <c r="Q238" i="14" s="1"/>
  <c r="S238" i="14" s="1"/>
  <c r="N186" i="14"/>
  <c r="P186" i="14" s="1"/>
  <c r="R186" i="14" s="1"/>
  <c r="T186" i="14" s="1"/>
  <c r="N225" i="14"/>
  <c r="P225" i="14" s="1"/>
  <c r="R225" i="14" s="1"/>
  <c r="T225" i="14" s="1"/>
  <c r="N213" i="14"/>
  <c r="P213" i="14" s="1"/>
  <c r="R213" i="14" s="1"/>
  <c r="T213" i="14" s="1"/>
  <c r="N204" i="14"/>
  <c r="P204" i="14" s="1"/>
  <c r="R204" i="14" s="1"/>
  <c r="T204" i="14" s="1"/>
  <c r="N127" i="14"/>
  <c r="P127" i="14" s="1"/>
  <c r="R127" i="14" s="1"/>
  <c r="T127" i="14" s="1"/>
  <c r="P208" i="14"/>
  <c r="R208" i="14" s="1"/>
  <c r="T208" i="14" s="1"/>
  <c r="N128" i="14"/>
  <c r="O128" i="14" s="1"/>
  <c r="Q128" i="14" s="1"/>
  <c r="S128" i="14" s="1"/>
  <c r="N166" i="14"/>
  <c r="P166" i="14" s="1"/>
  <c r="R166" i="14" s="1"/>
  <c r="T166" i="14" s="1"/>
  <c r="N227" i="14"/>
  <c r="P227" i="14" s="1"/>
  <c r="R227" i="14" s="1"/>
  <c r="T227" i="14" s="1"/>
  <c r="N149" i="14"/>
  <c r="O149" i="14" s="1"/>
  <c r="Q149" i="14" s="1"/>
  <c r="S149" i="14" s="1"/>
  <c r="N201" i="14"/>
  <c r="P201" i="14" s="1"/>
  <c r="R201" i="14" s="1"/>
  <c r="T201" i="14" s="1"/>
  <c r="N220" i="14"/>
  <c r="P220" i="14" s="1"/>
  <c r="R220" i="14" s="1"/>
  <c r="T220" i="14" s="1"/>
  <c r="N200" i="14"/>
  <c r="O200" i="14" s="1"/>
  <c r="Q200" i="14" s="1"/>
  <c r="S200" i="14" s="1"/>
  <c r="N233" i="14"/>
  <c r="P233" i="14" s="1"/>
  <c r="R233" i="14" s="1"/>
  <c r="T233" i="14" s="1"/>
  <c r="N215" i="14"/>
  <c r="P215" i="14" s="1"/>
  <c r="R215" i="14" s="1"/>
  <c r="T215" i="14" s="1"/>
  <c r="N118" i="14"/>
  <c r="O118" i="14" s="1"/>
  <c r="Q118" i="14" s="1"/>
  <c r="S118" i="14" s="1"/>
  <c r="N158" i="14"/>
  <c r="P158" i="14" s="1"/>
  <c r="R158" i="14" s="1"/>
  <c r="T158" i="14" s="1"/>
  <c r="N167" i="14"/>
  <c r="P167" i="14" s="1"/>
  <c r="R167" i="14" s="1"/>
  <c r="T167" i="14" s="1"/>
  <c r="N190" i="14"/>
  <c r="O190" i="14" s="1"/>
  <c r="Q190" i="14" s="1"/>
  <c r="S190" i="14" s="1"/>
  <c r="N209" i="14"/>
  <c r="P209" i="14" s="1"/>
  <c r="R209" i="14" s="1"/>
  <c r="T209" i="14" s="1"/>
  <c r="N176" i="14"/>
  <c r="P176" i="14" s="1"/>
  <c r="R176" i="14" s="1"/>
  <c r="T176" i="14" s="1"/>
  <c r="N117" i="14"/>
  <c r="O117" i="14" s="1"/>
  <c r="Q117" i="14" s="1"/>
  <c r="S117" i="14" s="1"/>
  <c r="N129" i="14"/>
  <c r="P129" i="14" s="1"/>
  <c r="R129" i="14" s="1"/>
  <c r="T129" i="14" s="1"/>
  <c r="N150" i="14"/>
  <c r="P150" i="14" s="1"/>
  <c r="R150" i="14" s="1"/>
  <c r="T150" i="14" s="1"/>
  <c r="N191" i="14"/>
  <c r="P191" i="14" s="1"/>
  <c r="R191" i="14" s="1"/>
  <c r="T191" i="14" s="1"/>
  <c r="N202" i="14"/>
  <c r="P202" i="14" s="1"/>
  <c r="R202" i="14" s="1"/>
  <c r="T202" i="14" s="1"/>
  <c r="N216" i="14"/>
  <c r="N228" i="14"/>
  <c r="P228" i="14" s="1"/>
  <c r="R228" i="14" s="1"/>
  <c r="T228" i="14" s="1"/>
  <c r="T121" i="14"/>
  <c r="N139" i="14"/>
  <c r="P139" i="14" s="1"/>
  <c r="R139" i="14" s="1"/>
  <c r="T139" i="14" s="1"/>
  <c r="N168" i="14"/>
  <c r="O168" i="14" s="1"/>
  <c r="Q168" i="14" s="1"/>
  <c r="S168" i="14" s="1"/>
  <c r="N147" i="14"/>
  <c r="P147" i="14" s="1"/>
  <c r="R147" i="14" s="1"/>
  <c r="T147" i="14" s="1"/>
  <c r="S189" i="14"/>
  <c r="N177" i="14"/>
  <c r="P177" i="14" s="1"/>
  <c r="R177" i="14" s="1"/>
  <c r="T177" i="14" s="1"/>
  <c r="N156" i="14"/>
  <c r="P156" i="14" s="1"/>
  <c r="R156" i="14" s="1"/>
  <c r="T156" i="14" s="1"/>
  <c r="T189" i="14"/>
  <c r="N198" i="14"/>
  <c r="P198" i="14" s="1"/>
  <c r="R198" i="14" s="1"/>
  <c r="T198" i="14" s="1"/>
  <c r="N207" i="14"/>
  <c r="P207" i="14" s="1"/>
  <c r="R207" i="14" s="1"/>
  <c r="T207" i="14" s="1"/>
  <c r="S223" i="14"/>
  <c r="N113" i="14"/>
  <c r="P113" i="14" s="1"/>
  <c r="R113" i="14" s="1"/>
  <c r="T113" i="14" s="1"/>
  <c r="N105" i="14"/>
  <c r="P105" i="14" s="1"/>
  <c r="R105" i="14" s="1"/>
  <c r="T105" i="14" s="1"/>
  <c r="N211" i="14"/>
  <c r="O211" i="14" s="1"/>
  <c r="Q211" i="14" s="1"/>
  <c r="S211" i="14" s="1"/>
  <c r="T223" i="14"/>
  <c r="T144" i="14"/>
  <c r="S193" i="14"/>
  <c r="S138" i="14"/>
  <c r="S152" i="14"/>
  <c r="T203" i="14"/>
  <c r="S121" i="14"/>
  <c r="S112" i="14"/>
  <c r="T104" i="14"/>
  <c r="S155" i="14"/>
  <c r="T206" i="14"/>
  <c r="S104" i="14"/>
  <c r="T138" i="14"/>
  <c r="S206" i="14"/>
  <c r="T155" i="14"/>
  <c r="T197" i="14"/>
  <c r="P232" i="14"/>
  <c r="R232" i="14" s="1"/>
  <c r="T232" i="14" s="1"/>
  <c r="O232" i="14"/>
  <c r="Q232" i="14" s="1"/>
  <c r="S232" i="14" s="1"/>
  <c r="O236" i="14"/>
  <c r="Q236" i="14" s="1"/>
  <c r="S236" i="14" s="1"/>
  <c r="O214" i="14"/>
  <c r="Q214" i="14" s="1"/>
  <c r="S214" i="14" s="1"/>
  <c r="O194" i="14"/>
  <c r="Q194" i="14" s="1"/>
  <c r="S194" i="14" s="1"/>
  <c r="O197" i="14"/>
  <c r="Q197" i="14" s="1"/>
  <c r="S197" i="14" s="1"/>
  <c r="O203" i="14"/>
  <c r="Q203" i="14" s="1"/>
  <c r="S203" i="14" s="1"/>
  <c r="O204" i="14"/>
  <c r="Q204" i="14" s="1"/>
  <c r="S204" i="14" s="1"/>
  <c r="P179" i="14"/>
  <c r="R179" i="14" s="1"/>
  <c r="T179" i="14" s="1"/>
  <c r="O174" i="14"/>
  <c r="Q174" i="14" s="1"/>
  <c r="S174" i="14" s="1"/>
  <c r="P160" i="14"/>
  <c r="R160" i="14" s="1"/>
  <c r="T160" i="14" s="1"/>
  <c r="O156" i="14"/>
  <c r="Q156" i="14" s="1"/>
  <c r="S156" i="14" s="1"/>
  <c r="O142" i="14"/>
  <c r="Q142" i="14" s="1"/>
  <c r="S142" i="14" s="1"/>
  <c r="O153" i="14"/>
  <c r="Q153" i="14" s="1"/>
  <c r="S153" i="14" s="1"/>
  <c r="P126" i="14"/>
  <c r="R126" i="14" s="1"/>
  <c r="T126" i="14" s="1"/>
  <c r="O126" i="14"/>
  <c r="Q126" i="14" s="1"/>
  <c r="S126" i="14" s="1"/>
  <c r="O110" i="14"/>
  <c r="Q110" i="14" s="1"/>
  <c r="S110" i="14" s="1"/>
  <c r="O111" i="14"/>
  <c r="Q111" i="14" s="1"/>
  <c r="S111" i="14" s="1"/>
  <c r="N97" i="14"/>
  <c r="P97" i="14" s="1"/>
  <c r="R97" i="14" s="1"/>
  <c r="T97" i="14" s="1"/>
  <c r="N88" i="14"/>
  <c r="P88" i="14" s="1"/>
  <c r="R88" i="14" s="1"/>
  <c r="T88" i="14" s="1"/>
  <c r="N98" i="14"/>
  <c r="O98" i="14" s="1"/>
  <c r="Q98" i="14" s="1"/>
  <c r="S98" i="14" s="1"/>
  <c r="N99" i="14"/>
  <c r="P99" i="14" s="1"/>
  <c r="R99" i="14" s="1"/>
  <c r="T99" i="14" s="1"/>
  <c r="N90" i="14"/>
  <c r="P90" i="14" s="1"/>
  <c r="R90" i="14" s="1"/>
  <c r="T90" i="14" s="1"/>
  <c r="N100" i="14"/>
  <c r="O100" i="14" s="1"/>
  <c r="Q100" i="14" s="1"/>
  <c r="S100" i="14" s="1"/>
  <c r="N91" i="14"/>
  <c r="P91" i="14" s="1"/>
  <c r="R91" i="14" s="1"/>
  <c r="T91" i="14" s="1"/>
  <c r="N81" i="14"/>
  <c r="P81" i="14" s="1"/>
  <c r="R81" i="14" s="1"/>
  <c r="T81" i="14" s="1"/>
  <c r="N94" i="14"/>
  <c r="P94" i="14" s="1"/>
  <c r="R94" i="14" s="1"/>
  <c r="T94" i="14" s="1"/>
  <c r="N89" i="14"/>
  <c r="P89" i="14" s="1"/>
  <c r="R89" i="14" s="1"/>
  <c r="T89" i="14" s="1"/>
  <c r="N77" i="14"/>
  <c r="O77" i="14" s="1"/>
  <c r="Q77" i="14" s="1"/>
  <c r="S77" i="14" s="1"/>
  <c r="N95" i="14"/>
  <c r="O95" i="14" s="1"/>
  <c r="Q95" i="14" s="1"/>
  <c r="S95" i="14" s="1"/>
  <c r="N96" i="14"/>
  <c r="P96" i="14" s="1"/>
  <c r="R96" i="14" s="1"/>
  <c r="T96" i="14" s="1"/>
  <c r="N92" i="14"/>
  <c r="O92" i="14" s="1"/>
  <c r="Q92" i="14" s="1"/>
  <c r="S92" i="14" s="1"/>
  <c r="S87" i="14"/>
  <c r="N93" i="14"/>
  <c r="P93" i="14" s="1"/>
  <c r="R93" i="14" s="1"/>
  <c r="T93" i="14" s="1"/>
  <c r="N102" i="14"/>
  <c r="O102" i="14" s="1"/>
  <c r="Q102" i="14" s="1"/>
  <c r="S102" i="14" s="1"/>
  <c r="T87" i="14"/>
  <c r="O88" i="14"/>
  <c r="Q88" i="14" s="1"/>
  <c r="S88" i="14" s="1"/>
  <c r="O97" i="14"/>
  <c r="Q97" i="14" s="1"/>
  <c r="S97" i="14" s="1"/>
  <c r="N79" i="14"/>
  <c r="P79" i="14" s="1"/>
  <c r="R79" i="14" s="1"/>
  <c r="T79" i="14" s="1"/>
  <c r="N72" i="14"/>
  <c r="O72" i="14" s="1"/>
  <c r="Q72" i="14" s="1"/>
  <c r="S72" i="14" s="1"/>
  <c r="N59" i="14"/>
  <c r="P59" i="14" s="1"/>
  <c r="R59" i="14" s="1"/>
  <c r="T59" i="14" s="1"/>
  <c r="N80" i="14"/>
  <c r="P80" i="14" s="1"/>
  <c r="R80" i="14" s="1"/>
  <c r="T80" i="14" s="1"/>
  <c r="N60" i="14"/>
  <c r="P60" i="14" s="1"/>
  <c r="R60" i="14" s="1"/>
  <c r="T60" i="14" s="1"/>
  <c r="N83" i="14"/>
  <c r="P83" i="14" s="1"/>
  <c r="R83" i="14" s="1"/>
  <c r="T83" i="14" s="1"/>
  <c r="N84" i="14"/>
  <c r="P84" i="14" s="1"/>
  <c r="R84" i="14" s="1"/>
  <c r="T84" i="14" s="1"/>
  <c r="N75" i="14"/>
  <c r="O75" i="14" s="1"/>
  <c r="Q75" i="14" s="1"/>
  <c r="S75" i="14" s="1"/>
  <c r="N78" i="14"/>
  <c r="P78" i="14" s="1"/>
  <c r="R78" i="14" s="1"/>
  <c r="T78" i="14" s="1"/>
  <c r="S70" i="14"/>
  <c r="T70" i="14"/>
  <c r="N58" i="14"/>
  <c r="P58" i="14" s="1"/>
  <c r="R58" i="14" s="1"/>
  <c r="T58" i="14" s="1"/>
  <c r="N73" i="14"/>
  <c r="O73" i="14" s="1"/>
  <c r="Q73" i="14" s="1"/>
  <c r="S73" i="14" s="1"/>
  <c r="N82" i="14"/>
  <c r="O82" i="14" s="1"/>
  <c r="Q82" i="14" s="1"/>
  <c r="S82" i="14" s="1"/>
  <c r="N74" i="14"/>
  <c r="O74" i="14" s="1"/>
  <c r="Q74" i="14" s="1"/>
  <c r="S74" i="14" s="1"/>
  <c r="N76" i="14"/>
  <c r="P76" i="14" s="1"/>
  <c r="R76" i="14" s="1"/>
  <c r="T76" i="14" s="1"/>
  <c r="N85" i="14"/>
  <c r="P85" i="14" s="1"/>
  <c r="R85" i="14" s="1"/>
  <c r="T85" i="14" s="1"/>
  <c r="N71" i="14"/>
  <c r="O71" i="14" s="1"/>
  <c r="Q71" i="14" s="1"/>
  <c r="S71" i="14" s="1"/>
  <c r="N56" i="14"/>
  <c r="P56" i="14" s="1"/>
  <c r="R56" i="14" s="1"/>
  <c r="T56" i="14" s="1"/>
  <c r="N61" i="14"/>
  <c r="O61" i="14" s="1"/>
  <c r="Q61" i="14" s="1"/>
  <c r="S61" i="14" s="1"/>
  <c r="N62" i="14"/>
  <c r="P62" i="14" s="1"/>
  <c r="R62" i="14" s="1"/>
  <c r="T62" i="14" s="1"/>
  <c r="N63" i="14"/>
  <c r="P63" i="14" s="1"/>
  <c r="R63" i="14" s="1"/>
  <c r="T63" i="14" s="1"/>
  <c r="N64" i="14"/>
  <c r="P64" i="14" s="1"/>
  <c r="R64" i="14" s="1"/>
  <c r="T64" i="14" s="1"/>
  <c r="N65" i="14"/>
  <c r="P65" i="14" s="1"/>
  <c r="R65" i="14" s="1"/>
  <c r="T65" i="14" s="1"/>
  <c r="N40" i="14"/>
  <c r="P40" i="14" s="1"/>
  <c r="R40" i="14" s="1"/>
  <c r="T40" i="14" s="1"/>
  <c r="N54" i="14"/>
  <c r="P54" i="14" s="1"/>
  <c r="R54" i="14" s="1"/>
  <c r="T54" i="14" s="1"/>
  <c r="N66" i="14"/>
  <c r="P66" i="14" s="1"/>
  <c r="R66" i="14" s="1"/>
  <c r="T66" i="14" s="1"/>
  <c r="N55" i="14"/>
  <c r="P55" i="14" s="1"/>
  <c r="R55" i="14" s="1"/>
  <c r="T55" i="14" s="1"/>
  <c r="N41" i="14"/>
  <c r="O41" i="14" s="1"/>
  <c r="Q41" i="14" s="1"/>
  <c r="S41" i="14" s="1"/>
  <c r="T53" i="14"/>
  <c r="N67" i="14"/>
  <c r="O67" i="14" s="1"/>
  <c r="Q67" i="14" s="1"/>
  <c r="S67" i="14" s="1"/>
  <c r="N47" i="14"/>
  <c r="P47" i="14" s="1"/>
  <c r="R47" i="14" s="1"/>
  <c r="T47" i="14" s="1"/>
  <c r="N57" i="14"/>
  <c r="P57" i="14" s="1"/>
  <c r="R57" i="14" s="1"/>
  <c r="T57" i="14" s="1"/>
  <c r="N68" i="14"/>
  <c r="P68" i="14" s="1"/>
  <c r="R68" i="14" s="1"/>
  <c r="T68" i="14" s="1"/>
  <c r="S53" i="14"/>
  <c r="N45" i="14"/>
  <c r="O45" i="14" s="1"/>
  <c r="Q45" i="14" s="1"/>
  <c r="S45" i="14" s="1"/>
  <c r="N48" i="14"/>
  <c r="O48" i="14" s="1"/>
  <c r="Q48" i="14" s="1"/>
  <c r="S48" i="14" s="1"/>
  <c r="N49" i="14"/>
  <c r="P49" i="14" s="1"/>
  <c r="R49" i="14" s="1"/>
  <c r="T49" i="14" s="1"/>
  <c r="S36" i="14"/>
  <c r="N44" i="14"/>
  <c r="P44" i="14" s="1"/>
  <c r="R44" i="14" s="1"/>
  <c r="T44" i="14" s="1"/>
  <c r="T36" i="14"/>
  <c r="N42" i="14"/>
  <c r="O42" i="14" s="1"/>
  <c r="Q42" i="14" s="1"/>
  <c r="S42" i="14" s="1"/>
  <c r="N22" i="14"/>
  <c r="P22" i="14" s="1"/>
  <c r="R22" i="14" s="1"/>
  <c r="T22" i="14" s="1"/>
  <c r="N43" i="14"/>
  <c r="O43" i="14" s="1"/>
  <c r="Q43" i="14" s="1"/>
  <c r="S43" i="14" s="1"/>
  <c r="N37" i="14"/>
  <c r="O37" i="14" s="1"/>
  <c r="Q37" i="14" s="1"/>
  <c r="S37" i="14" s="1"/>
  <c r="N50" i="14"/>
  <c r="P50" i="14" s="1"/>
  <c r="R50" i="14" s="1"/>
  <c r="T50" i="14" s="1"/>
  <c r="N46" i="14"/>
  <c r="P46" i="14" s="1"/>
  <c r="R46" i="14" s="1"/>
  <c r="T46" i="14" s="1"/>
  <c r="N38" i="14"/>
  <c r="P38" i="14" s="1"/>
  <c r="R38" i="14" s="1"/>
  <c r="T38" i="14" s="1"/>
  <c r="N51" i="14"/>
  <c r="P51" i="14" s="1"/>
  <c r="R51" i="14" s="1"/>
  <c r="T51" i="14" s="1"/>
  <c r="N39" i="14"/>
  <c r="P39" i="14" s="1"/>
  <c r="R39" i="14" s="1"/>
  <c r="T39" i="14" s="1"/>
  <c r="N28" i="14"/>
  <c r="P28" i="14" s="1"/>
  <c r="R28" i="14" s="1"/>
  <c r="T28" i="14" s="1"/>
  <c r="N20" i="14"/>
  <c r="P20" i="14" s="1"/>
  <c r="R20" i="14" s="1"/>
  <c r="T20" i="14" s="1"/>
  <c r="N30" i="14"/>
  <c r="P30" i="14" s="1"/>
  <c r="R30" i="14" s="1"/>
  <c r="T30" i="14" s="1"/>
  <c r="N21" i="14"/>
  <c r="O21" i="14" s="1"/>
  <c r="Q21" i="14" s="1"/>
  <c r="S21" i="14" s="1"/>
  <c r="N29" i="14"/>
  <c r="O29" i="14" s="1"/>
  <c r="Q29" i="14" s="1"/>
  <c r="S29" i="14" s="1"/>
  <c r="N12" i="14"/>
  <c r="P12" i="14" s="1"/>
  <c r="R12" i="14" s="1"/>
  <c r="T12" i="14" s="1"/>
  <c r="N32" i="14"/>
  <c r="P32" i="14" s="1"/>
  <c r="R32" i="14" s="1"/>
  <c r="T32" i="14" s="1"/>
  <c r="N33" i="14"/>
  <c r="P33" i="14" s="1"/>
  <c r="R33" i="14" s="1"/>
  <c r="T33" i="14" s="1"/>
  <c r="N26" i="14"/>
  <c r="P26" i="14" s="1"/>
  <c r="R26" i="14" s="1"/>
  <c r="T26" i="14" s="1"/>
  <c r="N34" i="14"/>
  <c r="P34" i="14" s="1"/>
  <c r="R34" i="14" s="1"/>
  <c r="T34" i="14" s="1"/>
  <c r="N31" i="14"/>
  <c r="P31" i="14" s="1"/>
  <c r="R31" i="14" s="1"/>
  <c r="T31" i="14" s="1"/>
  <c r="N25" i="14"/>
  <c r="P25" i="14" s="1"/>
  <c r="R25" i="14" s="1"/>
  <c r="T25" i="14" s="1"/>
  <c r="S19" i="14"/>
  <c r="N23" i="14"/>
  <c r="P23" i="14" s="1"/>
  <c r="R23" i="14" s="1"/>
  <c r="T23" i="14" s="1"/>
  <c r="N24" i="14"/>
  <c r="P24" i="14" s="1"/>
  <c r="R24" i="14" s="1"/>
  <c r="T24" i="14" s="1"/>
  <c r="T19" i="14"/>
  <c r="N27" i="14"/>
  <c r="O27" i="14" s="1"/>
  <c r="Q27" i="14" s="1"/>
  <c r="S27" i="14" s="1"/>
  <c r="N16" i="14"/>
  <c r="P16" i="14" s="1"/>
  <c r="R16" i="14" s="1"/>
  <c r="T16" i="14" s="1"/>
  <c r="N17" i="14"/>
  <c r="O17" i="14" s="1"/>
  <c r="Q17" i="14" s="1"/>
  <c r="S17" i="14" s="1"/>
  <c r="N10" i="14"/>
  <c r="O10" i="14" s="1"/>
  <c r="Q10" i="14" s="1"/>
  <c r="S10" i="14" s="1"/>
  <c r="N11" i="14"/>
  <c r="O11" i="14" s="1"/>
  <c r="Q11" i="14" s="1"/>
  <c r="S11" i="14" s="1"/>
  <c r="N14" i="14"/>
  <c r="P14" i="14" s="1"/>
  <c r="R14" i="14" s="1"/>
  <c r="T14" i="14" s="1"/>
  <c r="N6" i="14"/>
  <c r="P6" i="14" s="1"/>
  <c r="R6" i="14" s="1"/>
  <c r="T6" i="14" s="1"/>
  <c r="N15" i="14"/>
  <c r="P15" i="14" s="1"/>
  <c r="R15" i="14" s="1"/>
  <c r="T15" i="14" s="1"/>
  <c r="N3" i="14"/>
  <c r="O3" i="14" s="1"/>
  <c r="Q3" i="14" s="1"/>
  <c r="S3" i="14" s="1"/>
  <c r="N13" i="14"/>
  <c r="O13" i="14" s="1"/>
  <c r="Q13" i="14" s="1"/>
  <c r="S13" i="14" s="1"/>
  <c r="N5" i="14"/>
  <c r="P5" i="14" s="1"/>
  <c r="R5" i="14" s="1"/>
  <c r="T5" i="14" s="1"/>
  <c r="N4" i="14"/>
  <c r="P4" i="14" s="1"/>
  <c r="R4" i="14" s="1"/>
  <c r="T4" i="14" s="1"/>
  <c r="N9" i="14"/>
  <c r="N8" i="14"/>
  <c r="O8" i="14" s="1"/>
  <c r="Q8" i="14" s="1"/>
  <c r="S8" i="14" s="1"/>
  <c r="N7" i="14"/>
  <c r="O7" i="14" s="1"/>
  <c r="Q7" i="14" s="1"/>
  <c r="S7" i="14" s="1"/>
  <c r="S2" i="14"/>
  <c r="R2" i="14"/>
  <c r="T2" i="14" s="1"/>
  <c r="A4" i="15"/>
  <c r="A5" i="15" s="1"/>
  <c r="C3" i="15"/>
  <c r="E3" i="15" s="1"/>
  <c r="G3" i="15" s="1"/>
  <c r="I3" i="15" s="1"/>
  <c r="A6" i="15"/>
  <c r="B5" i="15"/>
  <c r="C5" i="15" s="1"/>
  <c r="B4" i="15"/>
  <c r="C4" i="15" s="1"/>
  <c r="O228" i="14" l="1"/>
  <c r="Q228" i="14" s="1"/>
  <c r="S228" i="14" s="1"/>
  <c r="P71" i="14"/>
  <c r="R71" i="14" s="1"/>
  <c r="T71" i="14" s="1"/>
  <c r="P114" i="14"/>
  <c r="R114" i="14" s="1"/>
  <c r="T114" i="14" s="1"/>
  <c r="P149" i="14"/>
  <c r="R149" i="14" s="1"/>
  <c r="T149" i="14" s="1"/>
  <c r="P112" i="14"/>
  <c r="R112" i="14" s="1"/>
  <c r="T112" i="14" s="1"/>
  <c r="O150" i="14"/>
  <c r="Q150" i="14" s="1"/>
  <c r="S150" i="14" s="1"/>
  <c r="P136" i="14"/>
  <c r="R136" i="14" s="1"/>
  <c r="T136" i="14" s="1"/>
  <c r="P118" i="14"/>
  <c r="R118" i="14" s="1"/>
  <c r="T118" i="14" s="1"/>
  <c r="O108" i="14"/>
  <c r="Q108" i="14" s="1"/>
  <c r="S108" i="14" s="1"/>
  <c r="P219" i="14"/>
  <c r="R219" i="14" s="1"/>
  <c r="T219" i="14" s="1"/>
  <c r="O229" i="14"/>
  <c r="Q229" i="14" s="1"/>
  <c r="S229" i="14" s="1"/>
  <c r="O131" i="14"/>
  <c r="Q131" i="14" s="1"/>
  <c r="S131" i="14" s="1"/>
  <c r="O122" i="14"/>
  <c r="Q122" i="14" s="1"/>
  <c r="S122" i="14" s="1"/>
  <c r="P192" i="14"/>
  <c r="R192" i="14" s="1"/>
  <c r="T192" i="14" s="1"/>
  <c r="O224" i="14"/>
  <c r="Q224" i="14" s="1"/>
  <c r="S224" i="14" s="1"/>
  <c r="O195" i="14"/>
  <c r="Q195" i="14" s="1"/>
  <c r="S195" i="14" s="1"/>
  <c r="O235" i="14"/>
  <c r="Q235" i="14" s="1"/>
  <c r="S235" i="14" s="1"/>
  <c r="O135" i="14"/>
  <c r="Q135" i="14" s="1"/>
  <c r="S135" i="14" s="1"/>
  <c r="O182" i="14"/>
  <c r="Q182" i="14" s="1"/>
  <c r="S182" i="14" s="1"/>
  <c r="O130" i="14"/>
  <c r="Q130" i="14" s="1"/>
  <c r="S130" i="14" s="1"/>
  <c r="P175" i="14"/>
  <c r="R175" i="14" s="1"/>
  <c r="T175" i="14" s="1"/>
  <c r="P193" i="14"/>
  <c r="R193" i="14" s="1"/>
  <c r="T193" i="14" s="1"/>
  <c r="O146" i="14"/>
  <c r="Q146" i="14" s="1"/>
  <c r="S146" i="14" s="1"/>
  <c r="P190" i="14"/>
  <c r="R190" i="14" s="1"/>
  <c r="T190" i="14" s="1"/>
  <c r="O134" i="14"/>
  <c r="Q134" i="14" s="1"/>
  <c r="S134" i="14" s="1"/>
  <c r="O184" i="14"/>
  <c r="Q184" i="14" s="1"/>
  <c r="S184" i="14" s="1"/>
  <c r="O185" i="14"/>
  <c r="Q185" i="14" s="1"/>
  <c r="S185" i="14" s="1"/>
  <c r="O213" i="14"/>
  <c r="Q213" i="14" s="1"/>
  <c r="S213" i="14" s="1"/>
  <c r="O101" i="14"/>
  <c r="Q101" i="14" s="1"/>
  <c r="S101" i="14" s="1"/>
  <c r="O159" i="14"/>
  <c r="Q159" i="14" s="1"/>
  <c r="S159" i="14" s="1"/>
  <c r="O173" i="14"/>
  <c r="Q173" i="14" s="1"/>
  <c r="S173" i="14" s="1"/>
  <c r="O180" i="14"/>
  <c r="Q180" i="14" s="1"/>
  <c r="S180" i="14" s="1"/>
  <c r="O151" i="14"/>
  <c r="Q151" i="14" s="1"/>
  <c r="S151" i="14" s="1"/>
  <c r="P143" i="14"/>
  <c r="R143" i="14" s="1"/>
  <c r="T143" i="14" s="1"/>
  <c r="O116" i="14"/>
  <c r="Q116" i="14" s="1"/>
  <c r="S116" i="14" s="1"/>
  <c r="P164" i="14"/>
  <c r="R164" i="14" s="1"/>
  <c r="T164" i="14" s="1"/>
  <c r="O215" i="14"/>
  <c r="Q215" i="14" s="1"/>
  <c r="S215" i="14" s="1"/>
  <c r="O212" i="14"/>
  <c r="Q212" i="14" s="1"/>
  <c r="S212" i="14" s="1"/>
  <c r="P145" i="14"/>
  <c r="R145" i="14" s="1"/>
  <c r="T145" i="14" s="1"/>
  <c r="O127" i="14"/>
  <c r="Q127" i="14" s="1"/>
  <c r="S127" i="14" s="1"/>
  <c r="O187" i="14"/>
  <c r="Q187" i="14" s="1"/>
  <c r="S187" i="14" s="1"/>
  <c r="O140" i="14"/>
  <c r="Q140" i="14" s="1"/>
  <c r="S140" i="14" s="1"/>
  <c r="O221" i="14"/>
  <c r="Q221" i="14" s="1"/>
  <c r="S221" i="14" s="1"/>
  <c r="O157" i="14"/>
  <c r="Q157" i="14" s="1"/>
  <c r="S157" i="14" s="1"/>
  <c r="P132" i="14"/>
  <c r="R132" i="14" s="1"/>
  <c r="T132" i="14" s="1"/>
  <c r="O181" i="14"/>
  <c r="Q181" i="14" s="1"/>
  <c r="S181" i="14" s="1"/>
  <c r="AQ3" i="14"/>
  <c r="AS3" i="14" s="1"/>
  <c r="AU3" i="14" s="1"/>
  <c r="O123" i="14"/>
  <c r="Q123" i="14" s="1"/>
  <c r="S123" i="14" s="1"/>
  <c r="O183" i="14"/>
  <c r="Q183" i="14" s="1"/>
  <c r="S183" i="14" s="1"/>
  <c r="O202" i="14"/>
  <c r="Q202" i="14" s="1"/>
  <c r="S202" i="14" s="1"/>
  <c r="O158" i="14"/>
  <c r="Q158" i="14" s="1"/>
  <c r="S158" i="14" s="1"/>
  <c r="P119" i="14"/>
  <c r="R119" i="14" s="1"/>
  <c r="T119" i="14" s="1"/>
  <c r="O186" i="14"/>
  <c r="Q186" i="14" s="1"/>
  <c r="S186" i="14" s="1"/>
  <c r="O220" i="14"/>
  <c r="Q220" i="14" s="1"/>
  <c r="S220" i="14" s="1"/>
  <c r="B43" i="14"/>
  <c r="O148" i="14"/>
  <c r="Q148" i="14" s="1"/>
  <c r="S148" i="14" s="1"/>
  <c r="B42" i="14"/>
  <c r="O147" i="14"/>
  <c r="Q147" i="14" s="1"/>
  <c r="S147" i="14" s="1"/>
  <c r="P165" i="14"/>
  <c r="R165" i="14" s="1"/>
  <c r="T165" i="14" s="1"/>
  <c r="O178" i="14"/>
  <c r="Q178" i="14" s="1"/>
  <c r="S178" i="14" s="1"/>
  <c r="O225" i="14"/>
  <c r="Q225" i="14" s="1"/>
  <c r="S225" i="14" s="1"/>
  <c r="P115" i="14"/>
  <c r="R115" i="14" s="1"/>
  <c r="T115" i="14" s="1"/>
  <c r="P163" i="14"/>
  <c r="R163" i="14" s="1"/>
  <c r="T163" i="14" s="1"/>
  <c r="P211" i="14"/>
  <c r="R211" i="14" s="1"/>
  <c r="T211" i="14" s="1"/>
  <c r="P117" i="14"/>
  <c r="R117" i="14" s="1"/>
  <c r="T117" i="14" s="1"/>
  <c r="O207" i="14"/>
  <c r="Q207" i="14" s="1"/>
  <c r="S207" i="14" s="1"/>
  <c r="P170" i="14"/>
  <c r="R170" i="14" s="1"/>
  <c r="T170" i="14" s="1"/>
  <c r="O141" i="14"/>
  <c r="Q141" i="14" s="1"/>
  <c r="S141" i="14" s="1"/>
  <c r="P162" i="14"/>
  <c r="R162" i="14" s="1"/>
  <c r="T162" i="14" s="1"/>
  <c r="O227" i="14"/>
  <c r="Q227" i="14" s="1"/>
  <c r="S227" i="14" s="1"/>
  <c r="O129" i="14"/>
  <c r="Q129" i="14" s="1"/>
  <c r="S129" i="14" s="1"/>
  <c r="O167" i="14"/>
  <c r="Q167" i="14" s="1"/>
  <c r="S167" i="14" s="1"/>
  <c r="O198" i="14"/>
  <c r="Q198" i="14" s="1"/>
  <c r="S198" i="14" s="1"/>
  <c r="O237" i="14"/>
  <c r="Q237" i="14" s="1"/>
  <c r="S237" i="14" s="1"/>
  <c r="B44" i="14"/>
  <c r="O109" i="14"/>
  <c r="Q109" i="14" s="1"/>
  <c r="S109" i="14" s="1"/>
  <c r="P133" i="14"/>
  <c r="R133" i="14" s="1"/>
  <c r="T133" i="14" s="1"/>
  <c r="O233" i="14"/>
  <c r="Q233" i="14" s="1"/>
  <c r="S233" i="14" s="1"/>
  <c r="AR4" i="14"/>
  <c r="AT4" i="14" s="1"/>
  <c r="AV4" i="14" s="1"/>
  <c r="AQ4" i="14"/>
  <c r="AS4" i="14" s="1"/>
  <c r="AU4" i="14" s="1"/>
  <c r="AY5" i="14"/>
  <c r="AP5" i="14" s="1"/>
  <c r="AX6" i="14"/>
  <c r="B40" i="14" s="1"/>
  <c r="P169" i="14"/>
  <c r="R169" i="14" s="1"/>
  <c r="T169" i="14" s="1"/>
  <c r="O226" i="14"/>
  <c r="Q226" i="14" s="1"/>
  <c r="S226" i="14" s="1"/>
  <c r="O166" i="14"/>
  <c r="Q166" i="14" s="1"/>
  <c r="S166" i="14" s="1"/>
  <c r="P196" i="14"/>
  <c r="R196" i="14" s="1"/>
  <c r="T196" i="14" s="1"/>
  <c r="O231" i="14"/>
  <c r="Q231" i="14" s="1"/>
  <c r="S231" i="14" s="1"/>
  <c r="P124" i="14"/>
  <c r="R124" i="14" s="1"/>
  <c r="T124" i="14" s="1"/>
  <c r="O216" i="14"/>
  <c r="Q216" i="14" s="1"/>
  <c r="S216" i="14" s="1"/>
  <c r="P216" i="14"/>
  <c r="R216" i="14" s="1"/>
  <c r="T216" i="14" s="1"/>
  <c r="P168" i="14"/>
  <c r="R168" i="14" s="1"/>
  <c r="T168" i="14" s="1"/>
  <c r="O176" i="14"/>
  <c r="Q176" i="14" s="1"/>
  <c r="S176" i="14" s="1"/>
  <c r="O113" i="14"/>
  <c r="Q113" i="14" s="1"/>
  <c r="S113" i="14" s="1"/>
  <c r="O177" i="14"/>
  <c r="Q177" i="14" s="1"/>
  <c r="S177" i="14" s="1"/>
  <c r="O209" i="14"/>
  <c r="Q209" i="14" s="1"/>
  <c r="S209" i="14" s="1"/>
  <c r="P200" i="14"/>
  <c r="R200" i="14" s="1"/>
  <c r="T200" i="14" s="1"/>
  <c r="O125" i="14"/>
  <c r="Q125" i="14" s="1"/>
  <c r="S125" i="14" s="1"/>
  <c r="O107" i="14"/>
  <c r="Q107" i="14" s="1"/>
  <c r="S107" i="14" s="1"/>
  <c r="P217" i="14"/>
  <c r="R217" i="14" s="1"/>
  <c r="T217" i="14" s="1"/>
  <c r="O199" i="14"/>
  <c r="Q199" i="14" s="1"/>
  <c r="S199" i="14" s="1"/>
  <c r="O191" i="14"/>
  <c r="Q191" i="14" s="1"/>
  <c r="S191" i="14" s="1"/>
  <c r="P238" i="14"/>
  <c r="R238" i="14" s="1"/>
  <c r="T238" i="14" s="1"/>
  <c r="P128" i="14"/>
  <c r="R128" i="14" s="1"/>
  <c r="T128" i="14" s="1"/>
  <c r="P218" i="14"/>
  <c r="R218" i="14" s="1"/>
  <c r="T218" i="14" s="1"/>
  <c r="O201" i="14"/>
  <c r="Q201" i="14" s="1"/>
  <c r="S201" i="14" s="1"/>
  <c r="O105" i="14"/>
  <c r="Q105" i="14" s="1"/>
  <c r="S105" i="14" s="1"/>
  <c r="O139" i="14"/>
  <c r="Q139" i="14" s="1"/>
  <c r="S139" i="14" s="1"/>
  <c r="P230" i="14"/>
  <c r="R230" i="14" s="1"/>
  <c r="T230" i="14" s="1"/>
  <c r="O210" i="14"/>
  <c r="Q210" i="14" s="1"/>
  <c r="S210" i="14" s="1"/>
  <c r="O106" i="14"/>
  <c r="Q106" i="14" s="1"/>
  <c r="S106" i="14" s="1"/>
  <c r="O234" i="14"/>
  <c r="Q234" i="14" s="1"/>
  <c r="S234" i="14" s="1"/>
  <c r="O20" i="14"/>
  <c r="Q20" i="14" s="1"/>
  <c r="S20" i="14" s="1"/>
  <c r="O90" i="14"/>
  <c r="Q90" i="14" s="1"/>
  <c r="S90" i="14" s="1"/>
  <c r="O80" i="14"/>
  <c r="Q80" i="14" s="1"/>
  <c r="S80" i="14" s="1"/>
  <c r="P100" i="14"/>
  <c r="R100" i="14" s="1"/>
  <c r="T100" i="14" s="1"/>
  <c r="O81" i="14"/>
  <c r="Q81" i="14" s="1"/>
  <c r="S81" i="14" s="1"/>
  <c r="P77" i="14"/>
  <c r="R77" i="14" s="1"/>
  <c r="T77" i="14" s="1"/>
  <c r="O94" i="14"/>
  <c r="Q94" i="14" s="1"/>
  <c r="S94" i="14" s="1"/>
  <c r="P98" i="14"/>
  <c r="R98" i="14" s="1"/>
  <c r="T98" i="14" s="1"/>
  <c r="O96" i="14"/>
  <c r="Q96" i="14" s="1"/>
  <c r="S96" i="14" s="1"/>
  <c r="P61" i="14"/>
  <c r="R61" i="14" s="1"/>
  <c r="T61" i="14" s="1"/>
  <c r="O60" i="14"/>
  <c r="Q60" i="14" s="1"/>
  <c r="S60" i="14" s="1"/>
  <c r="O66" i="14"/>
  <c r="Q66" i="14" s="1"/>
  <c r="S66" i="14" s="1"/>
  <c r="O93" i="14"/>
  <c r="Q93" i="14" s="1"/>
  <c r="S93" i="14" s="1"/>
  <c r="O89" i="14"/>
  <c r="Q89" i="14" s="1"/>
  <c r="S89" i="14" s="1"/>
  <c r="O99" i="14"/>
  <c r="Q99" i="14" s="1"/>
  <c r="S99" i="14" s="1"/>
  <c r="O91" i="14"/>
  <c r="Q91" i="14" s="1"/>
  <c r="S91" i="14" s="1"/>
  <c r="O78" i="14"/>
  <c r="Q78" i="14" s="1"/>
  <c r="S78" i="14" s="1"/>
  <c r="O65" i="14"/>
  <c r="Q65" i="14" s="1"/>
  <c r="S65" i="14" s="1"/>
  <c r="O64" i="14"/>
  <c r="Q64" i="14" s="1"/>
  <c r="S64" i="14" s="1"/>
  <c r="P74" i="14"/>
  <c r="R74" i="14" s="1"/>
  <c r="T74" i="14" s="1"/>
  <c r="O59" i="14"/>
  <c r="Q59" i="14" s="1"/>
  <c r="S59" i="14" s="1"/>
  <c r="O79" i="14"/>
  <c r="Q79" i="14" s="1"/>
  <c r="S79" i="14" s="1"/>
  <c r="P95" i="14"/>
  <c r="R95" i="14" s="1"/>
  <c r="T95" i="14" s="1"/>
  <c r="P82" i="14"/>
  <c r="R82" i="14" s="1"/>
  <c r="T82" i="14" s="1"/>
  <c r="P102" i="14"/>
  <c r="R102" i="14" s="1"/>
  <c r="T102" i="14" s="1"/>
  <c r="P67" i="14"/>
  <c r="R67" i="14" s="1"/>
  <c r="T67" i="14" s="1"/>
  <c r="O58" i="14"/>
  <c r="Q58" i="14" s="1"/>
  <c r="S58" i="14" s="1"/>
  <c r="P92" i="14"/>
  <c r="R92" i="14" s="1"/>
  <c r="T92" i="14" s="1"/>
  <c r="O57" i="14"/>
  <c r="Q57" i="14" s="1"/>
  <c r="S57" i="14" s="1"/>
  <c r="O56" i="14"/>
  <c r="Q56" i="14" s="1"/>
  <c r="S56" i="14" s="1"/>
  <c r="P75" i="14"/>
  <c r="R75" i="14" s="1"/>
  <c r="T75" i="14" s="1"/>
  <c r="O84" i="14"/>
  <c r="Q84" i="14" s="1"/>
  <c r="S84" i="14" s="1"/>
  <c r="O83" i="14"/>
  <c r="Q83" i="14" s="1"/>
  <c r="S83" i="14" s="1"/>
  <c r="O85" i="14"/>
  <c r="Q85" i="14" s="1"/>
  <c r="S85" i="14" s="1"/>
  <c r="O76" i="14"/>
  <c r="Q76" i="14" s="1"/>
  <c r="S76" i="14" s="1"/>
  <c r="O62" i="14"/>
  <c r="Q62" i="14" s="1"/>
  <c r="S62" i="14" s="1"/>
  <c r="O47" i="14"/>
  <c r="Q47" i="14" s="1"/>
  <c r="S47" i="14" s="1"/>
  <c r="P73" i="14"/>
  <c r="R73" i="14" s="1"/>
  <c r="T73" i="14" s="1"/>
  <c r="P41" i="14"/>
  <c r="R41" i="14" s="1"/>
  <c r="T41" i="14" s="1"/>
  <c r="P72" i="14"/>
  <c r="R72" i="14" s="1"/>
  <c r="T72" i="14" s="1"/>
  <c r="O49" i="14"/>
  <c r="Q49" i="14" s="1"/>
  <c r="S49" i="14" s="1"/>
  <c r="P43" i="14"/>
  <c r="R43" i="14" s="1"/>
  <c r="T43" i="14" s="1"/>
  <c r="O63" i="14"/>
  <c r="Q63" i="14" s="1"/>
  <c r="S63" i="14" s="1"/>
  <c r="O54" i="14"/>
  <c r="Q54" i="14" s="1"/>
  <c r="S54" i="14" s="1"/>
  <c r="O40" i="14"/>
  <c r="Q40" i="14" s="1"/>
  <c r="S40" i="14" s="1"/>
  <c r="O32" i="14"/>
  <c r="Q32" i="14" s="1"/>
  <c r="S32" i="14" s="1"/>
  <c r="P42" i="14"/>
  <c r="R42" i="14" s="1"/>
  <c r="T42" i="14" s="1"/>
  <c r="O50" i="14"/>
  <c r="Q50" i="14" s="1"/>
  <c r="S50" i="14" s="1"/>
  <c r="O55" i="14"/>
  <c r="Q55" i="14" s="1"/>
  <c r="S55" i="14" s="1"/>
  <c r="P45" i="14"/>
  <c r="R45" i="14" s="1"/>
  <c r="T45" i="14" s="1"/>
  <c r="O28" i="14"/>
  <c r="Q28" i="14" s="1"/>
  <c r="S28" i="14" s="1"/>
  <c r="O24" i="14"/>
  <c r="Q24" i="14" s="1"/>
  <c r="S24" i="14" s="1"/>
  <c r="P48" i="14"/>
  <c r="R48" i="14" s="1"/>
  <c r="T48" i="14" s="1"/>
  <c r="O30" i="14"/>
  <c r="Q30" i="14" s="1"/>
  <c r="S30" i="14" s="1"/>
  <c r="O44" i="14"/>
  <c r="Q44" i="14" s="1"/>
  <c r="S44" i="14" s="1"/>
  <c r="O68" i="14"/>
  <c r="Q68" i="14" s="1"/>
  <c r="S68" i="14" s="1"/>
  <c r="O46" i="14"/>
  <c r="Q46" i="14" s="1"/>
  <c r="S46" i="14" s="1"/>
  <c r="O12" i="14"/>
  <c r="Q12" i="14" s="1"/>
  <c r="S12" i="14" s="1"/>
  <c r="O51" i="14"/>
  <c r="Q51" i="14" s="1"/>
  <c r="S51" i="14" s="1"/>
  <c r="P17" i="14"/>
  <c r="R17" i="14" s="1"/>
  <c r="T17" i="14" s="1"/>
  <c r="O38" i="14"/>
  <c r="Q38" i="14" s="1"/>
  <c r="S38" i="14" s="1"/>
  <c r="O39" i="14"/>
  <c r="Q39" i="14" s="1"/>
  <c r="S39" i="14" s="1"/>
  <c r="O22" i="14"/>
  <c r="Q22" i="14" s="1"/>
  <c r="S22" i="14" s="1"/>
  <c r="P37" i="14"/>
  <c r="R37" i="14" s="1"/>
  <c r="T37" i="14" s="1"/>
  <c r="P29" i="14"/>
  <c r="R29" i="14" s="1"/>
  <c r="T29" i="14" s="1"/>
  <c r="P21" i="14"/>
  <c r="R21" i="14" s="1"/>
  <c r="T21" i="14" s="1"/>
  <c r="P11" i="14"/>
  <c r="R11" i="14" s="1"/>
  <c r="T11" i="14" s="1"/>
  <c r="O25" i="14"/>
  <c r="Q25" i="14" s="1"/>
  <c r="S25" i="14" s="1"/>
  <c r="P3" i="14"/>
  <c r="R3" i="14" s="1"/>
  <c r="T3" i="14" s="1"/>
  <c r="O14" i="14"/>
  <c r="Q14" i="14" s="1"/>
  <c r="S14" i="14" s="1"/>
  <c r="O34" i="14"/>
  <c r="Q34" i="14" s="1"/>
  <c r="S34" i="14" s="1"/>
  <c r="O26" i="14"/>
  <c r="Q26" i="14" s="1"/>
  <c r="S26" i="14" s="1"/>
  <c r="O16" i="14"/>
  <c r="Q16" i="14" s="1"/>
  <c r="S16" i="14" s="1"/>
  <c r="O31" i="14"/>
  <c r="Q31" i="14" s="1"/>
  <c r="S31" i="14" s="1"/>
  <c r="P27" i="14"/>
  <c r="R27" i="14" s="1"/>
  <c r="T27" i="14" s="1"/>
  <c r="O23" i="14"/>
  <c r="Q23" i="14" s="1"/>
  <c r="S23" i="14" s="1"/>
  <c r="P10" i="14"/>
  <c r="R10" i="14" s="1"/>
  <c r="T10" i="14" s="1"/>
  <c r="O33" i="14"/>
  <c r="Q33" i="14" s="1"/>
  <c r="S33" i="14" s="1"/>
  <c r="P13" i="14"/>
  <c r="R13" i="14" s="1"/>
  <c r="T13" i="14" s="1"/>
  <c r="O6" i="14"/>
  <c r="Q6" i="14" s="1"/>
  <c r="S6" i="14" s="1"/>
  <c r="O15" i="14"/>
  <c r="Q15" i="14" s="1"/>
  <c r="S15" i="14" s="1"/>
  <c r="O4" i="14"/>
  <c r="Q4" i="14" s="1"/>
  <c r="S4" i="14" s="1"/>
  <c r="O5" i="14"/>
  <c r="Q5" i="14" s="1"/>
  <c r="S5" i="14" s="1"/>
  <c r="P8" i="14"/>
  <c r="R8" i="14" s="1"/>
  <c r="T8" i="14" s="1"/>
  <c r="P7" i="14"/>
  <c r="R7" i="14" s="1"/>
  <c r="T7" i="14" s="1"/>
  <c r="P9" i="14"/>
  <c r="R9" i="14" s="1"/>
  <c r="T9" i="14" s="1"/>
  <c r="O9" i="14"/>
  <c r="Q9" i="14" s="1"/>
  <c r="S9" i="14" s="1"/>
  <c r="D3" i="15"/>
  <c r="F3" i="15" s="1"/>
  <c r="H3" i="15" s="1"/>
  <c r="E2" i="15"/>
  <c r="G2" i="15" s="1"/>
  <c r="I2" i="15" s="1"/>
  <c r="E4" i="15"/>
  <c r="G4" i="15" s="1"/>
  <c r="I4" i="15" s="1"/>
  <c r="D4" i="15"/>
  <c r="F4" i="15" s="1"/>
  <c r="H4" i="15" s="1"/>
  <c r="E5" i="15"/>
  <c r="G5" i="15" s="1"/>
  <c r="I5" i="15" s="1"/>
  <c r="D5" i="15"/>
  <c r="F5" i="15" s="1"/>
  <c r="H5" i="15" s="1"/>
  <c r="B6" i="15"/>
  <c r="C6" i="15" s="1"/>
  <c r="A7" i="15"/>
  <c r="L3" i="8"/>
  <c r="L4" i="8" s="1"/>
  <c r="B12" i="12"/>
  <c r="B13" i="12"/>
  <c r="B14" i="12"/>
  <c r="B15" i="12"/>
  <c r="B18" i="12"/>
  <c r="B19" i="12"/>
  <c r="B21" i="12"/>
  <c r="B22" i="12"/>
  <c r="B25" i="12"/>
  <c r="B28" i="12"/>
  <c r="B30" i="12"/>
  <c r="B11" i="12"/>
  <c r="A11" i="12"/>
  <c r="A12" i="12"/>
  <c r="A13" i="12"/>
  <c r="A14" i="12"/>
  <c r="A15" i="12"/>
  <c r="A17" i="12"/>
  <c r="A18" i="12"/>
  <c r="A19" i="12"/>
  <c r="A20" i="12"/>
  <c r="A21" i="12"/>
  <c r="A22" i="12"/>
  <c r="A24" i="12"/>
  <c r="A25" i="12"/>
  <c r="A26" i="12"/>
  <c r="A28" i="12"/>
  <c r="A30" i="12"/>
  <c r="A10" i="12"/>
  <c r="L266" i="12"/>
  <c r="L297" i="12"/>
  <c r="L298" i="12"/>
  <c r="F261" i="12"/>
  <c r="F262" i="12" s="1"/>
  <c r="F218" i="12"/>
  <c r="L175" i="12"/>
  <c r="F175" i="12"/>
  <c r="L139" i="12"/>
  <c r="L146" i="12"/>
  <c r="F132" i="12"/>
  <c r="L102" i="12"/>
  <c r="L109" i="12"/>
  <c r="L128" i="12"/>
  <c r="F89" i="12"/>
  <c r="F46" i="12"/>
  <c r="F47" i="12" s="1"/>
  <c r="F3" i="12"/>
  <c r="F4" i="12" s="1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B6" i="12"/>
  <c r="B5" i="12"/>
  <c r="B4" i="12"/>
  <c r="B3" i="12"/>
  <c r="B2" i="12"/>
  <c r="L48" i="12" s="1"/>
  <c r="B8" i="2"/>
  <c r="B13" i="2"/>
  <c r="Q33" i="1"/>
  <c r="Q32" i="1"/>
  <c r="Q30" i="1"/>
  <c r="Q29" i="1"/>
  <c r="L30" i="1"/>
  <c r="B4" i="5"/>
  <c r="B5" i="5"/>
  <c r="I35" i="10"/>
  <c r="I34" i="10"/>
  <c r="Q41" i="1"/>
  <c r="I3" i="10" s="1"/>
  <c r="Q42" i="1"/>
  <c r="I4" i="11" s="1"/>
  <c r="Q43" i="1"/>
  <c r="I33" i="10" s="1"/>
  <c r="I30" i="10"/>
  <c r="B5" i="11"/>
  <c r="B4" i="11"/>
  <c r="B2" i="11"/>
  <c r="E3" i="11"/>
  <c r="E2" i="11"/>
  <c r="M4" i="11"/>
  <c r="M5" i="11" s="1"/>
  <c r="L4" i="11"/>
  <c r="L5" i="11" s="1"/>
  <c r="L6" i="11" s="1"/>
  <c r="E31" i="10"/>
  <c r="E30" i="10"/>
  <c r="E2" i="10"/>
  <c r="E3" i="10"/>
  <c r="B33" i="10"/>
  <c r="B32" i="10"/>
  <c r="B4" i="10"/>
  <c r="B30" i="10"/>
  <c r="B2" i="10"/>
  <c r="B5" i="10"/>
  <c r="E52" i="10"/>
  <c r="E51" i="10"/>
  <c r="E54" i="10" s="1"/>
  <c r="E36" i="10" s="1"/>
  <c r="I24" i="10"/>
  <c r="E24" i="10"/>
  <c r="I23" i="10"/>
  <c r="E23" i="10"/>
  <c r="E26" i="10" s="1"/>
  <c r="L252" i="12" l="1"/>
  <c r="L118" i="12"/>
  <c r="L155" i="12"/>
  <c r="L186" i="12"/>
  <c r="L244" i="12"/>
  <c r="L281" i="12"/>
  <c r="L133" i="12"/>
  <c r="L125" i="12"/>
  <c r="L282" i="12"/>
  <c r="L117" i="12"/>
  <c r="L154" i="12"/>
  <c r="L183" i="12"/>
  <c r="L239" i="12"/>
  <c r="L276" i="12"/>
  <c r="L245" i="12"/>
  <c r="L112" i="12"/>
  <c r="L149" i="12"/>
  <c r="L176" i="12"/>
  <c r="L273" i="12"/>
  <c r="L138" i="12"/>
  <c r="L255" i="12"/>
  <c r="L292" i="12"/>
  <c r="L165" i="12"/>
  <c r="L289" i="12"/>
  <c r="L162" i="12"/>
  <c r="E37" i="10"/>
  <c r="I26" i="10"/>
  <c r="E9" i="10" s="1"/>
  <c r="E8" i="10"/>
  <c r="B41" i="14"/>
  <c r="AY6" i="14"/>
  <c r="AP6" i="14" s="1"/>
  <c r="AX7" i="14"/>
  <c r="AR5" i="14"/>
  <c r="AT5" i="14" s="1"/>
  <c r="AV5" i="14" s="1"/>
  <c r="AQ5" i="14"/>
  <c r="AS5" i="14" s="1"/>
  <c r="AU5" i="14" s="1"/>
  <c r="L101" i="12"/>
  <c r="L208" i="12"/>
  <c r="L236" i="12"/>
  <c r="L96" i="12"/>
  <c r="L207" i="12"/>
  <c r="L229" i="12"/>
  <c r="L93" i="12"/>
  <c r="L202" i="12"/>
  <c r="L228" i="12"/>
  <c r="L199" i="12"/>
  <c r="L223" i="12"/>
  <c r="L265" i="12"/>
  <c r="L171" i="12"/>
  <c r="L192" i="12"/>
  <c r="L220" i="12"/>
  <c r="L170" i="12"/>
  <c r="L191" i="12"/>
  <c r="L124" i="12"/>
  <c r="L108" i="12"/>
  <c r="L92" i="12"/>
  <c r="L161" i="12"/>
  <c r="L145" i="12"/>
  <c r="L214" i="12"/>
  <c r="L198" i="12"/>
  <c r="L182" i="12"/>
  <c r="L251" i="12"/>
  <c r="L235" i="12"/>
  <c r="L219" i="12"/>
  <c r="L288" i="12"/>
  <c r="L272" i="12"/>
  <c r="L123" i="12"/>
  <c r="L107" i="12"/>
  <c r="L91" i="12"/>
  <c r="L160" i="12"/>
  <c r="L144" i="12"/>
  <c r="L213" i="12"/>
  <c r="L197" i="12"/>
  <c r="L181" i="12"/>
  <c r="L250" i="12"/>
  <c r="L234" i="12"/>
  <c r="L218" i="12"/>
  <c r="L287" i="12"/>
  <c r="L271" i="12"/>
  <c r="L122" i="12"/>
  <c r="L106" i="12"/>
  <c r="L90" i="12"/>
  <c r="L159" i="12"/>
  <c r="L143" i="12"/>
  <c r="L212" i="12"/>
  <c r="L196" i="12"/>
  <c r="L180" i="12"/>
  <c r="L249" i="12"/>
  <c r="L233" i="12"/>
  <c r="L260" i="12"/>
  <c r="L286" i="12"/>
  <c r="L270" i="12"/>
  <c r="L121" i="12"/>
  <c r="L105" i="12"/>
  <c r="L89" i="12"/>
  <c r="L158" i="12"/>
  <c r="L142" i="12"/>
  <c r="L211" i="12"/>
  <c r="L195" i="12"/>
  <c r="L179" i="12"/>
  <c r="L248" i="12"/>
  <c r="L232" i="12"/>
  <c r="L285" i="12"/>
  <c r="L269" i="12"/>
  <c r="L120" i="12"/>
  <c r="L104" i="12"/>
  <c r="L131" i="12"/>
  <c r="L157" i="12"/>
  <c r="L141" i="12"/>
  <c r="L210" i="12"/>
  <c r="L194" i="12"/>
  <c r="L178" i="12"/>
  <c r="L247" i="12"/>
  <c r="L231" i="12"/>
  <c r="L300" i="12"/>
  <c r="L284" i="12"/>
  <c r="L268" i="12"/>
  <c r="L119" i="12"/>
  <c r="L103" i="12"/>
  <c r="L156" i="12"/>
  <c r="L140" i="12"/>
  <c r="L209" i="12"/>
  <c r="L193" i="12"/>
  <c r="L177" i="12"/>
  <c r="L246" i="12"/>
  <c r="L230" i="12"/>
  <c r="L299" i="12"/>
  <c r="L283" i="12"/>
  <c r="L267" i="12"/>
  <c r="L116" i="12"/>
  <c r="L100" i="12"/>
  <c r="L169" i="12"/>
  <c r="L153" i="12"/>
  <c r="L137" i="12"/>
  <c r="L206" i="12"/>
  <c r="L190" i="12"/>
  <c r="L217" i="12"/>
  <c r="L243" i="12"/>
  <c r="L227" i="12"/>
  <c r="L296" i="12"/>
  <c r="L280" i="12"/>
  <c r="L264" i="12"/>
  <c r="L115" i="12"/>
  <c r="L99" i="12"/>
  <c r="L168" i="12"/>
  <c r="L152" i="12"/>
  <c r="L136" i="12"/>
  <c r="L205" i="12"/>
  <c r="L189" i="12"/>
  <c r="L242" i="12"/>
  <c r="L226" i="12"/>
  <c r="L295" i="12"/>
  <c r="L279" i="12"/>
  <c r="L263" i="12"/>
  <c r="L88" i="12"/>
  <c r="L114" i="12"/>
  <c r="L98" i="12"/>
  <c r="L167" i="12"/>
  <c r="L151" i="12"/>
  <c r="L135" i="12"/>
  <c r="L204" i="12"/>
  <c r="L188" i="12"/>
  <c r="L257" i="12"/>
  <c r="L241" i="12"/>
  <c r="L225" i="12"/>
  <c r="L294" i="12"/>
  <c r="L278" i="12"/>
  <c r="L262" i="12"/>
  <c r="L113" i="12"/>
  <c r="L97" i="12"/>
  <c r="L166" i="12"/>
  <c r="L150" i="12"/>
  <c r="L134" i="12"/>
  <c r="L203" i="12"/>
  <c r="L187" i="12"/>
  <c r="L256" i="12"/>
  <c r="L240" i="12"/>
  <c r="L224" i="12"/>
  <c r="L293" i="12"/>
  <c r="L277" i="12"/>
  <c r="L261" i="12"/>
  <c r="L127" i="12"/>
  <c r="L111" i="12"/>
  <c r="L95" i="12"/>
  <c r="L164" i="12"/>
  <c r="L148" i="12"/>
  <c r="L132" i="12"/>
  <c r="L201" i="12"/>
  <c r="L185" i="12"/>
  <c r="L254" i="12"/>
  <c r="L238" i="12"/>
  <c r="L222" i="12"/>
  <c r="L291" i="12"/>
  <c r="L275" i="12"/>
  <c r="L126" i="12"/>
  <c r="L110" i="12"/>
  <c r="L94" i="12"/>
  <c r="L163" i="12"/>
  <c r="L147" i="12"/>
  <c r="L174" i="12"/>
  <c r="L200" i="12"/>
  <c r="L184" i="12"/>
  <c r="L253" i="12"/>
  <c r="L237" i="12"/>
  <c r="L221" i="12"/>
  <c r="L290" i="12"/>
  <c r="L274" i="12"/>
  <c r="D6" i="15"/>
  <c r="F6" i="15" s="1"/>
  <c r="H6" i="15" s="1"/>
  <c r="E6" i="15"/>
  <c r="G6" i="15" s="1"/>
  <c r="I6" i="15" s="1"/>
  <c r="A8" i="15"/>
  <c r="B7" i="15"/>
  <c r="C7" i="15" s="1"/>
  <c r="L5" i="8"/>
  <c r="F263" i="12"/>
  <c r="F219" i="12"/>
  <c r="F176" i="12"/>
  <c r="F133" i="12"/>
  <c r="F90" i="12"/>
  <c r="L41" i="12"/>
  <c r="L3" i="12"/>
  <c r="L36" i="12"/>
  <c r="L34" i="12"/>
  <c r="L24" i="12"/>
  <c r="L16" i="12"/>
  <c r="L8" i="12"/>
  <c r="L85" i="12"/>
  <c r="L77" i="12"/>
  <c r="L69" i="12"/>
  <c r="L61" i="12"/>
  <c r="L53" i="12"/>
  <c r="L2" i="12"/>
  <c r="L29" i="12"/>
  <c r="L21" i="12"/>
  <c r="L13" i="12"/>
  <c r="L5" i="12"/>
  <c r="L82" i="12"/>
  <c r="L74" i="12"/>
  <c r="L66" i="12"/>
  <c r="L58" i="12"/>
  <c r="L50" i="12"/>
  <c r="L11" i="12"/>
  <c r="L27" i="12"/>
  <c r="L72" i="12"/>
  <c r="L40" i="12"/>
  <c r="L26" i="12"/>
  <c r="L18" i="12"/>
  <c r="L79" i="12"/>
  <c r="L71" i="12"/>
  <c r="L63" i="12"/>
  <c r="L55" i="12"/>
  <c r="L47" i="12"/>
  <c r="L33" i="12"/>
  <c r="L31" i="12"/>
  <c r="L23" i="12"/>
  <c r="L7" i="12"/>
  <c r="L84" i="12"/>
  <c r="L76" i="12"/>
  <c r="L60" i="12"/>
  <c r="L52" i="12"/>
  <c r="L42" i="12"/>
  <c r="L28" i="12"/>
  <c r="L20" i="12"/>
  <c r="L12" i="12"/>
  <c r="L4" i="12"/>
  <c r="L81" i="12"/>
  <c r="L73" i="12"/>
  <c r="L65" i="12"/>
  <c r="L57" i="12"/>
  <c r="L49" i="12"/>
  <c r="L39" i="12"/>
  <c r="L38" i="12"/>
  <c r="L10" i="12"/>
  <c r="L15" i="12"/>
  <c r="L45" i="12"/>
  <c r="L68" i="12"/>
  <c r="L37" i="12"/>
  <c r="L35" i="12"/>
  <c r="L25" i="12"/>
  <c r="L17" i="12"/>
  <c r="L9" i="12"/>
  <c r="L78" i="12"/>
  <c r="L70" i="12"/>
  <c r="L62" i="12"/>
  <c r="L54" i="12"/>
  <c r="L46" i="12"/>
  <c r="L32" i="12"/>
  <c r="L30" i="12"/>
  <c r="L22" i="12"/>
  <c r="L14" i="12"/>
  <c r="L6" i="12"/>
  <c r="L83" i="12"/>
  <c r="L75" i="12"/>
  <c r="L67" i="12"/>
  <c r="L59" i="12"/>
  <c r="L51" i="12"/>
  <c r="L19" i="12"/>
  <c r="L80" i="12"/>
  <c r="L64" i="12"/>
  <c r="L56" i="12"/>
  <c r="F48" i="12"/>
  <c r="B14" i="2"/>
  <c r="I6" i="10"/>
  <c r="I32" i="10"/>
  <c r="E32" i="10" s="1"/>
  <c r="E34" i="10" s="1"/>
  <c r="E38" i="10" s="1"/>
  <c r="G38" i="10" s="1"/>
  <c r="I2" i="11"/>
  <c r="E4" i="11" s="1"/>
  <c r="I7" i="10"/>
  <c r="I31" i="10"/>
  <c r="I5" i="11"/>
  <c r="I3" i="11"/>
  <c r="I4" i="10"/>
  <c r="I5" i="10"/>
  <c r="I2" i="10"/>
  <c r="L7" i="11"/>
  <c r="M6" i="11"/>
  <c r="E33" i="10" l="1"/>
  <c r="E35" i="10" s="1"/>
  <c r="E39" i="10" s="1"/>
  <c r="G39" i="10" s="1"/>
  <c r="E6" i="11"/>
  <c r="E8" i="11" s="1"/>
  <c r="G8" i="11" s="1"/>
  <c r="B39" i="14"/>
  <c r="AY7" i="14"/>
  <c r="AP7" i="14" s="1"/>
  <c r="AX8" i="14"/>
  <c r="B38" i="14" s="1"/>
  <c r="AQ6" i="14"/>
  <c r="AS6" i="14" s="1"/>
  <c r="AU6" i="14" s="1"/>
  <c r="AR6" i="14"/>
  <c r="AT6" i="14" s="1"/>
  <c r="AV6" i="14" s="1"/>
  <c r="D7" i="15"/>
  <c r="F7" i="15" s="1"/>
  <c r="H7" i="15" s="1"/>
  <c r="E7" i="15"/>
  <c r="G7" i="15" s="1"/>
  <c r="I7" i="15" s="1"/>
  <c r="A9" i="15"/>
  <c r="B8" i="15"/>
  <c r="C8" i="15" s="1"/>
  <c r="L6" i="8"/>
  <c r="F264" i="12"/>
  <c r="F220" i="12"/>
  <c r="F177" i="12"/>
  <c r="F134" i="12"/>
  <c r="F91" i="12"/>
  <c r="F49" i="12"/>
  <c r="F14" i="2"/>
  <c r="D14" i="2"/>
  <c r="E5" i="11"/>
  <c r="E7" i="11" s="1"/>
  <c r="E9" i="11" s="1"/>
  <c r="G9" i="11" s="1"/>
  <c r="E4" i="10"/>
  <c r="E6" i="10" s="1"/>
  <c r="E10" i="10" s="1"/>
  <c r="G10" i="10" s="1"/>
  <c r="E5" i="10"/>
  <c r="E7" i="10" s="1"/>
  <c r="E11" i="10" s="1"/>
  <c r="G11" i="10" s="1"/>
  <c r="L8" i="11"/>
  <c r="M7" i="11"/>
  <c r="AX9" i="14" l="1"/>
  <c r="AY8" i="14"/>
  <c r="AP8" i="14" s="1"/>
  <c r="AQ7" i="14"/>
  <c r="AS7" i="14" s="1"/>
  <c r="AU7" i="14" s="1"/>
  <c r="AR7" i="14"/>
  <c r="AT7" i="14" s="1"/>
  <c r="AV7" i="14" s="1"/>
  <c r="E8" i="15"/>
  <c r="G8" i="15" s="1"/>
  <c r="I8" i="15" s="1"/>
  <c r="D8" i="15"/>
  <c r="F8" i="15" s="1"/>
  <c r="H8" i="15" s="1"/>
  <c r="A10" i="15"/>
  <c r="B9" i="15"/>
  <c r="C9" i="15" s="1"/>
  <c r="L7" i="8"/>
  <c r="F265" i="12"/>
  <c r="F221" i="12"/>
  <c r="F178" i="12"/>
  <c r="F135" i="12"/>
  <c r="F92" i="12"/>
  <c r="F50" i="12"/>
  <c r="L9" i="11"/>
  <c r="M8" i="11"/>
  <c r="AR8" i="14" l="1"/>
  <c r="AT8" i="14" s="1"/>
  <c r="AV8" i="14" s="1"/>
  <c r="AQ8" i="14"/>
  <c r="AS8" i="14" s="1"/>
  <c r="AU8" i="14" s="1"/>
  <c r="AX10" i="14"/>
  <c r="B37" i="14" s="1"/>
  <c r="AY9" i="14"/>
  <c r="AP9" i="14" s="1"/>
  <c r="D9" i="15"/>
  <c r="F9" i="15" s="1"/>
  <c r="H9" i="15" s="1"/>
  <c r="E9" i="15"/>
  <c r="G9" i="15" s="1"/>
  <c r="I9" i="15" s="1"/>
  <c r="B10" i="15"/>
  <c r="C10" i="15" s="1"/>
  <c r="A11" i="15"/>
  <c r="L8" i="8"/>
  <c r="F266" i="12"/>
  <c r="F222" i="12"/>
  <c r="F179" i="12"/>
  <c r="F136" i="12"/>
  <c r="F93" i="12"/>
  <c r="F51" i="12"/>
  <c r="L10" i="11"/>
  <c r="M9" i="11"/>
  <c r="AR9" i="14" l="1"/>
  <c r="AT9" i="14" s="1"/>
  <c r="AV9" i="14" s="1"/>
  <c r="AQ9" i="14"/>
  <c r="AS9" i="14" s="1"/>
  <c r="AU9" i="14" s="1"/>
  <c r="AX11" i="14"/>
  <c r="B36" i="14" s="1"/>
  <c r="AY10" i="14"/>
  <c r="AP10" i="14" s="1"/>
  <c r="D10" i="15"/>
  <c r="F10" i="15" s="1"/>
  <c r="H10" i="15" s="1"/>
  <c r="E10" i="15"/>
  <c r="G10" i="15" s="1"/>
  <c r="I10" i="15" s="1"/>
  <c r="A12" i="15"/>
  <c r="B11" i="15"/>
  <c r="C11" i="15" s="1"/>
  <c r="L9" i="8"/>
  <c r="F267" i="12"/>
  <c r="F223" i="12"/>
  <c r="F180" i="12"/>
  <c r="F137" i="12"/>
  <c r="F94" i="12"/>
  <c r="F52" i="12"/>
  <c r="L11" i="11"/>
  <c r="M10" i="11"/>
  <c r="AR10" i="14" l="1"/>
  <c r="AT10" i="14" s="1"/>
  <c r="AV10" i="14" s="1"/>
  <c r="AQ10" i="14"/>
  <c r="AS10" i="14" s="1"/>
  <c r="AU10" i="14" s="1"/>
  <c r="AY11" i="14"/>
  <c r="AP11" i="14" s="1"/>
  <c r="AX12" i="14"/>
  <c r="B12" i="15"/>
  <c r="C12" i="15" s="1"/>
  <c r="A13" i="15"/>
  <c r="D11" i="15"/>
  <c r="F11" i="15" s="1"/>
  <c r="H11" i="15" s="1"/>
  <c r="E11" i="15"/>
  <c r="G11" i="15" s="1"/>
  <c r="I11" i="15" s="1"/>
  <c r="L10" i="8"/>
  <c r="F268" i="12"/>
  <c r="F224" i="12"/>
  <c r="F181" i="12"/>
  <c r="F138" i="12"/>
  <c r="F95" i="12"/>
  <c r="F53" i="12"/>
  <c r="L12" i="11"/>
  <c r="M11" i="11"/>
  <c r="B35" i="14" l="1"/>
  <c r="AY12" i="14"/>
  <c r="AP12" i="14" s="1"/>
  <c r="AX13" i="14"/>
  <c r="AR11" i="14"/>
  <c r="AT11" i="14" s="1"/>
  <c r="AV11" i="14" s="1"/>
  <c r="AQ11" i="14"/>
  <c r="AS11" i="14" s="1"/>
  <c r="AU11" i="14" s="1"/>
  <c r="B13" i="15"/>
  <c r="C13" i="15" s="1"/>
  <c r="A14" i="15"/>
  <c r="E12" i="15"/>
  <c r="G12" i="15" s="1"/>
  <c r="I12" i="15" s="1"/>
  <c r="D12" i="15"/>
  <c r="F12" i="15" s="1"/>
  <c r="H12" i="15" s="1"/>
  <c r="L11" i="8"/>
  <c r="F269" i="12"/>
  <c r="F225" i="12"/>
  <c r="F182" i="12"/>
  <c r="F139" i="12"/>
  <c r="F96" i="12"/>
  <c r="F54" i="12"/>
  <c r="M12" i="11"/>
  <c r="L13" i="11"/>
  <c r="AX14" i="14" l="1"/>
  <c r="AY13" i="14"/>
  <c r="AP13" i="14" s="1"/>
  <c r="AR12" i="14"/>
  <c r="AT12" i="14" s="1"/>
  <c r="AV12" i="14" s="1"/>
  <c r="AQ12" i="14"/>
  <c r="AS12" i="14" s="1"/>
  <c r="AU12" i="14" s="1"/>
  <c r="A15" i="15"/>
  <c r="B14" i="15"/>
  <c r="C14" i="15" s="1"/>
  <c r="D13" i="15"/>
  <c r="F13" i="15" s="1"/>
  <c r="H13" i="15" s="1"/>
  <c r="E13" i="15"/>
  <c r="G13" i="15" s="1"/>
  <c r="I13" i="15" s="1"/>
  <c r="L12" i="8"/>
  <c r="F270" i="12"/>
  <c r="F226" i="12"/>
  <c r="F183" i="12"/>
  <c r="F140" i="12"/>
  <c r="F97" i="12"/>
  <c r="F55" i="12"/>
  <c r="M13" i="11"/>
  <c r="L14" i="11"/>
  <c r="AR13" i="14" l="1"/>
  <c r="AT13" i="14" s="1"/>
  <c r="AV13" i="14" s="1"/>
  <c r="AQ13" i="14"/>
  <c r="AS13" i="14" s="1"/>
  <c r="AU13" i="14" s="1"/>
  <c r="AY14" i="14"/>
  <c r="AP14" i="14" s="1"/>
  <c r="AX15" i="14"/>
  <c r="D14" i="15"/>
  <c r="F14" i="15" s="1"/>
  <c r="H14" i="15" s="1"/>
  <c r="E14" i="15"/>
  <c r="G14" i="15" s="1"/>
  <c r="I14" i="15" s="1"/>
  <c r="B15" i="15"/>
  <c r="C15" i="15" s="1"/>
  <c r="A16" i="15"/>
  <c r="L13" i="8"/>
  <c r="F271" i="12"/>
  <c r="F227" i="12"/>
  <c r="F184" i="12"/>
  <c r="F141" i="12"/>
  <c r="F98" i="12"/>
  <c r="F56" i="12"/>
  <c r="M14" i="11"/>
  <c r="AX16" i="14" l="1"/>
  <c r="AY15" i="14"/>
  <c r="AP15" i="14" s="1"/>
  <c r="AR14" i="14"/>
  <c r="AT14" i="14" s="1"/>
  <c r="AV14" i="14" s="1"/>
  <c r="AQ14" i="14"/>
  <c r="AS14" i="14" s="1"/>
  <c r="AU14" i="14" s="1"/>
  <c r="E15" i="15"/>
  <c r="G15" i="15" s="1"/>
  <c r="I15" i="15" s="1"/>
  <c r="D15" i="15"/>
  <c r="F15" i="15" s="1"/>
  <c r="H15" i="15" s="1"/>
  <c r="B16" i="15"/>
  <c r="C16" i="15" s="1"/>
  <c r="A17" i="15"/>
  <c r="L14" i="8"/>
  <c r="F272" i="12"/>
  <c r="F228" i="12"/>
  <c r="F185" i="12"/>
  <c r="F142" i="12"/>
  <c r="F99" i="12"/>
  <c r="F57" i="12"/>
  <c r="AR15" i="14" l="1"/>
  <c r="AT15" i="14" s="1"/>
  <c r="AV15" i="14" s="1"/>
  <c r="AQ15" i="14"/>
  <c r="AS15" i="14" s="1"/>
  <c r="AU15" i="14" s="1"/>
  <c r="AY16" i="14"/>
  <c r="AP16" i="14" s="1"/>
  <c r="AX17" i="14"/>
  <c r="B34" i="14" s="1"/>
  <c r="A18" i="15"/>
  <c r="B17" i="15"/>
  <c r="C17" i="15" s="1"/>
  <c r="D16" i="15"/>
  <c r="F16" i="15" s="1"/>
  <c r="H16" i="15" s="1"/>
  <c r="E16" i="15"/>
  <c r="G16" i="15" s="1"/>
  <c r="I16" i="15" s="1"/>
  <c r="L15" i="8"/>
  <c r="F273" i="12"/>
  <c r="F229" i="12"/>
  <c r="F186" i="12"/>
  <c r="F143" i="12"/>
  <c r="F100" i="12"/>
  <c r="F58" i="12"/>
  <c r="AY17" i="14" l="1"/>
  <c r="AP17" i="14" s="1"/>
  <c r="AX18" i="14"/>
  <c r="AR16" i="14"/>
  <c r="AT16" i="14" s="1"/>
  <c r="AV16" i="14" s="1"/>
  <c r="AQ16" i="14"/>
  <c r="AS16" i="14" s="1"/>
  <c r="AU16" i="14" s="1"/>
  <c r="E17" i="15"/>
  <c r="G17" i="15" s="1"/>
  <c r="I17" i="15" s="1"/>
  <c r="D17" i="15"/>
  <c r="F17" i="15" s="1"/>
  <c r="H17" i="15" s="1"/>
  <c r="A19" i="15"/>
  <c r="B18" i="15"/>
  <c r="C18" i="15" s="1"/>
  <c r="L16" i="8"/>
  <c r="F274" i="12"/>
  <c r="F230" i="12"/>
  <c r="F187" i="12"/>
  <c r="F144" i="12"/>
  <c r="F101" i="12"/>
  <c r="F59" i="12"/>
  <c r="L18" i="11"/>
  <c r="AK3" i="9"/>
  <c r="AK11" i="9" s="1"/>
  <c r="AJ3" i="9"/>
  <c r="AJ11" i="9" s="1"/>
  <c r="AL31" i="9"/>
  <c r="AQ31" i="9" s="1"/>
  <c r="AK31" i="9"/>
  <c r="AP31" i="9" s="1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AZ14" i="9"/>
  <c r="Z14" i="9"/>
  <c r="G13" i="9"/>
  <c r="F13" i="9"/>
  <c r="E13" i="9"/>
  <c r="AZ13" i="9"/>
  <c r="Z13" i="9"/>
  <c r="G12" i="9"/>
  <c r="F12" i="9"/>
  <c r="E12" i="9"/>
  <c r="AZ12" i="9"/>
  <c r="Z12" i="9"/>
  <c r="G11" i="9"/>
  <c r="F11" i="9"/>
  <c r="E11" i="9"/>
  <c r="G10" i="9"/>
  <c r="F10" i="9"/>
  <c r="E10" i="9"/>
  <c r="G9" i="9"/>
  <c r="F9" i="9"/>
  <c r="E9" i="9"/>
  <c r="G8" i="9"/>
  <c r="F8" i="9"/>
  <c r="E8" i="9"/>
  <c r="AJ7" i="9"/>
  <c r="AJ15" i="9" s="1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AK6" i="9" l="1"/>
  <c r="AK14" i="9" s="1"/>
  <c r="AJ4" i="9"/>
  <c r="AJ12" i="9" s="1"/>
  <c r="AV38" i="9"/>
  <c r="L8" i="9"/>
  <c r="L16" i="9" s="1"/>
  <c r="K30" i="9"/>
  <c r="P30" i="9" s="1"/>
  <c r="AK7" i="9"/>
  <c r="AK15" i="9" s="1"/>
  <c r="J29" i="9"/>
  <c r="O29" i="9" s="1"/>
  <c r="K29" i="9"/>
  <c r="P29" i="9" s="1"/>
  <c r="U38" i="9"/>
  <c r="K32" i="9"/>
  <c r="P32" i="9" s="1"/>
  <c r="V38" i="9"/>
  <c r="AK29" i="9"/>
  <c r="AP29" i="9" s="1"/>
  <c r="AL34" i="9"/>
  <c r="AQ34" i="9" s="1"/>
  <c r="L29" i="9"/>
  <c r="Q29" i="9" s="1"/>
  <c r="L32" i="9"/>
  <c r="Q32" i="9" s="1"/>
  <c r="AL29" i="9"/>
  <c r="AQ29" i="9" s="1"/>
  <c r="AK33" i="9"/>
  <c r="AP33" i="9" s="1"/>
  <c r="AL8" i="9"/>
  <c r="AL16" i="9" s="1"/>
  <c r="L7" i="9"/>
  <c r="AL7" i="9"/>
  <c r="AL15" i="9" s="1"/>
  <c r="AU38" i="9"/>
  <c r="AK4" i="9"/>
  <c r="AK12" i="9" s="1"/>
  <c r="T38" i="9"/>
  <c r="AK5" i="9"/>
  <c r="AK13" i="9" s="1"/>
  <c r="AJ30" i="9"/>
  <c r="AO30" i="9" s="1"/>
  <c r="L31" i="9"/>
  <c r="Q31" i="9" s="1"/>
  <c r="AJ6" i="9"/>
  <c r="AJ14" i="9" s="1"/>
  <c r="AK34" i="9"/>
  <c r="AP34" i="9" s="1"/>
  <c r="AJ5" i="9"/>
  <c r="AJ13" i="9" s="1"/>
  <c r="J34" i="9"/>
  <c r="O34" i="9" s="1"/>
  <c r="AL4" i="9"/>
  <c r="AL12" i="9" s="1"/>
  <c r="K8" i="9"/>
  <c r="K34" i="9"/>
  <c r="P34" i="9" s="1"/>
  <c r="AL5" i="9"/>
  <c r="AL13" i="9" s="1"/>
  <c r="J33" i="9"/>
  <c r="AY18" i="14"/>
  <c r="AP18" i="14" s="1"/>
  <c r="AX19" i="14"/>
  <c r="AR17" i="14"/>
  <c r="AT17" i="14" s="1"/>
  <c r="AV17" i="14" s="1"/>
  <c r="AQ17" i="14"/>
  <c r="AS17" i="14" s="1"/>
  <c r="AU17" i="14" s="1"/>
  <c r="J6" i="9"/>
  <c r="AL6" i="9"/>
  <c r="AL14" i="9" s="1"/>
  <c r="AK30" i="9"/>
  <c r="AP30" i="9" s="1"/>
  <c r="AJ34" i="9"/>
  <c r="AO34" i="9" s="1"/>
  <c r="AJ8" i="9"/>
  <c r="AJ16" i="9" s="1"/>
  <c r="L5" i="9"/>
  <c r="L13" i="9" s="1"/>
  <c r="L3" i="9"/>
  <c r="L11" i="9" s="1"/>
  <c r="J7" i="9"/>
  <c r="K3" i="9"/>
  <c r="K11" i="9" s="1"/>
  <c r="K31" i="9"/>
  <c r="P31" i="9" s="1"/>
  <c r="J31" i="9"/>
  <c r="O31" i="9" s="1"/>
  <c r="K4" i="9"/>
  <c r="L6" i="9"/>
  <c r="L14" i="9" s="1"/>
  <c r="J32" i="9"/>
  <c r="O32" i="9" s="1"/>
  <c r="AL3" i="9"/>
  <c r="J8" i="9"/>
  <c r="E18" i="15"/>
  <c r="G18" i="15" s="1"/>
  <c r="I18" i="15" s="1"/>
  <c r="D18" i="15"/>
  <c r="F18" i="15" s="1"/>
  <c r="H18" i="15" s="1"/>
  <c r="B19" i="15"/>
  <c r="C19" i="15" s="1"/>
  <c r="A20" i="15"/>
  <c r="L17" i="8"/>
  <c r="F275" i="12"/>
  <c r="F231" i="12"/>
  <c r="F188" i="12"/>
  <c r="F145" i="12"/>
  <c r="F102" i="12"/>
  <c r="F60" i="12"/>
  <c r="L19" i="11"/>
  <c r="M18" i="11"/>
  <c r="AL30" i="9"/>
  <c r="AQ30" i="9" s="1"/>
  <c r="AJ32" i="9"/>
  <c r="AO32" i="9" s="1"/>
  <c r="L33" i="9"/>
  <c r="AK8" i="9"/>
  <c r="AK16" i="9" s="1"/>
  <c r="AK32" i="9"/>
  <c r="AP32" i="9" s="1"/>
  <c r="AJ33" i="9"/>
  <c r="AO33" i="9" s="1"/>
  <c r="L34" i="9"/>
  <c r="Q34" i="9" s="1"/>
  <c r="K6" i="9"/>
  <c r="K14" i="9" s="1"/>
  <c r="AJ31" i="9"/>
  <c r="AO31" i="9" s="1"/>
  <c r="K33" i="9"/>
  <c r="J4" i="9"/>
  <c r="L4" i="9"/>
  <c r="K7" i="9"/>
  <c r="AJ29" i="9"/>
  <c r="AO29" i="9" s="1"/>
  <c r="AL32" i="9"/>
  <c r="AQ32" i="9" s="1"/>
  <c r="J5" i="9"/>
  <c r="J13" i="9" s="1"/>
  <c r="J30" i="9"/>
  <c r="O30" i="9" s="1"/>
  <c r="AL33" i="9"/>
  <c r="AQ33" i="9" s="1"/>
  <c r="K5" i="9"/>
  <c r="K13" i="9" s="1"/>
  <c r="AT38" i="9"/>
  <c r="L30" i="9"/>
  <c r="Q30" i="9" s="1"/>
  <c r="AJ20" i="9" l="1"/>
  <c r="AN3" i="9" s="1"/>
  <c r="AN11" i="9" s="1"/>
  <c r="AL11" i="9"/>
  <c r="P33" i="9"/>
  <c r="O33" i="9"/>
  <c r="Q33" i="9"/>
  <c r="J20" i="9"/>
  <c r="AJ24" i="9"/>
  <c r="AO7" i="9" s="1"/>
  <c r="AJ22" i="9"/>
  <c r="AN5" i="9" s="1"/>
  <c r="AN13" i="9" s="1"/>
  <c r="AJ21" i="9"/>
  <c r="AN4" i="9" s="1"/>
  <c r="AN12" i="9" s="1"/>
  <c r="J16" i="9"/>
  <c r="K15" i="9"/>
  <c r="K12" i="9"/>
  <c r="L12" i="9"/>
  <c r="J12" i="9"/>
  <c r="K16" i="9"/>
  <c r="J15" i="9"/>
  <c r="J11" i="9"/>
  <c r="J23" i="9"/>
  <c r="O6" i="9" s="1"/>
  <c r="J14" i="9"/>
  <c r="L15" i="9"/>
  <c r="J24" i="9"/>
  <c r="N7" i="9" s="1"/>
  <c r="Y22" i="9" s="1"/>
  <c r="AJ25" i="9"/>
  <c r="J25" i="9"/>
  <c r="J21" i="9"/>
  <c r="N4" i="9" s="1"/>
  <c r="V22" i="9" s="1"/>
  <c r="J22" i="9"/>
  <c r="AJ23" i="9"/>
  <c r="AM6" i="9" s="1"/>
  <c r="AX20" i="14"/>
  <c r="AY19" i="14"/>
  <c r="AP19" i="14" s="1"/>
  <c r="AR18" i="14"/>
  <c r="AT18" i="14" s="1"/>
  <c r="AV18" i="14" s="1"/>
  <c r="AQ18" i="14"/>
  <c r="AS18" i="14" s="1"/>
  <c r="AU18" i="14" s="1"/>
  <c r="G20" i="15"/>
  <c r="F20" i="15"/>
  <c r="H20" i="15" s="1"/>
  <c r="B20" i="15"/>
  <c r="A21" i="15"/>
  <c r="I20" i="15"/>
  <c r="E19" i="15"/>
  <c r="G19" i="15" s="1"/>
  <c r="I19" i="15" s="1"/>
  <c r="D19" i="15"/>
  <c r="F19" i="15" s="1"/>
  <c r="H19" i="15" s="1"/>
  <c r="L18" i="8"/>
  <c r="F276" i="12"/>
  <c r="F232" i="12"/>
  <c r="F189" i="12"/>
  <c r="F146" i="12"/>
  <c r="F103" i="12"/>
  <c r="F61" i="12"/>
  <c r="M19" i="11"/>
  <c r="L20" i="11"/>
  <c r="M3" i="9" l="1"/>
  <c r="N3" i="9"/>
  <c r="N11" i="9" s="1"/>
  <c r="AW22" i="9"/>
  <c r="AV22" i="9"/>
  <c r="AO3" i="9"/>
  <c r="AO11" i="9" s="1"/>
  <c r="AU22" i="9"/>
  <c r="AU5" i="9"/>
  <c r="AM3" i="9"/>
  <c r="AU4" i="9" s="1"/>
  <c r="AZ17" i="9" s="1"/>
  <c r="AX4" i="9"/>
  <c r="AM14" i="9"/>
  <c r="AX21" i="9" s="1"/>
  <c r="AV5" i="9"/>
  <c r="AW5" i="9"/>
  <c r="AY6" i="9"/>
  <c r="AO15" i="9"/>
  <c r="O5" i="9"/>
  <c r="O13" i="9" s="1"/>
  <c r="W23" i="9" s="1"/>
  <c r="M8" i="9"/>
  <c r="Z4" i="9" s="1"/>
  <c r="AN7" i="9"/>
  <c r="AN15" i="9" s="1"/>
  <c r="AM7" i="9"/>
  <c r="AM8" i="9"/>
  <c r="AO5" i="9"/>
  <c r="AM4" i="9"/>
  <c r="AM5" i="9"/>
  <c r="AO4" i="9"/>
  <c r="M6" i="9"/>
  <c r="K40" i="9" s="1"/>
  <c r="X8" i="9" s="1"/>
  <c r="N6" i="9"/>
  <c r="X22" i="9" s="1"/>
  <c r="M7" i="9"/>
  <c r="Y4" i="9" s="1"/>
  <c r="X6" i="9"/>
  <c r="O14" i="9"/>
  <c r="X23" i="9" s="1"/>
  <c r="AO6" i="9"/>
  <c r="AN6" i="9"/>
  <c r="AN14" i="9" s="1"/>
  <c r="O8" i="9"/>
  <c r="AO8" i="9"/>
  <c r="AO16" i="9" s="1"/>
  <c r="O7" i="9"/>
  <c r="N8" i="9"/>
  <c r="AN8" i="9"/>
  <c r="AN16" i="9" s="1"/>
  <c r="M4" i="9"/>
  <c r="M5" i="9"/>
  <c r="AQ19" i="14"/>
  <c r="AS19" i="14" s="1"/>
  <c r="AU19" i="14" s="1"/>
  <c r="AR19" i="14"/>
  <c r="AT19" i="14" s="1"/>
  <c r="AV19" i="14" s="1"/>
  <c r="AX21" i="14"/>
  <c r="AY20" i="14"/>
  <c r="AP20" i="14" s="1"/>
  <c r="B21" i="15"/>
  <c r="C21" i="15" s="1"/>
  <c r="A22" i="15"/>
  <c r="L19" i="8"/>
  <c r="F277" i="12"/>
  <c r="F233" i="12"/>
  <c r="F190" i="12"/>
  <c r="F147" i="12"/>
  <c r="F104" i="12"/>
  <c r="F62" i="12"/>
  <c r="L21" i="11"/>
  <c r="M20" i="11"/>
  <c r="AU6" i="9"/>
  <c r="N5" i="9"/>
  <c r="V5" i="9"/>
  <c r="O4" i="9"/>
  <c r="U22" i="9"/>
  <c r="O3" i="9"/>
  <c r="Y5" i="9"/>
  <c r="Q3" i="1"/>
  <c r="E3" i="8"/>
  <c r="B31" i="8"/>
  <c r="E2" i="8"/>
  <c r="L42" i="1"/>
  <c r="U4" i="9" l="1"/>
  <c r="Z17" i="9" s="1"/>
  <c r="M11" i="9"/>
  <c r="U21" i="9" s="1"/>
  <c r="AM11" i="9"/>
  <c r="AP37" i="9" s="1"/>
  <c r="AU25" i="9" s="1"/>
  <c r="AL37" i="9"/>
  <c r="AU9" i="9" s="1"/>
  <c r="AO41" i="9"/>
  <c r="AY24" i="9" s="1"/>
  <c r="AY23" i="9"/>
  <c r="AU23" i="9"/>
  <c r="AO37" i="9"/>
  <c r="AU24" i="9" s="1"/>
  <c r="AJ37" i="9"/>
  <c r="AU7" i="9" s="1"/>
  <c r="AY22" i="9"/>
  <c r="AZ22" i="9"/>
  <c r="AO42" i="9"/>
  <c r="AZ24" i="9" s="1"/>
  <c r="AZ23" i="9"/>
  <c r="AK37" i="9"/>
  <c r="AU8" i="9" s="1"/>
  <c r="AX22" i="9"/>
  <c r="AQ40" i="9"/>
  <c r="AX26" i="9" s="1"/>
  <c r="M16" i="9"/>
  <c r="Z21" i="9" s="1"/>
  <c r="AV6" i="9"/>
  <c r="AO12" i="9"/>
  <c r="AW4" i="9"/>
  <c r="AM13" i="9"/>
  <c r="AV4" i="9"/>
  <c r="AZ16" i="9" s="1"/>
  <c r="AM12" i="9"/>
  <c r="AJ39" i="9"/>
  <c r="AW7" i="9" s="1"/>
  <c r="AO13" i="9"/>
  <c r="AZ4" i="9"/>
  <c r="AM16" i="9"/>
  <c r="AZ21" i="9" s="1"/>
  <c r="W6" i="9"/>
  <c r="AY4" i="9"/>
  <c r="AM15" i="9"/>
  <c r="AY21" i="9" s="1"/>
  <c r="AY5" i="9"/>
  <c r="AX5" i="9"/>
  <c r="AK40" i="9"/>
  <c r="AX8" i="9" s="1"/>
  <c r="AO14" i="9"/>
  <c r="K42" i="9"/>
  <c r="Z8" i="9" s="1"/>
  <c r="AL41" i="9"/>
  <c r="AY9" i="9" s="1"/>
  <c r="X5" i="9"/>
  <c r="AK42" i="9"/>
  <c r="AZ8" i="9" s="1"/>
  <c r="AJ38" i="9"/>
  <c r="AV7" i="9" s="1"/>
  <c r="AK41" i="9"/>
  <c r="AY8" i="9" s="1"/>
  <c r="AJ41" i="9"/>
  <c r="AY7" i="9" s="1"/>
  <c r="AK38" i="9"/>
  <c r="AV8" i="9" s="1"/>
  <c r="M14" i="9"/>
  <c r="X21" i="9" s="1"/>
  <c r="AL42" i="9"/>
  <c r="AZ9" i="9" s="1"/>
  <c r="AL39" i="9"/>
  <c r="AW9" i="9" s="1"/>
  <c r="L40" i="9"/>
  <c r="X9" i="9" s="1"/>
  <c r="AW6" i="9"/>
  <c r="AL38" i="9"/>
  <c r="AV9" i="9" s="1"/>
  <c r="Z34" i="9"/>
  <c r="O40" i="9"/>
  <c r="X24" i="9" s="1"/>
  <c r="AK39" i="9"/>
  <c r="AW8" i="9" s="1"/>
  <c r="K41" i="9"/>
  <c r="Y8" i="9" s="1"/>
  <c r="X4" i="9"/>
  <c r="J37" i="9"/>
  <c r="U7" i="9" s="1"/>
  <c r="Q37" i="9"/>
  <c r="U26" i="9" s="1"/>
  <c r="J40" i="9"/>
  <c r="X7" i="9" s="1"/>
  <c r="L41" i="9"/>
  <c r="Y9" i="9" s="1"/>
  <c r="M15" i="9"/>
  <c r="W4" i="9"/>
  <c r="M13" i="9"/>
  <c r="AJ40" i="9"/>
  <c r="AX7" i="9" s="1"/>
  <c r="AX6" i="9"/>
  <c r="AL40" i="9"/>
  <c r="AX9" i="9" s="1"/>
  <c r="J42" i="9"/>
  <c r="Z7" i="9" s="1"/>
  <c r="J39" i="9"/>
  <c r="W7" i="9" s="1"/>
  <c r="W22" i="9"/>
  <c r="Z6" i="9"/>
  <c r="O16" i="9"/>
  <c r="Z23" i="9" s="1"/>
  <c r="O11" i="9"/>
  <c r="O12" i="9"/>
  <c r="V23" i="9" s="1"/>
  <c r="J38" i="9"/>
  <c r="V7" i="9" s="1"/>
  <c r="V4" i="9"/>
  <c r="Z15" i="9" s="1"/>
  <c r="M12" i="9"/>
  <c r="Y6" i="9"/>
  <c r="O15" i="9"/>
  <c r="Y23" i="9" s="1"/>
  <c r="Z5" i="9"/>
  <c r="L42" i="9"/>
  <c r="Z9" i="9" s="1"/>
  <c r="AZ5" i="9"/>
  <c r="AZ6" i="9"/>
  <c r="L38" i="9"/>
  <c r="V9" i="9" s="1"/>
  <c r="AJ42" i="9"/>
  <c r="AZ7" i="9" s="1"/>
  <c r="K39" i="9"/>
  <c r="W8" i="9" s="1"/>
  <c r="J41" i="9"/>
  <c r="Y7" i="9" s="1"/>
  <c r="AR20" i="14"/>
  <c r="AT20" i="14" s="1"/>
  <c r="AV20" i="14" s="1"/>
  <c r="AQ20" i="14"/>
  <c r="AS20" i="14" s="1"/>
  <c r="AU20" i="14" s="1"/>
  <c r="AX22" i="14"/>
  <c r="AY21" i="14"/>
  <c r="AP21" i="14" s="1"/>
  <c r="T3" i="1"/>
  <c r="B22" i="15"/>
  <c r="C22" i="15" s="1"/>
  <c r="A23" i="15"/>
  <c r="D21" i="15"/>
  <c r="F21" i="15" s="1"/>
  <c r="H21" i="15" s="1"/>
  <c r="E21" i="15"/>
  <c r="G21" i="15" s="1"/>
  <c r="I21" i="15" s="1"/>
  <c r="L20" i="8"/>
  <c r="F278" i="12"/>
  <c r="F234" i="12"/>
  <c r="F191" i="12"/>
  <c r="F148" i="12"/>
  <c r="F105" i="12"/>
  <c r="F63" i="12"/>
  <c r="B7" i="2"/>
  <c r="M21" i="11"/>
  <c r="L22" i="11"/>
  <c r="U6" i="9"/>
  <c r="K37" i="9"/>
  <c r="U8" i="9" s="1"/>
  <c r="U5" i="9"/>
  <c r="L37" i="9"/>
  <c r="U9" i="9" s="1"/>
  <c r="L39" i="9"/>
  <c r="W9" i="9" s="1"/>
  <c r="W5" i="9"/>
  <c r="V6" i="9"/>
  <c r="K38" i="9"/>
  <c r="V8" i="9" s="1"/>
  <c r="R3" i="1"/>
  <c r="F12" i="1" s="1"/>
  <c r="G11" i="4"/>
  <c r="B6" i="8"/>
  <c r="B5" i="8"/>
  <c r="B4" i="8"/>
  <c r="B3" i="8"/>
  <c r="B2" i="8"/>
  <c r="B26" i="8"/>
  <c r="B20" i="8"/>
  <c r="AU21" i="9" l="1"/>
  <c r="AZ34" i="9" s="1"/>
  <c r="AQ37" i="9"/>
  <c r="AU26" i="9" s="1"/>
  <c r="AW21" i="9"/>
  <c r="AQ39" i="9"/>
  <c r="AW26" i="9" s="1"/>
  <c r="AQ41" i="9"/>
  <c r="AY26" i="9" s="1"/>
  <c r="AZ15" i="9"/>
  <c r="AP38" i="9"/>
  <c r="AV25" i="9" s="1"/>
  <c r="AV23" i="9"/>
  <c r="AO38" i="9"/>
  <c r="AV24" i="9" s="1"/>
  <c r="AP42" i="9"/>
  <c r="AZ25" i="9" s="1"/>
  <c r="AO40" i="9"/>
  <c r="AX24" i="9" s="1"/>
  <c r="AP40" i="9"/>
  <c r="AX25" i="9" s="1"/>
  <c r="AX23" i="9"/>
  <c r="AO39" i="9"/>
  <c r="AW24" i="9" s="1"/>
  <c r="AP39" i="9"/>
  <c r="AW25" i="9" s="1"/>
  <c r="AW23" i="9"/>
  <c r="AQ42" i="9"/>
  <c r="AZ26" i="9" s="1"/>
  <c r="AV21" i="9"/>
  <c r="AQ38" i="9"/>
  <c r="AV26" i="9" s="1"/>
  <c r="AP41" i="9"/>
  <c r="AY25" i="9" s="1"/>
  <c r="P40" i="9"/>
  <c r="X25" i="9" s="1"/>
  <c r="Q40" i="9"/>
  <c r="X26" i="9" s="1"/>
  <c r="U23" i="9"/>
  <c r="O37" i="9"/>
  <c r="U24" i="9" s="1"/>
  <c r="P39" i="9"/>
  <c r="W25" i="9" s="1"/>
  <c r="W21" i="9"/>
  <c r="Q38" i="9"/>
  <c r="V26" i="9" s="1"/>
  <c r="V21" i="9"/>
  <c r="Q41" i="9"/>
  <c r="Y26" i="9" s="1"/>
  <c r="Y21" i="9"/>
  <c r="Q42" i="9"/>
  <c r="Z26" i="9" s="1"/>
  <c r="Z22" i="9"/>
  <c r="P41" i="9"/>
  <c r="Y25" i="9" s="1"/>
  <c r="O41" i="9"/>
  <c r="Y24" i="9" s="1"/>
  <c r="O38" i="9"/>
  <c r="V24" i="9" s="1"/>
  <c r="P38" i="9"/>
  <c r="V25" i="9" s="1"/>
  <c r="P42" i="9"/>
  <c r="Z25" i="9" s="1"/>
  <c r="O42" i="9"/>
  <c r="Z24" i="9" s="1"/>
  <c r="Q39" i="9"/>
  <c r="W26" i="9" s="1"/>
  <c r="O39" i="9"/>
  <c r="W24" i="9" s="1"/>
  <c r="Z16" i="9"/>
  <c r="P37" i="9"/>
  <c r="U25" i="9" s="1"/>
  <c r="BB4" i="9" a="1"/>
  <c r="BB4" i="9" s="1"/>
  <c r="AV12" i="9" s="1" a="1"/>
  <c r="AV12" i="9" s="1"/>
  <c r="AQ21" i="14"/>
  <c r="AS21" i="14" s="1"/>
  <c r="AU21" i="14" s="1"/>
  <c r="AR21" i="14"/>
  <c r="AT21" i="14" s="1"/>
  <c r="AV21" i="14" s="1"/>
  <c r="AY22" i="14"/>
  <c r="AP22" i="14" s="1"/>
  <c r="AX23" i="14"/>
  <c r="AB4" i="9" a="1"/>
  <c r="AB4" i="9" s="1"/>
  <c r="B23" i="15"/>
  <c r="C23" i="15" s="1"/>
  <c r="A24" i="15"/>
  <c r="D22" i="15"/>
  <c r="F22" i="15" s="1"/>
  <c r="H22" i="15" s="1"/>
  <c r="E22" i="15"/>
  <c r="G22" i="15" s="1"/>
  <c r="I22" i="15" s="1"/>
  <c r="M2" i="8"/>
  <c r="B26" i="12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O6" i="8"/>
  <c r="O11" i="8"/>
  <c r="O18" i="8"/>
  <c r="O27" i="8"/>
  <c r="O34" i="8"/>
  <c r="O4" i="8"/>
  <c r="O16" i="8"/>
  <c r="O25" i="8"/>
  <c r="O32" i="8"/>
  <c r="O41" i="8"/>
  <c r="O9" i="8"/>
  <c r="O14" i="8"/>
  <c r="O23" i="8"/>
  <c r="O30" i="8"/>
  <c r="O39" i="8"/>
  <c r="O7" i="8"/>
  <c r="O12" i="8"/>
  <c r="O21" i="8"/>
  <c r="O28" i="8"/>
  <c r="O37" i="8"/>
  <c r="O19" i="8"/>
  <c r="O26" i="8"/>
  <c r="O35" i="8"/>
  <c r="O42" i="8"/>
  <c r="O5" i="8"/>
  <c r="O10" i="8"/>
  <c r="O17" i="8"/>
  <c r="O24" i="8"/>
  <c r="O33" i="8"/>
  <c r="O40" i="8"/>
  <c r="O2" i="8"/>
  <c r="O3" i="8"/>
  <c r="O8" i="8"/>
  <c r="O15" i="8"/>
  <c r="O22" i="8"/>
  <c r="O31" i="8"/>
  <c r="O38" i="8"/>
  <c r="O13" i="8"/>
  <c r="O20" i="8"/>
  <c r="O29" i="8"/>
  <c r="O36" i="8"/>
  <c r="M19" i="8"/>
  <c r="N2" i="8"/>
  <c r="B20" i="12"/>
  <c r="N4" i="8"/>
  <c r="N3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L21" i="8"/>
  <c r="M20" i="8"/>
  <c r="N20" i="8"/>
  <c r="F279" i="12"/>
  <c r="F235" i="12"/>
  <c r="F192" i="12"/>
  <c r="F149" i="12"/>
  <c r="F106" i="12"/>
  <c r="F64" i="12"/>
  <c r="E5" i="8"/>
  <c r="I13" i="1" s="1"/>
  <c r="E6" i="8"/>
  <c r="I14" i="1" s="1"/>
  <c r="L23" i="11"/>
  <c r="M22" i="11"/>
  <c r="I3" i="8"/>
  <c r="K24" i="7"/>
  <c r="K23" i="7"/>
  <c r="O18" i="7"/>
  <c r="O19" i="7"/>
  <c r="O20" i="7"/>
  <c r="O21" i="7"/>
  <c r="O22" i="7"/>
  <c r="O17" i="7"/>
  <c r="K18" i="7"/>
  <c r="K17" i="7"/>
  <c r="AZ33" i="9" l="1"/>
  <c r="AZ32" i="9"/>
  <c r="BB21" i="9" a="1"/>
  <c r="BB21" i="9" s="1"/>
  <c r="AV29" i="9" s="1" a="1"/>
  <c r="AV29" i="9" s="1"/>
  <c r="Z33" i="9"/>
  <c r="Z32" i="9"/>
  <c r="AB21" i="9" a="1"/>
  <c r="AB21" i="9" s="1"/>
  <c r="V29" i="9" s="1" a="1"/>
  <c r="V29" i="9" s="1"/>
  <c r="V12" i="9" a="1"/>
  <c r="V12" i="9" s="1"/>
  <c r="AY23" i="14"/>
  <c r="AP23" i="14" s="1"/>
  <c r="AX24" i="14"/>
  <c r="AQ22" i="14"/>
  <c r="AS22" i="14" s="1"/>
  <c r="AU22" i="14" s="1"/>
  <c r="AR22" i="14"/>
  <c r="AT22" i="14" s="1"/>
  <c r="AV22" i="14" s="1"/>
  <c r="B24" i="15"/>
  <c r="C24" i="15" s="1"/>
  <c r="A25" i="15"/>
  <c r="E23" i="15"/>
  <c r="G23" i="15" s="1"/>
  <c r="I23" i="15" s="1"/>
  <c r="D23" i="15"/>
  <c r="F23" i="15" s="1"/>
  <c r="H23" i="15" s="1"/>
  <c r="H63" i="12"/>
  <c r="G63" i="12"/>
  <c r="L22" i="8"/>
  <c r="M21" i="8"/>
  <c r="N21" i="8"/>
  <c r="H273" i="12"/>
  <c r="H224" i="12"/>
  <c r="H232" i="12"/>
  <c r="H184" i="12"/>
  <c r="H96" i="12"/>
  <c r="H101" i="12"/>
  <c r="H217" i="12"/>
  <c r="H261" i="12"/>
  <c r="H265" i="12"/>
  <c r="H269" i="12"/>
  <c r="H278" i="12"/>
  <c r="H221" i="12"/>
  <c r="H229" i="12"/>
  <c r="H181" i="12"/>
  <c r="H141" i="12"/>
  <c r="H91" i="12"/>
  <c r="H99" i="12"/>
  <c r="H104" i="12"/>
  <c r="H105" i="12"/>
  <c r="H274" i="12"/>
  <c r="H189" i="12"/>
  <c r="H137" i="12"/>
  <c r="H94" i="12"/>
  <c r="H100" i="12"/>
  <c r="H270" i="12"/>
  <c r="H222" i="12"/>
  <c r="H230" i="12"/>
  <c r="H182" i="12"/>
  <c r="H134" i="12"/>
  <c r="H142" i="12"/>
  <c r="H89" i="12"/>
  <c r="H97" i="12"/>
  <c r="H102" i="12"/>
  <c r="H266" i="12"/>
  <c r="H88" i="12"/>
  <c r="H263" i="12"/>
  <c r="H223" i="12"/>
  <c r="H231" i="12"/>
  <c r="H183" i="12"/>
  <c r="H191" i="12"/>
  <c r="H135" i="12"/>
  <c r="H95" i="12"/>
  <c r="H92" i="12"/>
  <c r="H143" i="12"/>
  <c r="H131" i="12"/>
  <c r="H90" i="12"/>
  <c r="H98" i="12"/>
  <c r="H103" i="12"/>
  <c r="H136" i="12"/>
  <c r="H93" i="12"/>
  <c r="H106" i="12"/>
  <c r="H264" i="12"/>
  <c r="H268" i="12"/>
  <c r="H180" i="12"/>
  <c r="H192" i="12"/>
  <c r="H147" i="12"/>
  <c r="H275" i="12"/>
  <c r="H272" i="12"/>
  <c r="H186" i="12"/>
  <c r="H39" i="12"/>
  <c r="H8" i="12"/>
  <c r="H23" i="12"/>
  <c r="H145" i="12"/>
  <c r="H218" i="12"/>
  <c r="H140" i="12"/>
  <c r="H220" i="12"/>
  <c r="H132" i="12"/>
  <c r="H188" i="12"/>
  <c r="H235" i="12"/>
  <c r="H267" i="12"/>
  <c r="H233" i="12"/>
  <c r="H47" i="12"/>
  <c r="H11" i="12"/>
  <c r="H24" i="12"/>
  <c r="H185" i="12"/>
  <c r="H174" i="12"/>
  <c r="H225" i="12"/>
  <c r="H234" i="12"/>
  <c r="H146" i="12"/>
  <c r="H219" i="12"/>
  <c r="H271" i="12"/>
  <c r="H14" i="12"/>
  <c r="H3" i="12"/>
  <c r="H16" i="12"/>
  <c r="H13" i="12"/>
  <c r="H31" i="12"/>
  <c r="H176" i="12"/>
  <c r="H179" i="12"/>
  <c r="H144" i="12"/>
  <c r="H148" i="12"/>
  <c r="H260" i="12"/>
  <c r="H34" i="12"/>
  <c r="H187" i="12"/>
  <c r="H227" i="12"/>
  <c r="H6" i="12"/>
  <c r="H2" i="12"/>
  <c r="H30" i="12"/>
  <c r="H21" i="12"/>
  <c r="H25" i="12"/>
  <c r="H41" i="12"/>
  <c r="H42" i="12"/>
  <c r="H149" i="12"/>
  <c r="H277" i="12"/>
  <c r="H139" i="12"/>
  <c r="H27" i="12"/>
  <c r="H18" i="12"/>
  <c r="H7" i="12"/>
  <c r="H36" i="12"/>
  <c r="H133" i="12"/>
  <c r="H175" i="12"/>
  <c r="H33" i="12"/>
  <c r="H45" i="12"/>
  <c r="H22" i="12"/>
  <c r="H28" i="12"/>
  <c r="H17" i="12"/>
  <c r="H178" i="12"/>
  <c r="H226" i="12"/>
  <c r="H276" i="12"/>
  <c r="H19" i="12"/>
  <c r="H29" i="12"/>
  <c r="H4" i="12"/>
  <c r="H37" i="12"/>
  <c r="H190" i="12"/>
  <c r="H38" i="12"/>
  <c r="H10" i="12"/>
  <c r="H35" i="12"/>
  <c r="H177" i="12"/>
  <c r="H138" i="12"/>
  <c r="H279" i="12"/>
  <c r="H15" i="12"/>
  <c r="H20" i="12"/>
  <c r="H9" i="12"/>
  <c r="H228" i="12"/>
  <c r="H32" i="12"/>
  <c r="H26" i="12"/>
  <c r="H5" i="12"/>
  <c r="H40" i="12"/>
  <c r="H46" i="12"/>
  <c r="H262" i="12"/>
  <c r="H12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G261" i="12"/>
  <c r="G188" i="12"/>
  <c r="G132" i="12"/>
  <c r="G144" i="12"/>
  <c r="G148" i="12"/>
  <c r="G91" i="12"/>
  <c r="G99" i="12"/>
  <c r="G104" i="12"/>
  <c r="G260" i="12"/>
  <c r="G176" i="12"/>
  <c r="G193" i="12"/>
  <c r="G137" i="12"/>
  <c r="G94" i="12"/>
  <c r="G107" i="12"/>
  <c r="G226" i="12"/>
  <c r="G225" i="12"/>
  <c r="G233" i="12"/>
  <c r="I233" i="12" s="1"/>
  <c r="G185" i="12"/>
  <c r="G145" i="12"/>
  <c r="G89" i="12"/>
  <c r="G97" i="12"/>
  <c r="G102" i="12"/>
  <c r="G262" i="12"/>
  <c r="I262" i="12" s="1"/>
  <c r="G266" i="12"/>
  <c r="G279" i="12"/>
  <c r="G150" i="12"/>
  <c r="G92" i="12"/>
  <c r="G100" i="12"/>
  <c r="G105" i="12"/>
  <c r="I105" i="12" s="1"/>
  <c r="G46" i="12"/>
  <c r="G234" i="12"/>
  <c r="G178" i="12"/>
  <c r="G138" i="12"/>
  <c r="G95" i="12"/>
  <c r="G271" i="12"/>
  <c r="G174" i="12"/>
  <c r="G143" i="12"/>
  <c r="G90" i="12"/>
  <c r="I90" i="12" s="1"/>
  <c r="G98" i="12"/>
  <c r="G103" i="12"/>
  <c r="G88" i="12"/>
  <c r="I88" i="12" s="1"/>
  <c r="G218" i="12"/>
  <c r="I218" i="12" s="1"/>
  <c r="G276" i="12"/>
  <c r="G219" i="12"/>
  <c r="G227" i="12"/>
  <c r="G235" i="12"/>
  <c r="G187" i="12"/>
  <c r="I187" i="12" s="1"/>
  <c r="G139" i="12"/>
  <c r="G147" i="12"/>
  <c r="I147" i="12" s="1"/>
  <c r="G93" i="12"/>
  <c r="I93" i="12" s="1"/>
  <c r="G106" i="12"/>
  <c r="G101" i="12"/>
  <c r="G186" i="12"/>
  <c r="I186" i="12" s="1"/>
  <c r="G146" i="12"/>
  <c r="I146" i="12" s="1"/>
  <c r="G224" i="12"/>
  <c r="I224" i="12" s="1"/>
  <c r="G232" i="12"/>
  <c r="G175" i="12"/>
  <c r="G184" i="12"/>
  <c r="G131" i="12"/>
  <c r="G96" i="12"/>
  <c r="G275" i="12"/>
  <c r="G221" i="12"/>
  <c r="I221" i="12" s="1"/>
  <c r="G142" i="12"/>
  <c r="G223" i="12"/>
  <c r="G133" i="12"/>
  <c r="G135" i="12"/>
  <c r="G192" i="12"/>
  <c r="G34" i="12"/>
  <c r="G29" i="12"/>
  <c r="I29" i="12" s="1"/>
  <c r="G15" i="12"/>
  <c r="G191" i="12"/>
  <c r="G273" i="12"/>
  <c r="G270" i="12"/>
  <c r="G179" i="12"/>
  <c r="G141" i="12"/>
  <c r="G189" i="12"/>
  <c r="G268" i="12"/>
  <c r="G136" i="12"/>
  <c r="I136" i="12" s="1"/>
  <c r="G177" i="12"/>
  <c r="I177" i="12" s="1"/>
  <c r="G182" i="12"/>
  <c r="G230" i="12"/>
  <c r="I230" i="12" s="1"/>
  <c r="G3" i="12"/>
  <c r="G13" i="12"/>
  <c r="G38" i="12"/>
  <c r="G18" i="12"/>
  <c r="G24" i="12"/>
  <c r="G31" i="12"/>
  <c r="I31" i="12" s="1"/>
  <c r="G134" i="12"/>
  <c r="I134" i="12" s="1"/>
  <c r="G183" i="12"/>
  <c r="I183" i="12" s="1"/>
  <c r="G149" i="12"/>
  <c r="G180" i="12"/>
  <c r="G181" i="12"/>
  <c r="G220" i="12"/>
  <c r="I220" i="12" s="1"/>
  <c r="G272" i="12"/>
  <c r="G39" i="12"/>
  <c r="I39" i="12" s="1"/>
  <c r="G35" i="12"/>
  <c r="G229" i="12"/>
  <c r="I229" i="12" s="1"/>
  <c r="G231" i="12"/>
  <c r="G267" i="12"/>
  <c r="G269" i="12"/>
  <c r="I269" i="12" s="1"/>
  <c r="G22" i="12"/>
  <c r="G2" i="12"/>
  <c r="G8" i="12"/>
  <c r="G10" i="12"/>
  <c r="G217" i="12"/>
  <c r="G190" i="12"/>
  <c r="I190" i="12" s="1"/>
  <c r="G222" i="12"/>
  <c r="G47" i="12"/>
  <c r="G27" i="12"/>
  <c r="G36" i="12"/>
  <c r="I36" i="12" s="1"/>
  <c r="G25" i="12"/>
  <c r="I25" i="12" s="1"/>
  <c r="G42" i="12"/>
  <c r="G45" i="12"/>
  <c r="I45" i="12" s="1"/>
  <c r="G265" i="12"/>
  <c r="G9" i="12"/>
  <c r="G21" i="12"/>
  <c r="G33" i="12"/>
  <c r="G40" i="12"/>
  <c r="G20" i="12"/>
  <c r="G19" i="12"/>
  <c r="G5" i="12"/>
  <c r="I5" i="12" s="1"/>
  <c r="G37" i="12"/>
  <c r="G16" i="12"/>
  <c r="G7" i="12"/>
  <c r="I7" i="12" s="1"/>
  <c r="G11" i="12"/>
  <c r="G14" i="12"/>
  <c r="I14" i="12" s="1"/>
  <c r="G23" i="12"/>
  <c r="G228" i="12"/>
  <c r="I228" i="12" s="1"/>
  <c r="G274" i="12"/>
  <c r="G26" i="12"/>
  <c r="G32" i="12"/>
  <c r="G278" i="12"/>
  <c r="G263" i="12"/>
  <c r="G41" i="12"/>
  <c r="G264" i="12"/>
  <c r="G140" i="12"/>
  <c r="G277" i="12"/>
  <c r="I277" i="12" s="1"/>
  <c r="G6" i="12"/>
  <c r="I6" i="12" s="1"/>
  <c r="G17" i="12"/>
  <c r="G28" i="12"/>
  <c r="G30" i="12"/>
  <c r="G4" i="12"/>
  <c r="G12" i="12"/>
  <c r="G48" i="12"/>
  <c r="I48" i="12" s="1"/>
  <c r="G49" i="12"/>
  <c r="G50" i="12"/>
  <c r="G51" i="12"/>
  <c r="G52" i="12"/>
  <c r="G53" i="12"/>
  <c r="G54" i="12"/>
  <c r="G55" i="12"/>
  <c r="G56" i="12"/>
  <c r="I56" i="12" s="1"/>
  <c r="G57" i="12"/>
  <c r="G58" i="12"/>
  <c r="G59" i="12"/>
  <c r="G60" i="12"/>
  <c r="G61" i="12"/>
  <c r="G62" i="12"/>
  <c r="F280" i="12"/>
  <c r="G280" i="12" s="1"/>
  <c r="F236" i="12"/>
  <c r="H236" i="12" s="1"/>
  <c r="F193" i="12"/>
  <c r="H193" i="12" s="1"/>
  <c r="F150" i="12"/>
  <c r="H150" i="12" s="1"/>
  <c r="F107" i="12"/>
  <c r="H107" i="12" s="1"/>
  <c r="G64" i="12"/>
  <c r="H64" i="12"/>
  <c r="F65" i="12"/>
  <c r="M23" i="11"/>
  <c r="L24" i="11"/>
  <c r="E7" i="8"/>
  <c r="K20" i="7"/>
  <c r="K22" i="7" s="1"/>
  <c r="K19" i="7"/>
  <c r="K21" i="7" s="1"/>
  <c r="I22" i="12" l="1"/>
  <c r="K22" i="12" s="1"/>
  <c r="I275" i="12"/>
  <c r="I27" i="12"/>
  <c r="J27" i="12" s="1"/>
  <c r="I52" i="12"/>
  <c r="I21" i="12"/>
  <c r="I181" i="12"/>
  <c r="I137" i="12"/>
  <c r="I271" i="12"/>
  <c r="K271" i="12" s="1"/>
  <c r="I231" i="12"/>
  <c r="I135" i="12"/>
  <c r="J135" i="12" s="1"/>
  <c r="I63" i="12"/>
  <c r="I178" i="12"/>
  <c r="I266" i="12"/>
  <c r="I104" i="12"/>
  <c r="J104" i="12" s="1"/>
  <c r="B9" i="2"/>
  <c r="E8" i="8"/>
  <c r="AX25" i="14"/>
  <c r="B33" i="14" s="1"/>
  <c r="AY24" i="14"/>
  <c r="AP24" i="14" s="1"/>
  <c r="AR23" i="14"/>
  <c r="AT23" i="14" s="1"/>
  <c r="AV23" i="14" s="1"/>
  <c r="AQ23" i="14"/>
  <c r="AS23" i="14" s="1"/>
  <c r="AU23" i="14" s="1"/>
  <c r="I107" i="12"/>
  <c r="H280" i="12"/>
  <c r="I280" i="12" s="1"/>
  <c r="I278" i="12"/>
  <c r="J278" i="12" s="1"/>
  <c r="I19" i="12"/>
  <c r="I40" i="12"/>
  <c r="K40" i="12" s="1"/>
  <c r="I175" i="12"/>
  <c r="I8" i="12"/>
  <c r="K8" i="12" s="1"/>
  <c r="I150" i="12"/>
  <c r="I60" i="12"/>
  <c r="K60" i="12" s="1"/>
  <c r="I38" i="12"/>
  <c r="J38" i="12" s="1"/>
  <c r="I234" i="12"/>
  <c r="J234" i="12" s="1"/>
  <c r="G236" i="12"/>
  <c r="I267" i="12"/>
  <c r="K267" i="12" s="1"/>
  <c r="I273" i="12"/>
  <c r="J273" i="12" s="1"/>
  <c r="I174" i="12"/>
  <c r="J174" i="12" s="1"/>
  <c r="I89" i="12"/>
  <c r="K89" i="12" s="1"/>
  <c r="A26" i="15"/>
  <c r="B25" i="15"/>
  <c r="C25" i="15" s="1"/>
  <c r="E24" i="15"/>
  <c r="G24" i="15" s="1"/>
  <c r="I24" i="15" s="1"/>
  <c r="D24" i="15"/>
  <c r="F24" i="15" s="1"/>
  <c r="H24" i="15" s="1"/>
  <c r="I263" i="12"/>
  <c r="K263" i="12" s="1"/>
  <c r="I23" i="12"/>
  <c r="I3" i="12"/>
  <c r="J3" i="12" s="1"/>
  <c r="I139" i="12"/>
  <c r="K139" i="12" s="1"/>
  <c r="I184" i="12"/>
  <c r="J184" i="12" s="1"/>
  <c r="I97" i="12"/>
  <c r="J97" i="12" s="1"/>
  <c r="I61" i="12"/>
  <c r="J61" i="12" s="1"/>
  <c r="I53" i="12"/>
  <c r="K53" i="12" s="1"/>
  <c r="I30" i="12"/>
  <c r="K30" i="12" s="1"/>
  <c r="I191" i="12"/>
  <c r="K191" i="12" s="1"/>
  <c r="I100" i="12"/>
  <c r="K100" i="12" s="1"/>
  <c r="I15" i="12"/>
  <c r="J15" i="12" s="1"/>
  <c r="I92" i="12"/>
  <c r="K92" i="12" s="1"/>
  <c r="I2" i="8"/>
  <c r="I264" i="12"/>
  <c r="J264" i="12" s="1"/>
  <c r="I26" i="12"/>
  <c r="J26" i="12" s="1"/>
  <c r="I11" i="12"/>
  <c r="J11" i="12" s="1"/>
  <c r="I138" i="12"/>
  <c r="I265" i="12"/>
  <c r="K265" i="12" s="1"/>
  <c r="I55" i="12"/>
  <c r="I12" i="12"/>
  <c r="J12" i="12" s="1"/>
  <c r="I42" i="12"/>
  <c r="I272" i="12"/>
  <c r="J272" i="12" s="1"/>
  <c r="I192" i="12"/>
  <c r="K192" i="12" s="1"/>
  <c r="I143" i="12"/>
  <c r="K143" i="12" s="1"/>
  <c r="I189" i="12"/>
  <c r="K189" i="12" s="1"/>
  <c r="I223" i="12"/>
  <c r="J223" i="12" s="1"/>
  <c r="I103" i="12"/>
  <c r="J103" i="12" s="1"/>
  <c r="I18" i="12"/>
  <c r="K18" i="12" s="1"/>
  <c r="I9" i="12"/>
  <c r="K9" i="12" s="1"/>
  <c r="I101" i="12"/>
  <c r="J101" i="12" s="1"/>
  <c r="I227" i="12"/>
  <c r="J227" i="12" s="1"/>
  <c r="I225" i="12"/>
  <c r="K225" i="12" s="1"/>
  <c r="I99" i="12"/>
  <c r="J99" i="12" s="1"/>
  <c r="I132" i="12"/>
  <c r="J132" i="12" s="1"/>
  <c r="I58" i="12"/>
  <c r="K58" i="12" s="1"/>
  <c r="I50" i="12"/>
  <c r="J50" i="12" s="1"/>
  <c r="I37" i="12"/>
  <c r="J37" i="12" s="1"/>
  <c r="I13" i="12"/>
  <c r="K13" i="12" s="1"/>
  <c r="I219" i="12"/>
  <c r="K219" i="12" s="1"/>
  <c r="I94" i="12"/>
  <c r="J94" i="12" s="1"/>
  <c r="I59" i="12"/>
  <c r="K59" i="12" s="1"/>
  <c r="I51" i="12"/>
  <c r="J51" i="12" s="1"/>
  <c r="I16" i="12"/>
  <c r="J16" i="12" s="1"/>
  <c r="I141" i="12"/>
  <c r="J141" i="12" s="1"/>
  <c r="I236" i="12"/>
  <c r="J236" i="12" s="1"/>
  <c r="I34" i="12"/>
  <c r="J34" i="12" s="1"/>
  <c r="I217" i="12"/>
  <c r="K217" i="12" s="1"/>
  <c r="I180" i="12"/>
  <c r="K180" i="12" s="1"/>
  <c r="I182" i="12"/>
  <c r="K182" i="12" s="1"/>
  <c r="I270" i="12"/>
  <c r="K270" i="12" s="1"/>
  <c r="I235" i="12"/>
  <c r="J235" i="12" s="1"/>
  <c r="I179" i="12"/>
  <c r="J179" i="12" s="1"/>
  <c r="I20" i="12"/>
  <c r="K20" i="12" s="1"/>
  <c r="I10" i="12"/>
  <c r="J10" i="12" s="1"/>
  <c r="I268" i="12"/>
  <c r="K268" i="12" s="1"/>
  <c r="I62" i="12"/>
  <c r="I54" i="12"/>
  <c r="K54" i="12" s="1"/>
  <c r="I33" i="12"/>
  <c r="K33" i="12" s="1"/>
  <c r="I149" i="12"/>
  <c r="J149" i="12" s="1"/>
  <c r="I24" i="12"/>
  <c r="J24" i="12" s="1"/>
  <c r="I133" i="12"/>
  <c r="J133" i="12" s="1"/>
  <c r="I193" i="12"/>
  <c r="K193" i="12" s="1"/>
  <c r="I148" i="12"/>
  <c r="J148" i="12" s="1"/>
  <c r="K264" i="12"/>
  <c r="J231" i="12"/>
  <c r="K231" i="12"/>
  <c r="J52" i="12"/>
  <c r="K52" i="12"/>
  <c r="K21" i="12"/>
  <c r="J21" i="12"/>
  <c r="K27" i="12"/>
  <c r="J229" i="12"/>
  <c r="K229" i="12"/>
  <c r="K177" i="12"/>
  <c r="J177" i="12"/>
  <c r="K275" i="12"/>
  <c r="J275" i="12"/>
  <c r="J93" i="12"/>
  <c r="K93" i="12"/>
  <c r="K178" i="12"/>
  <c r="J178" i="12"/>
  <c r="J262" i="12"/>
  <c r="K262" i="12"/>
  <c r="J233" i="12"/>
  <c r="K233" i="12"/>
  <c r="K104" i="12"/>
  <c r="I144" i="12"/>
  <c r="I188" i="12"/>
  <c r="I274" i="12"/>
  <c r="K228" i="12"/>
  <c r="J228" i="12"/>
  <c r="J9" i="12"/>
  <c r="K38" i="12"/>
  <c r="K29" i="12"/>
  <c r="J29" i="12"/>
  <c r="K101" i="12"/>
  <c r="I98" i="12"/>
  <c r="I35" i="12"/>
  <c r="I106" i="12"/>
  <c r="I131" i="12"/>
  <c r="I28" i="12"/>
  <c r="I41" i="12"/>
  <c r="I47" i="12"/>
  <c r="J6" i="12"/>
  <c r="K6" i="12"/>
  <c r="K37" i="12"/>
  <c r="I222" i="12"/>
  <c r="J22" i="12"/>
  <c r="K181" i="12"/>
  <c r="J181" i="12"/>
  <c r="K183" i="12"/>
  <c r="J183" i="12"/>
  <c r="I96" i="12"/>
  <c r="I232" i="12"/>
  <c r="K147" i="12"/>
  <c r="J147" i="12"/>
  <c r="J90" i="12"/>
  <c r="K90" i="12"/>
  <c r="K150" i="12"/>
  <c r="J150" i="12"/>
  <c r="J107" i="12"/>
  <c r="K107" i="12"/>
  <c r="I91" i="12"/>
  <c r="I276" i="12"/>
  <c r="I145" i="12"/>
  <c r="I102" i="12"/>
  <c r="L23" i="8"/>
  <c r="M22" i="8"/>
  <c r="N22" i="8"/>
  <c r="J36" i="12"/>
  <c r="K36" i="12"/>
  <c r="J186" i="12"/>
  <c r="K186" i="12"/>
  <c r="K138" i="12"/>
  <c r="J138" i="12"/>
  <c r="K7" i="12"/>
  <c r="J7" i="12"/>
  <c r="I57" i="12"/>
  <c r="I49" i="12"/>
  <c r="K23" i="12"/>
  <c r="J23" i="12"/>
  <c r="K5" i="12"/>
  <c r="J5" i="12"/>
  <c r="J190" i="12"/>
  <c r="K190" i="12"/>
  <c r="J269" i="12"/>
  <c r="K269" i="12"/>
  <c r="J39" i="12"/>
  <c r="K39" i="12"/>
  <c r="I142" i="12"/>
  <c r="K224" i="12"/>
  <c r="J224" i="12"/>
  <c r="J139" i="12"/>
  <c r="I46" i="12"/>
  <c r="I260" i="12"/>
  <c r="I185" i="12"/>
  <c r="J100" i="12"/>
  <c r="K278" i="12"/>
  <c r="J230" i="12"/>
  <c r="K230" i="12"/>
  <c r="K221" i="12"/>
  <c r="J221" i="12"/>
  <c r="J137" i="12"/>
  <c r="K137" i="12"/>
  <c r="I2" i="12"/>
  <c r="K56" i="12"/>
  <c r="J56" i="12"/>
  <c r="K277" i="12"/>
  <c r="J277" i="12"/>
  <c r="J19" i="12"/>
  <c r="K19" i="12"/>
  <c r="K218" i="12"/>
  <c r="J218" i="12"/>
  <c r="J55" i="12"/>
  <c r="K55" i="12"/>
  <c r="I140" i="12"/>
  <c r="J42" i="12"/>
  <c r="K42" i="12"/>
  <c r="J180" i="12"/>
  <c r="K134" i="12"/>
  <c r="J134" i="12"/>
  <c r="J268" i="12"/>
  <c r="J187" i="12"/>
  <c r="K187" i="12"/>
  <c r="K88" i="12"/>
  <c r="J88" i="12"/>
  <c r="I95" i="12"/>
  <c r="K97" i="12"/>
  <c r="I261" i="12"/>
  <c r="J266" i="12"/>
  <c r="K266" i="12"/>
  <c r="K148" i="12"/>
  <c r="J48" i="12"/>
  <c r="K48" i="12"/>
  <c r="K14" i="12"/>
  <c r="J14" i="12"/>
  <c r="K45" i="12"/>
  <c r="J45" i="12"/>
  <c r="J136" i="12"/>
  <c r="K136" i="12"/>
  <c r="I4" i="12"/>
  <c r="I32" i="12"/>
  <c r="J40" i="12"/>
  <c r="J25" i="12"/>
  <c r="K25" i="12"/>
  <c r="K220" i="12"/>
  <c r="J220" i="12"/>
  <c r="K31" i="12"/>
  <c r="J31" i="12"/>
  <c r="K135" i="12"/>
  <c r="K175" i="12"/>
  <c r="J175" i="12"/>
  <c r="K146" i="12"/>
  <c r="J146" i="12"/>
  <c r="J105" i="12"/>
  <c r="K105" i="12"/>
  <c r="I279" i="12"/>
  <c r="J89" i="12"/>
  <c r="I226" i="12"/>
  <c r="I17" i="12"/>
  <c r="I176" i="12"/>
  <c r="I64" i="12"/>
  <c r="K64" i="12" s="1"/>
  <c r="F281" i="12"/>
  <c r="F237" i="12"/>
  <c r="F194" i="12"/>
  <c r="F151" i="12"/>
  <c r="F108" i="12"/>
  <c r="G65" i="12"/>
  <c r="H65" i="12"/>
  <c r="J63" i="12"/>
  <c r="K63" i="12"/>
  <c r="F66" i="12"/>
  <c r="B10" i="2"/>
  <c r="L25" i="11"/>
  <c r="M24" i="11"/>
  <c r="Q2" i="1"/>
  <c r="F4" i="4"/>
  <c r="N12" i="1"/>
  <c r="Z6" i="6"/>
  <c r="Z7" i="6"/>
  <c r="AD7" i="6" s="1"/>
  <c r="Z10" i="6"/>
  <c r="Z9" i="6"/>
  <c r="Z8" i="6"/>
  <c r="T4" i="1"/>
  <c r="T6" i="1" s="1"/>
  <c r="T7" i="1" s="1"/>
  <c r="L29" i="1" s="1"/>
  <c r="Z15" i="6" s="1"/>
  <c r="AB15" i="6" s="1"/>
  <c r="C167" i="6"/>
  <c r="F175" i="6" s="1"/>
  <c r="H175" i="6" s="1"/>
  <c r="I175" i="6" s="1"/>
  <c r="W15" i="6" s="1"/>
  <c r="C152" i="6"/>
  <c r="F161" i="6" s="1"/>
  <c r="H161" i="6" s="1"/>
  <c r="I161" i="6" s="1"/>
  <c r="V16" i="6" s="1"/>
  <c r="C137" i="6"/>
  <c r="F150" i="6" s="1"/>
  <c r="H150" i="6" s="1"/>
  <c r="I150" i="6" s="1"/>
  <c r="U20" i="6" s="1"/>
  <c r="C122" i="6"/>
  <c r="F133" i="6" s="1"/>
  <c r="H133" i="6" s="1"/>
  <c r="I133" i="6" s="1"/>
  <c r="T18" i="6" s="1"/>
  <c r="C107" i="6"/>
  <c r="F119" i="6" s="1"/>
  <c r="H119" i="6" s="1"/>
  <c r="I119" i="6" s="1"/>
  <c r="S19" i="6" s="1"/>
  <c r="C92" i="6"/>
  <c r="F105" i="6" s="1"/>
  <c r="H105" i="6" s="1"/>
  <c r="I105" i="6" s="1"/>
  <c r="R20" i="6" s="1"/>
  <c r="C77" i="6"/>
  <c r="F78" i="6" s="1"/>
  <c r="H78" i="6" s="1"/>
  <c r="I78" i="6" s="1"/>
  <c r="Q8" i="6" s="1"/>
  <c r="C62" i="6"/>
  <c r="F68" i="6" s="1"/>
  <c r="H68" i="6" s="1"/>
  <c r="I68" i="6" s="1"/>
  <c r="P13" i="6" s="1"/>
  <c r="C47" i="6"/>
  <c r="F55" i="6" s="1"/>
  <c r="H55" i="6" s="1"/>
  <c r="I55" i="6" s="1"/>
  <c r="O15" i="6" s="1"/>
  <c r="C32" i="6"/>
  <c r="F41" i="6" s="1"/>
  <c r="H41" i="6" s="1"/>
  <c r="I41" i="6" s="1"/>
  <c r="N16" i="6" s="1"/>
  <c r="C17" i="6"/>
  <c r="F25" i="6" s="1"/>
  <c r="H25" i="6" s="1"/>
  <c r="I25" i="6" s="1"/>
  <c r="M15" i="6" s="1"/>
  <c r="C2" i="6"/>
  <c r="F2" i="6" s="1"/>
  <c r="H2" i="6" s="1"/>
  <c r="I2" i="6" s="1"/>
  <c r="J271" i="12" l="1"/>
  <c r="J263" i="12"/>
  <c r="N14" i="2"/>
  <c r="L24" i="1"/>
  <c r="C23" i="1"/>
  <c r="AR24" i="14"/>
  <c r="AT24" i="14" s="1"/>
  <c r="AV24" i="14" s="1"/>
  <c r="AQ24" i="14"/>
  <c r="AS24" i="14" s="1"/>
  <c r="AU24" i="14" s="1"/>
  <c r="AY25" i="14"/>
  <c r="AP25" i="14" s="1"/>
  <c r="AX26" i="14"/>
  <c r="J59" i="12"/>
  <c r="K174" i="12"/>
  <c r="J30" i="12"/>
  <c r="K272" i="12"/>
  <c r="J265" i="12"/>
  <c r="J54" i="12"/>
  <c r="K61" i="12"/>
  <c r="J53" i="12"/>
  <c r="J267" i="12"/>
  <c r="K223" i="12"/>
  <c r="K234" i="12"/>
  <c r="K15" i="12"/>
  <c r="J191" i="12"/>
  <c r="K3" i="12"/>
  <c r="K51" i="12"/>
  <c r="K227" i="12"/>
  <c r="J192" i="12"/>
  <c r="J60" i="12"/>
  <c r="J92" i="12"/>
  <c r="K99" i="12"/>
  <c r="K26" i="12"/>
  <c r="J8" i="12"/>
  <c r="G108" i="12"/>
  <c r="H108" i="12"/>
  <c r="K236" i="12"/>
  <c r="G151" i="12"/>
  <c r="H151" i="12"/>
  <c r="K11" i="12"/>
  <c r="H281" i="12"/>
  <c r="G281" i="12"/>
  <c r="H194" i="12"/>
  <c r="G194" i="12"/>
  <c r="K273" i="12"/>
  <c r="J58" i="12"/>
  <c r="H237" i="12"/>
  <c r="G237" i="12"/>
  <c r="D25" i="15"/>
  <c r="F25" i="15" s="1"/>
  <c r="H25" i="15" s="1"/>
  <c r="E25" i="15"/>
  <c r="G25" i="15" s="1"/>
  <c r="I25" i="15" s="1"/>
  <c r="B26" i="15"/>
  <c r="C26" i="15" s="1"/>
  <c r="A27" i="15"/>
  <c r="L7" i="6"/>
  <c r="F30" i="6"/>
  <c r="H30" i="6" s="1"/>
  <c r="I30" i="6" s="1"/>
  <c r="M20" i="6" s="1"/>
  <c r="F93" i="6"/>
  <c r="H93" i="6" s="1"/>
  <c r="I93" i="6" s="1"/>
  <c r="R8" i="6" s="1"/>
  <c r="F103" i="6"/>
  <c r="H103" i="6" s="1"/>
  <c r="I103" i="6" s="1"/>
  <c r="R18" i="6" s="1"/>
  <c r="F96" i="6"/>
  <c r="H96" i="6" s="1"/>
  <c r="I96" i="6" s="1"/>
  <c r="R11" i="6" s="1"/>
  <c r="F104" i="6"/>
  <c r="H104" i="6" s="1"/>
  <c r="I104" i="6" s="1"/>
  <c r="R19" i="6" s="1"/>
  <c r="F19" i="6"/>
  <c r="H19" i="6" s="1"/>
  <c r="I19" i="6" s="1"/>
  <c r="M9" i="6" s="1"/>
  <c r="F26" i="6"/>
  <c r="H26" i="6" s="1"/>
  <c r="I26" i="6" s="1"/>
  <c r="M16" i="6" s="1"/>
  <c r="F54" i="6"/>
  <c r="H54" i="6" s="1"/>
  <c r="I54" i="6" s="1"/>
  <c r="O14" i="6" s="1"/>
  <c r="F15" i="6"/>
  <c r="H15" i="6" s="1"/>
  <c r="I15" i="6" s="1"/>
  <c r="L20" i="6" s="1"/>
  <c r="F160" i="6"/>
  <c r="H160" i="6" s="1"/>
  <c r="I160" i="6" s="1"/>
  <c r="V15" i="6" s="1"/>
  <c r="F53" i="6"/>
  <c r="H53" i="6" s="1"/>
  <c r="I53" i="6" s="1"/>
  <c r="O13" i="6" s="1"/>
  <c r="F132" i="6"/>
  <c r="H132" i="6" s="1"/>
  <c r="I132" i="6" s="1"/>
  <c r="T17" i="6" s="1"/>
  <c r="F75" i="6"/>
  <c r="H75" i="6" s="1"/>
  <c r="I75" i="6" s="1"/>
  <c r="P20" i="6" s="1"/>
  <c r="F164" i="6"/>
  <c r="H164" i="6" s="1"/>
  <c r="I164" i="6" s="1"/>
  <c r="V19" i="6" s="1"/>
  <c r="F50" i="6"/>
  <c r="H50" i="6" s="1"/>
  <c r="I50" i="6" s="1"/>
  <c r="O10" i="6" s="1"/>
  <c r="F129" i="6"/>
  <c r="H129" i="6" s="1"/>
  <c r="I129" i="6" s="1"/>
  <c r="T14" i="6" s="1"/>
  <c r="F131" i="6"/>
  <c r="H131" i="6" s="1"/>
  <c r="I131" i="6" s="1"/>
  <c r="T16" i="6" s="1"/>
  <c r="F58" i="6"/>
  <c r="H58" i="6" s="1"/>
  <c r="I58" i="6" s="1"/>
  <c r="O18" i="6" s="1"/>
  <c r="F72" i="6"/>
  <c r="H72" i="6" s="1"/>
  <c r="I72" i="6" s="1"/>
  <c r="P17" i="6" s="1"/>
  <c r="F18" i="6"/>
  <c r="H18" i="6" s="1"/>
  <c r="I18" i="6" s="1"/>
  <c r="M8" i="6" s="1"/>
  <c r="F95" i="6"/>
  <c r="H95" i="6" s="1"/>
  <c r="I95" i="6" s="1"/>
  <c r="R10" i="6" s="1"/>
  <c r="F5" i="6"/>
  <c r="H5" i="6" s="1"/>
  <c r="I5" i="6" s="1"/>
  <c r="L10" i="6" s="1"/>
  <c r="F36" i="6"/>
  <c r="H36" i="6" s="1"/>
  <c r="I36" i="6" s="1"/>
  <c r="N11" i="6" s="1"/>
  <c r="F82" i="6"/>
  <c r="H82" i="6" s="1"/>
  <c r="I82" i="6" s="1"/>
  <c r="Q12" i="6" s="1"/>
  <c r="F109" i="6"/>
  <c r="H109" i="6" s="1"/>
  <c r="I109" i="6" s="1"/>
  <c r="S9" i="6" s="1"/>
  <c r="F168" i="6"/>
  <c r="H168" i="6" s="1"/>
  <c r="I168" i="6" s="1"/>
  <c r="W8" i="6" s="1"/>
  <c r="F39" i="6"/>
  <c r="H39" i="6" s="1"/>
  <c r="I39" i="6" s="1"/>
  <c r="N14" i="6" s="1"/>
  <c r="F89" i="6"/>
  <c r="H89" i="6" s="1"/>
  <c r="I89" i="6" s="1"/>
  <c r="Q19" i="6" s="1"/>
  <c r="F110" i="6"/>
  <c r="H110" i="6" s="1"/>
  <c r="I110" i="6" s="1"/>
  <c r="S10" i="6" s="1"/>
  <c r="F134" i="6"/>
  <c r="H134" i="6" s="1"/>
  <c r="I134" i="6" s="1"/>
  <c r="T19" i="6" s="1"/>
  <c r="F170" i="6"/>
  <c r="H170" i="6" s="1"/>
  <c r="I170" i="6" s="1"/>
  <c r="W10" i="6" s="1"/>
  <c r="F40" i="6"/>
  <c r="H40" i="6" s="1"/>
  <c r="I40" i="6" s="1"/>
  <c r="N15" i="6" s="1"/>
  <c r="F90" i="6"/>
  <c r="H90" i="6" s="1"/>
  <c r="I90" i="6" s="1"/>
  <c r="Q20" i="6" s="1"/>
  <c r="F114" i="6"/>
  <c r="H114" i="6" s="1"/>
  <c r="I114" i="6" s="1"/>
  <c r="S14" i="6" s="1"/>
  <c r="F44" i="6"/>
  <c r="H44" i="6" s="1"/>
  <c r="I44" i="6" s="1"/>
  <c r="N19" i="6" s="1"/>
  <c r="F137" i="6"/>
  <c r="H137" i="6" s="1"/>
  <c r="I137" i="6" s="1"/>
  <c r="U7" i="6" s="1"/>
  <c r="F171" i="6"/>
  <c r="H171" i="6" s="1"/>
  <c r="I171" i="6" s="1"/>
  <c r="W11" i="6" s="1"/>
  <c r="F92" i="6"/>
  <c r="H92" i="6" s="1"/>
  <c r="I92" i="6" s="1"/>
  <c r="R7" i="6" s="1"/>
  <c r="F117" i="6"/>
  <c r="H117" i="6" s="1"/>
  <c r="I117" i="6" s="1"/>
  <c r="S17" i="6" s="1"/>
  <c r="F145" i="6"/>
  <c r="H145" i="6" s="1"/>
  <c r="I145" i="6" s="1"/>
  <c r="U15" i="6" s="1"/>
  <c r="F32" i="6"/>
  <c r="H32" i="6" s="1"/>
  <c r="I32" i="6" s="1"/>
  <c r="N7" i="6" s="1"/>
  <c r="F176" i="6"/>
  <c r="H176" i="6" s="1"/>
  <c r="I176" i="6" s="1"/>
  <c r="W16" i="6" s="1"/>
  <c r="F124" i="6"/>
  <c r="H124" i="6" s="1"/>
  <c r="I124" i="6" s="1"/>
  <c r="T9" i="6" s="1"/>
  <c r="F178" i="6"/>
  <c r="H178" i="6" s="1"/>
  <c r="I178" i="6" s="1"/>
  <c r="W18" i="6" s="1"/>
  <c r="F20" i="6"/>
  <c r="H20" i="6" s="1"/>
  <c r="I20" i="6" s="1"/>
  <c r="M10" i="6" s="1"/>
  <c r="F98" i="6"/>
  <c r="H98" i="6" s="1"/>
  <c r="I98" i="6" s="1"/>
  <c r="R13" i="6" s="1"/>
  <c r="F156" i="6"/>
  <c r="H156" i="6" s="1"/>
  <c r="I156" i="6" s="1"/>
  <c r="V11" i="6" s="1"/>
  <c r="F67" i="6"/>
  <c r="H67" i="6" s="1"/>
  <c r="I67" i="6" s="1"/>
  <c r="P12" i="6" s="1"/>
  <c r="F100" i="6"/>
  <c r="H100" i="6" s="1"/>
  <c r="I100" i="6" s="1"/>
  <c r="R15" i="6" s="1"/>
  <c r="F128" i="6"/>
  <c r="H128" i="6" s="1"/>
  <c r="I128" i="6" s="1"/>
  <c r="T13" i="6" s="1"/>
  <c r="F179" i="6"/>
  <c r="H179" i="6" s="1"/>
  <c r="I179" i="6" s="1"/>
  <c r="W19" i="6" s="1"/>
  <c r="F118" i="6"/>
  <c r="H118" i="6" s="1"/>
  <c r="I118" i="6" s="1"/>
  <c r="S18" i="6" s="1"/>
  <c r="F173" i="6"/>
  <c r="H173" i="6" s="1"/>
  <c r="I173" i="6" s="1"/>
  <c r="W13" i="6" s="1"/>
  <c r="F174" i="6"/>
  <c r="H174" i="6" s="1"/>
  <c r="I174" i="6" s="1"/>
  <c r="W14" i="6" s="1"/>
  <c r="F123" i="6"/>
  <c r="H123" i="6" s="1"/>
  <c r="I123" i="6" s="1"/>
  <c r="T8" i="6" s="1"/>
  <c r="F152" i="6"/>
  <c r="H152" i="6" s="1"/>
  <c r="I152" i="6" s="1"/>
  <c r="V7" i="6" s="1"/>
  <c r="F11" i="6"/>
  <c r="H11" i="6" s="1"/>
  <c r="I11" i="6" s="1"/>
  <c r="L16" i="6" s="1"/>
  <c r="F154" i="6"/>
  <c r="H154" i="6" s="1"/>
  <c r="I154" i="6" s="1"/>
  <c r="V9" i="6" s="1"/>
  <c r="F126" i="6"/>
  <c r="H126" i="6" s="1"/>
  <c r="I126" i="6" s="1"/>
  <c r="T11" i="6" s="1"/>
  <c r="F14" i="6"/>
  <c r="H14" i="6" s="1"/>
  <c r="I14" i="6" s="1"/>
  <c r="L19" i="6" s="1"/>
  <c r="F159" i="6"/>
  <c r="H159" i="6" s="1"/>
  <c r="I159" i="6" s="1"/>
  <c r="V14" i="6" s="1"/>
  <c r="K50" i="12"/>
  <c r="K184" i="12"/>
  <c r="J189" i="12"/>
  <c r="K12" i="12"/>
  <c r="K94" i="12"/>
  <c r="K34" i="12"/>
  <c r="J225" i="12"/>
  <c r="K149" i="12"/>
  <c r="J13" i="12"/>
  <c r="K103" i="12"/>
  <c r="J182" i="12"/>
  <c r="J18" i="12"/>
  <c r="J143" i="12"/>
  <c r="J270" i="12"/>
  <c r="J219" i="12"/>
  <c r="K179" i="12"/>
  <c r="K132" i="12"/>
  <c r="K24" i="12"/>
  <c r="K133" i="12"/>
  <c r="K235" i="12"/>
  <c r="J20" i="12"/>
  <c r="J217" i="12"/>
  <c r="K141" i="12"/>
  <c r="K10" i="12"/>
  <c r="K16" i="12"/>
  <c r="J33" i="12"/>
  <c r="J193" i="12"/>
  <c r="J62" i="12"/>
  <c r="K62" i="12"/>
  <c r="K142" i="12"/>
  <c r="J142" i="12"/>
  <c r="J102" i="12"/>
  <c r="K102" i="12"/>
  <c r="K41" i="12"/>
  <c r="J41" i="12"/>
  <c r="J106" i="12"/>
  <c r="K106" i="12"/>
  <c r="J274" i="12"/>
  <c r="K274" i="12"/>
  <c r="K222" i="12"/>
  <c r="J222" i="12"/>
  <c r="K95" i="12"/>
  <c r="J95" i="12"/>
  <c r="K140" i="12"/>
  <c r="J140" i="12"/>
  <c r="J185" i="12"/>
  <c r="K185" i="12"/>
  <c r="J47" i="12"/>
  <c r="K47" i="12"/>
  <c r="J28" i="12"/>
  <c r="K28" i="12"/>
  <c r="K260" i="12"/>
  <c r="J260" i="12"/>
  <c r="K145" i="12"/>
  <c r="J145" i="12"/>
  <c r="J188" i="12"/>
  <c r="K188" i="12"/>
  <c r="J131" i="12"/>
  <c r="K131" i="12"/>
  <c r="K2" i="12"/>
  <c r="J2" i="12"/>
  <c r="K46" i="12"/>
  <c r="J46" i="12"/>
  <c r="J35" i="12"/>
  <c r="K35" i="12"/>
  <c r="J98" i="12"/>
  <c r="K98" i="12"/>
  <c r="J176" i="12"/>
  <c r="K176" i="12"/>
  <c r="K32" i="12"/>
  <c r="J32" i="12"/>
  <c r="J144" i="12"/>
  <c r="K144" i="12"/>
  <c r="J4" i="12"/>
  <c r="K4" i="12"/>
  <c r="J226" i="12"/>
  <c r="K226" i="12"/>
  <c r="J49" i="12"/>
  <c r="K49" i="12"/>
  <c r="K276" i="12"/>
  <c r="J276" i="12"/>
  <c r="K232" i="12"/>
  <c r="J232" i="12"/>
  <c r="J261" i="12"/>
  <c r="K261" i="12"/>
  <c r="L24" i="8"/>
  <c r="N23" i="8"/>
  <c r="M23" i="8"/>
  <c r="K17" i="12"/>
  <c r="J17" i="12"/>
  <c r="K279" i="12"/>
  <c r="J279" i="12"/>
  <c r="K280" i="12"/>
  <c r="J280" i="12"/>
  <c r="J57" i="12"/>
  <c r="K57" i="12"/>
  <c r="K91" i="12"/>
  <c r="J91" i="12"/>
  <c r="K96" i="12"/>
  <c r="J96" i="12"/>
  <c r="J64" i="12"/>
  <c r="F282" i="12"/>
  <c r="F238" i="12"/>
  <c r="F195" i="12"/>
  <c r="F152" i="12"/>
  <c r="F109" i="12"/>
  <c r="G66" i="12"/>
  <c r="H66" i="12"/>
  <c r="I65" i="12"/>
  <c r="F67" i="12"/>
  <c r="F9" i="2"/>
  <c r="D9" i="2"/>
  <c r="M25" i="11"/>
  <c r="L26" i="11"/>
  <c r="R2" i="1"/>
  <c r="F11" i="1" s="1"/>
  <c r="B15" i="2"/>
  <c r="D15" i="2" s="1"/>
  <c r="B16" i="2" s="1"/>
  <c r="C7" i="5"/>
  <c r="AD8" i="6"/>
  <c r="Z18" i="6" s="1"/>
  <c r="AD9" i="6"/>
  <c r="Z19" i="6" s="1"/>
  <c r="F69" i="6"/>
  <c r="H69" i="6" s="1"/>
  <c r="I69" i="6" s="1"/>
  <c r="P14" i="6" s="1"/>
  <c r="F74" i="6"/>
  <c r="H74" i="6" s="1"/>
  <c r="I74" i="6" s="1"/>
  <c r="P19" i="6" s="1"/>
  <c r="F66" i="6"/>
  <c r="H66" i="6" s="1"/>
  <c r="I66" i="6" s="1"/>
  <c r="P11" i="6" s="1"/>
  <c r="F71" i="6"/>
  <c r="H71" i="6" s="1"/>
  <c r="I71" i="6" s="1"/>
  <c r="P16" i="6" s="1"/>
  <c r="F63" i="6"/>
  <c r="H63" i="6" s="1"/>
  <c r="I63" i="6" s="1"/>
  <c r="P8" i="6" s="1"/>
  <c r="F73" i="6"/>
  <c r="H73" i="6" s="1"/>
  <c r="I73" i="6" s="1"/>
  <c r="P18" i="6" s="1"/>
  <c r="F65" i="6"/>
  <c r="H65" i="6" s="1"/>
  <c r="I65" i="6" s="1"/>
  <c r="P10" i="6" s="1"/>
  <c r="F70" i="6"/>
  <c r="H70" i="6" s="1"/>
  <c r="I70" i="6" s="1"/>
  <c r="P15" i="6" s="1"/>
  <c r="F62" i="6"/>
  <c r="H62" i="6" s="1"/>
  <c r="I62" i="6" s="1"/>
  <c r="P7" i="6" s="1"/>
  <c r="F83" i="6"/>
  <c r="H83" i="6" s="1"/>
  <c r="I83" i="6" s="1"/>
  <c r="Q13" i="6" s="1"/>
  <c r="F88" i="6"/>
  <c r="H88" i="6" s="1"/>
  <c r="I88" i="6" s="1"/>
  <c r="Q18" i="6" s="1"/>
  <c r="F80" i="6"/>
  <c r="H80" i="6" s="1"/>
  <c r="I80" i="6" s="1"/>
  <c r="Q10" i="6" s="1"/>
  <c r="F85" i="6"/>
  <c r="H85" i="6" s="1"/>
  <c r="I85" i="6" s="1"/>
  <c r="Q15" i="6" s="1"/>
  <c r="F77" i="6"/>
  <c r="H77" i="6" s="1"/>
  <c r="I77" i="6" s="1"/>
  <c r="Q7" i="6" s="1"/>
  <c r="F87" i="6"/>
  <c r="H87" i="6" s="1"/>
  <c r="I87" i="6" s="1"/>
  <c r="Q17" i="6" s="1"/>
  <c r="F79" i="6"/>
  <c r="H79" i="6" s="1"/>
  <c r="I79" i="6" s="1"/>
  <c r="Q9" i="6" s="1"/>
  <c r="F84" i="6"/>
  <c r="H84" i="6" s="1"/>
  <c r="I84" i="6" s="1"/>
  <c r="Q14" i="6" s="1"/>
  <c r="F27" i="6"/>
  <c r="H27" i="6" s="1"/>
  <c r="I27" i="6" s="1"/>
  <c r="M17" i="6" s="1"/>
  <c r="F22" i="6"/>
  <c r="H22" i="6" s="1"/>
  <c r="I22" i="6" s="1"/>
  <c r="M12" i="6" s="1"/>
  <c r="F24" i="6"/>
  <c r="H24" i="6" s="1"/>
  <c r="I24" i="6" s="1"/>
  <c r="M14" i="6" s="1"/>
  <c r="F29" i="6"/>
  <c r="H29" i="6" s="1"/>
  <c r="I29" i="6" s="1"/>
  <c r="M19" i="6" s="1"/>
  <c r="F17" i="6"/>
  <c r="H17" i="6" s="1"/>
  <c r="I17" i="6" s="1"/>
  <c r="M7" i="6" s="1"/>
  <c r="F23" i="6"/>
  <c r="H23" i="6" s="1"/>
  <c r="I23" i="6" s="1"/>
  <c r="M13" i="6" s="1"/>
  <c r="F21" i="6"/>
  <c r="H21" i="6" s="1"/>
  <c r="I21" i="6" s="1"/>
  <c r="M11" i="6" s="1"/>
  <c r="F28" i="6"/>
  <c r="H28" i="6" s="1"/>
  <c r="I28" i="6" s="1"/>
  <c r="M18" i="6" s="1"/>
  <c r="F64" i="6"/>
  <c r="H64" i="6" s="1"/>
  <c r="I64" i="6" s="1"/>
  <c r="P9" i="6" s="1"/>
  <c r="F86" i="6"/>
  <c r="H86" i="6" s="1"/>
  <c r="I86" i="6" s="1"/>
  <c r="Q16" i="6" s="1"/>
  <c r="F81" i="6"/>
  <c r="H81" i="6" s="1"/>
  <c r="I81" i="6" s="1"/>
  <c r="Q11" i="6" s="1"/>
  <c r="F3" i="6"/>
  <c r="H3" i="6" s="1"/>
  <c r="I3" i="6" s="1"/>
  <c r="L8" i="6" s="1"/>
  <c r="F13" i="6"/>
  <c r="H13" i="6" s="1"/>
  <c r="I13" i="6" s="1"/>
  <c r="L18" i="6" s="1"/>
  <c r="F34" i="6"/>
  <c r="H34" i="6" s="1"/>
  <c r="I34" i="6" s="1"/>
  <c r="N9" i="6" s="1"/>
  <c r="F42" i="6"/>
  <c r="H42" i="6" s="1"/>
  <c r="I42" i="6" s="1"/>
  <c r="N17" i="6" s="1"/>
  <c r="F48" i="6"/>
  <c r="H48" i="6" s="1"/>
  <c r="I48" i="6" s="1"/>
  <c r="O8" i="6" s="1"/>
  <c r="F56" i="6"/>
  <c r="H56" i="6" s="1"/>
  <c r="I56" i="6" s="1"/>
  <c r="O16" i="6" s="1"/>
  <c r="F112" i="6"/>
  <c r="H112" i="6" s="1"/>
  <c r="I112" i="6" s="1"/>
  <c r="S12" i="6" s="1"/>
  <c r="F120" i="6"/>
  <c r="H120" i="6" s="1"/>
  <c r="I120" i="6" s="1"/>
  <c r="S20" i="6" s="1"/>
  <c r="F140" i="6"/>
  <c r="H140" i="6" s="1"/>
  <c r="I140" i="6" s="1"/>
  <c r="U10" i="6" s="1"/>
  <c r="F148" i="6"/>
  <c r="H148" i="6" s="1"/>
  <c r="I148" i="6" s="1"/>
  <c r="U18" i="6" s="1"/>
  <c r="F162" i="6"/>
  <c r="H162" i="6" s="1"/>
  <c r="I162" i="6" s="1"/>
  <c r="V17" i="6" s="1"/>
  <c r="F6" i="6"/>
  <c r="H6" i="6" s="1"/>
  <c r="I6" i="6" s="1"/>
  <c r="L11" i="6" s="1"/>
  <c r="F12" i="6"/>
  <c r="H12" i="6" s="1"/>
  <c r="I12" i="6" s="1"/>
  <c r="L17" i="6" s="1"/>
  <c r="F37" i="6"/>
  <c r="H37" i="6" s="1"/>
  <c r="I37" i="6" s="1"/>
  <c r="N12" i="6" s="1"/>
  <c r="F45" i="6"/>
  <c r="H45" i="6" s="1"/>
  <c r="I45" i="6" s="1"/>
  <c r="N20" i="6" s="1"/>
  <c r="F51" i="6"/>
  <c r="H51" i="6" s="1"/>
  <c r="I51" i="6" s="1"/>
  <c r="O11" i="6" s="1"/>
  <c r="F59" i="6"/>
  <c r="H59" i="6" s="1"/>
  <c r="I59" i="6" s="1"/>
  <c r="O19" i="6" s="1"/>
  <c r="F101" i="6"/>
  <c r="H101" i="6" s="1"/>
  <c r="I101" i="6" s="1"/>
  <c r="R16" i="6" s="1"/>
  <c r="F107" i="6"/>
  <c r="H107" i="6" s="1"/>
  <c r="I107" i="6" s="1"/>
  <c r="S7" i="6" s="1"/>
  <c r="F115" i="6"/>
  <c r="H115" i="6" s="1"/>
  <c r="I115" i="6" s="1"/>
  <c r="S15" i="6" s="1"/>
  <c r="F143" i="6"/>
  <c r="H143" i="6" s="1"/>
  <c r="I143" i="6" s="1"/>
  <c r="U13" i="6" s="1"/>
  <c r="F157" i="6"/>
  <c r="H157" i="6" s="1"/>
  <c r="I157" i="6" s="1"/>
  <c r="V12" i="6" s="1"/>
  <c r="F165" i="6"/>
  <c r="H165" i="6" s="1"/>
  <c r="I165" i="6" s="1"/>
  <c r="V20" i="6" s="1"/>
  <c r="F138" i="6"/>
  <c r="H138" i="6" s="1"/>
  <c r="I138" i="6" s="1"/>
  <c r="U8" i="6" s="1"/>
  <c r="F146" i="6"/>
  <c r="H146" i="6" s="1"/>
  <c r="I146" i="6" s="1"/>
  <c r="U16" i="6" s="1"/>
  <c r="F4" i="6"/>
  <c r="H4" i="6" s="1"/>
  <c r="I4" i="6" s="1"/>
  <c r="L9" i="6" s="1"/>
  <c r="F8" i="6"/>
  <c r="H8" i="6" s="1"/>
  <c r="I8" i="6" s="1"/>
  <c r="L13" i="6" s="1"/>
  <c r="F9" i="6"/>
  <c r="H9" i="6" s="1"/>
  <c r="I9" i="6" s="1"/>
  <c r="L14" i="6" s="1"/>
  <c r="F10" i="6"/>
  <c r="H10" i="6" s="1"/>
  <c r="I10" i="6" s="1"/>
  <c r="L15" i="6" s="1"/>
  <c r="F35" i="6"/>
  <c r="H35" i="6" s="1"/>
  <c r="I35" i="6" s="1"/>
  <c r="N10" i="6" s="1"/>
  <c r="F43" i="6"/>
  <c r="H43" i="6" s="1"/>
  <c r="I43" i="6" s="1"/>
  <c r="N18" i="6" s="1"/>
  <c r="F49" i="6"/>
  <c r="H49" i="6" s="1"/>
  <c r="I49" i="6" s="1"/>
  <c r="O9" i="6" s="1"/>
  <c r="F57" i="6"/>
  <c r="H57" i="6" s="1"/>
  <c r="I57" i="6" s="1"/>
  <c r="O17" i="6" s="1"/>
  <c r="F99" i="6"/>
  <c r="H99" i="6" s="1"/>
  <c r="I99" i="6" s="1"/>
  <c r="R14" i="6" s="1"/>
  <c r="F113" i="6"/>
  <c r="H113" i="6" s="1"/>
  <c r="I113" i="6" s="1"/>
  <c r="S13" i="6" s="1"/>
  <c r="F127" i="6"/>
  <c r="H127" i="6" s="1"/>
  <c r="I127" i="6" s="1"/>
  <c r="T12" i="6" s="1"/>
  <c r="F135" i="6"/>
  <c r="H135" i="6" s="1"/>
  <c r="I135" i="6" s="1"/>
  <c r="T20" i="6" s="1"/>
  <c r="F141" i="6"/>
  <c r="H141" i="6" s="1"/>
  <c r="I141" i="6" s="1"/>
  <c r="U11" i="6" s="1"/>
  <c r="F149" i="6"/>
  <c r="H149" i="6" s="1"/>
  <c r="I149" i="6" s="1"/>
  <c r="U19" i="6" s="1"/>
  <c r="F155" i="6"/>
  <c r="H155" i="6" s="1"/>
  <c r="I155" i="6" s="1"/>
  <c r="V10" i="6" s="1"/>
  <c r="F163" i="6"/>
  <c r="H163" i="6" s="1"/>
  <c r="I163" i="6" s="1"/>
  <c r="V18" i="6" s="1"/>
  <c r="F169" i="6"/>
  <c r="H169" i="6" s="1"/>
  <c r="I169" i="6" s="1"/>
  <c r="W9" i="6" s="1"/>
  <c r="F177" i="6"/>
  <c r="H177" i="6" s="1"/>
  <c r="I177" i="6" s="1"/>
  <c r="W17" i="6" s="1"/>
  <c r="F7" i="6"/>
  <c r="H7" i="6" s="1"/>
  <c r="I7" i="6" s="1"/>
  <c r="L12" i="6" s="1"/>
  <c r="F38" i="6"/>
  <c r="H38" i="6" s="1"/>
  <c r="I38" i="6" s="1"/>
  <c r="N13" i="6" s="1"/>
  <c r="F52" i="6"/>
  <c r="H52" i="6" s="1"/>
  <c r="I52" i="6" s="1"/>
  <c r="O12" i="6" s="1"/>
  <c r="F60" i="6"/>
  <c r="H60" i="6" s="1"/>
  <c r="I60" i="6" s="1"/>
  <c r="O20" i="6" s="1"/>
  <c r="F94" i="6"/>
  <c r="H94" i="6" s="1"/>
  <c r="I94" i="6" s="1"/>
  <c r="R9" i="6" s="1"/>
  <c r="F102" i="6"/>
  <c r="H102" i="6" s="1"/>
  <c r="I102" i="6" s="1"/>
  <c r="R17" i="6" s="1"/>
  <c r="F108" i="6"/>
  <c r="H108" i="6" s="1"/>
  <c r="I108" i="6" s="1"/>
  <c r="S8" i="6" s="1"/>
  <c r="F116" i="6"/>
  <c r="H116" i="6" s="1"/>
  <c r="I116" i="6" s="1"/>
  <c r="S16" i="6" s="1"/>
  <c r="F122" i="6"/>
  <c r="H122" i="6" s="1"/>
  <c r="I122" i="6" s="1"/>
  <c r="T7" i="6" s="1"/>
  <c r="F130" i="6"/>
  <c r="H130" i="6" s="1"/>
  <c r="I130" i="6" s="1"/>
  <c r="T15" i="6" s="1"/>
  <c r="F144" i="6"/>
  <c r="H144" i="6" s="1"/>
  <c r="I144" i="6" s="1"/>
  <c r="U14" i="6" s="1"/>
  <c r="F158" i="6"/>
  <c r="H158" i="6" s="1"/>
  <c r="I158" i="6" s="1"/>
  <c r="V13" i="6" s="1"/>
  <c r="F172" i="6"/>
  <c r="H172" i="6" s="1"/>
  <c r="I172" i="6" s="1"/>
  <c r="W12" i="6" s="1"/>
  <c r="F180" i="6"/>
  <c r="H180" i="6" s="1"/>
  <c r="I180" i="6" s="1"/>
  <c r="W20" i="6" s="1"/>
  <c r="F33" i="6"/>
  <c r="H33" i="6" s="1"/>
  <c r="I33" i="6" s="1"/>
  <c r="N8" i="6" s="1"/>
  <c r="F47" i="6"/>
  <c r="H47" i="6" s="1"/>
  <c r="I47" i="6" s="1"/>
  <c r="O7" i="6" s="1"/>
  <c r="F97" i="6"/>
  <c r="H97" i="6" s="1"/>
  <c r="I97" i="6" s="1"/>
  <c r="R12" i="6" s="1"/>
  <c r="F111" i="6"/>
  <c r="H111" i="6" s="1"/>
  <c r="I111" i="6" s="1"/>
  <c r="S11" i="6" s="1"/>
  <c r="F125" i="6"/>
  <c r="H125" i="6" s="1"/>
  <c r="I125" i="6" s="1"/>
  <c r="T10" i="6" s="1"/>
  <c r="F139" i="6"/>
  <c r="H139" i="6" s="1"/>
  <c r="I139" i="6" s="1"/>
  <c r="U9" i="6" s="1"/>
  <c r="F147" i="6"/>
  <c r="H147" i="6" s="1"/>
  <c r="I147" i="6" s="1"/>
  <c r="U17" i="6" s="1"/>
  <c r="F153" i="6"/>
  <c r="H153" i="6" s="1"/>
  <c r="I153" i="6" s="1"/>
  <c r="V8" i="6" s="1"/>
  <c r="F167" i="6"/>
  <c r="H167" i="6" s="1"/>
  <c r="I167" i="6" s="1"/>
  <c r="W7" i="6" s="1"/>
  <c r="F142" i="6"/>
  <c r="H142" i="6" s="1"/>
  <c r="I142" i="6" s="1"/>
  <c r="U12" i="6" s="1"/>
  <c r="G4" i="4"/>
  <c r="B3" i="5"/>
  <c r="D3" i="5" s="1"/>
  <c r="B2" i="5"/>
  <c r="D2" i="5" s="1"/>
  <c r="I237" i="12" l="1"/>
  <c r="I151" i="12"/>
  <c r="K151" i="12" s="1"/>
  <c r="I194" i="12"/>
  <c r="I281" i="12"/>
  <c r="Z21" i="6"/>
  <c r="AX27" i="14"/>
  <c r="AY26" i="14"/>
  <c r="AP26" i="14" s="1"/>
  <c r="AR25" i="14"/>
  <c r="AT25" i="14" s="1"/>
  <c r="AV25" i="14" s="1"/>
  <c r="AQ25" i="14"/>
  <c r="AS25" i="14" s="1"/>
  <c r="AU25" i="14" s="1"/>
  <c r="K194" i="12"/>
  <c r="J194" i="12"/>
  <c r="J281" i="12"/>
  <c r="K281" i="12"/>
  <c r="J151" i="12"/>
  <c r="I108" i="12"/>
  <c r="H109" i="12"/>
  <c r="G109" i="12"/>
  <c r="I109" i="12" s="1"/>
  <c r="G152" i="12"/>
  <c r="H152" i="12"/>
  <c r="H195" i="12"/>
  <c r="G195" i="12"/>
  <c r="B10" i="5"/>
  <c r="H238" i="12"/>
  <c r="G238" i="12"/>
  <c r="I238" i="12" s="1"/>
  <c r="H282" i="12"/>
  <c r="G282" i="12"/>
  <c r="B27" i="15"/>
  <c r="C27" i="15" s="1"/>
  <c r="A28" i="15"/>
  <c r="E26" i="15"/>
  <c r="G26" i="15" s="1"/>
  <c r="I26" i="15" s="1"/>
  <c r="D26" i="15"/>
  <c r="F26" i="15" s="1"/>
  <c r="H26" i="15" s="1"/>
  <c r="L25" i="8"/>
  <c r="M24" i="8"/>
  <c r="N24" i="8"/>
  <c r="F283" i="12"/>
  <c r="F239" i="12"/>
  <c r="F196" i="12"/>
  <c r="F153" i="12"/>
  <c r="F110" i="12"/>
  <c r="H67" i="12"/>
  <c r="G67" i="12"/>
  <c r="J65" i="12"/>
  <c r="K65" i="12"/>
  <c r="I66" i="12"/>
  <c r="F68" i="12"/>
  <c r="B2" i="4"/>
  <c r="I4" i="4" s="1"/>
  <c r="AB18" i="6"/>
  <c r="L4" i="1" s="1"/>
  <c r="L27" i="11"/>
  <c r="M26" i="11"/>
  <c r="Z22" i="6"/>
  <c r="I282" i="12" l="1"/>
  <c r="J282" i="12" s="1"/>
  <c r="J237" i="12"/>
  <c r="K237" i="12"/>
  <c r="AR26" i="14"/>
  <c r="AT26" i="14" s="1"/>
  <c r="AV26" i="14" s="1"/>
  <c r="AQ26" i="14"/>
  <c r="AS26" i="14" s="1"/>
  <c r="AU26" i="14" s="1"/>
  <c r="AY27" i="14"/>
  <c r="AP27" i="14" s="1"/>
  <c r="AX28" i="14"/>
  <c r="B13" i="5"/>
  <c r="B17" i="5" s="1"/>
  <c r="B21" i="5" s="1"/>
  <c r="F14" i="4" s="1"/>
  <c r="H14" i="4" s="1"/>
  <c r="B14" i="5"/>
  <c r="B18" i="5" s="1"/>
  <c r="B22" i="5" s="1"/>
  <c r="I152" i="12"/>
  <c r="H196" i="12"/>
  <c r="G196" i="12"/>
  <c r="J109" i="12"/>
  <c r="K109" i="12"/>
  <c r="H110" i="12"/>
  <c r="G110" i="12"/>
  <c r="I110" i="12" s="1"/>
  <c r="H283" i="12"/>
  <c r="G283" i="12"/>
  <c r="I283" i="12" s="1"/>
  <c r="K108" i="12"/>
  <c r="J108" i="12"/>
  <c r="K238" i="12"/>
  <c r="J238" i="12"/>
  <c r="G239" i="12"/>
  <c r="H239" i="12"/>
  <c r="I195" i="12"/>
  <c r="H153" i="12"/>
  <c r="G153" i="12"/>
  <c r="A29" i="15"/>
  <c r="B28" i="15"/>
  <c r="C28" i="15" s="1"/>
  <c r="D27" i="15"/>
  <c r="F27" i="15" s="1"/>
  <c r="H27" i="15" s="1"/>
  <c r="E27" i="15"/>
  <c r="G27" i="15" s="1"/>
  <c r="I27" i="15" s="1"/>
  <c r="J3" i="4"/>
  <c r="L26" i="8"/>
  <c r="M25" i="8"/>
  <c r="N25" i="8"/>
  <c r="I67" i="12"/>
  <c r="K67" i="12" s="1"/>
  <c r="F284" i="12"/>
  <c r="F240" i="12"/>
  <c r="F197" i="12"/>
  <c r="F154" i="12"/>
  <c r="F111" i="12"/>
  <c r="G68" i="12"/>
  <c r="H68" i="12"/>
  <c r="J66" i="12"/>
  <c r="K66" i="12"/>
  <c r="F69" i="12"/>
  <c r="AB21" i="6"/>
  <c r="L5" i="1" s="1"/>
  <c r="M27" i="11"/>
  <c r="L28" i="11"/>
  <c r="D10" i="5"/>
  <c r="B8" i="4"/>
  <c r="D8" i="4" s="1"/>
  <c r="B15" i="4"/>
  <c r="B3" i="4"/>
  <c r="D3" i="4" s="1"/>
  <c r="D2" i="4"/>
  <c r="N32" i="1"/>
  <c r="N29" i="1"/>
  <c r="N30" i="1"/>
  <c r="B14" i="4"/>
  <c r="B13" i="4"/>
  <c r="L43" i="1"/>
  <c r="L45" i="1" s="1"/>
  <c r="L49" i="1" s="1"/>
  <c r="K282" i="12" l="1"/>
  <c r="I153" i="12"/>
  <c r="I239" i="12"/>
  <c r="AJ2" i="14"/>
  <c r="AK2" i="14" s="1"/>
  <c r="AL2" i="14" s="1"/>
  <c r="AY28" i="14"/>
  <c r="AP28" i="14" s="1"/>
  <c r="AX29" i="14"/>
  <c r="B32" i="14" s="1"/>
  <c r="AR27" i="14"/>
  <c r="AT27" i="14" s="1"/>
  <c r="AV27" i="14" s="1"/>
  <c r="AQ27" i="14"/>
  <c r="AS27" i="14" s="1"/>
  <c r="AU27" i="14" s="1"/>
  <c r="H138" i="14"/>
  <c r="H155" i="14"/>
  <c r="H172" i="14"/>
  <c r="H206" i="14"/>
  <c r="H223" i="14"/>
  <c r="H104" i="14"/>
  <c r="H121" i="14"/>
  <c r="H36" i="14"/>
  <c r="H53" i="14"/>
  <c r="H189" i="14"/>
  <c r="H70" i="14"/>
  <c r="H87" i="14"/>
  <c r="K239" i="12"/>
  <c r="J239" i="12"/>
  <c r="H111" i="12"/>
  <c r="G111" i="12"/>
  <c r="I111" i="12" s="1"/>
  <c r="G154" i="12"/>
  <c r="H154" i="12"/>
  <c r="K110" i="12"/>
  <c r="J110" i="12"/>
  <c r="J153" i="12"/>
  <c r="K153" i="12"/>
  <c r="G240" i="12"/>
  <c r="H240" i="12"/>
  <c r="I196" i="12"/>
  <c r="H2" i="14"/>
  <c r="H19" i="14"/>
  <c r="H197" i="12"/>
  <c r="G197" i="12"/>
  <c r="H284" i="12"/>
  <c r="G284" i="12"/>
  <c r="K195" i="12"/>
  <c r="J195" i="12"/>
  <c r="K283" i="12"/>
  <c r="J283" i="12"/>
  <c r="J152" i="12"/>
  <c r="K152" i="12"/>
  <c r="F15" i="4"/>
  <c r="H15" i="4" s="1"/>
  <c r="B4" i="4"/>
  <c r="B5" i="4" s="1"/>
  <c r="B6" i="4"/>
  <c r="E28" i="15"/>
  <c r="G28" i="15" s="1"/>
  <c r="I28" i="15" s="1"/>
  <c r="D28" i="15"/>
  <c r="F28" i="15" s="1"/>
  <c r="H28" i="15" s="1"/>
  <c r="B29" i="15"/>
  <c r="C29" i="15" s="1"/>
  <c r="A30" i="15"/>
  <c r="L27" i="8"/>
  <c r="M26" i="8"/>
  <c r="N26" i="8"/>
  <c r="J67" i="12"/>
  <c r="F285" i="12"/>
  <c r="F241" i="12"/>
  <c r="F198" i="12"/>
  <c r="F155" i="12"/>
  <c r="F112" i="12"/>
  <c r="G69" i="12"/>
  <c r="H69" i="12"/>
  <c r="I68" i="12"/>
  <c r="F70" i="12"/>
  <c r="L29" i="11"/>
  <c r="M28" i="11"/>
  <c r="N49" i="1"/>
  <c r="L44" i="1"/>
  <c r="I197" i="12" l="1"/>
  <c r="B21" i="4"/>
  <c r="AY29" i="14"/>
  <c r="AP29" i="14" s="1"/>
  <c r="AX30" i="14"/>
  <c r="AQ28" i="14"/>
  <c r="AS28" i="14" s="1"/>
  <c r="AU28" i="14" s="1"/>
  <c r="AR28" i="14"/>
  <c r="AT28" i="14" s="1"/>
  <c r="AV28" i="14" s="1"/>
  <c r="L189" i="14"/>
  <c r="I189" i="14"/>
  <c r="J189" i="14" s="1"/>
  <c r="I104" i="14"/>
  <c r="J104" i="14" s="1"/>
  <c r="L104" i="14"/>
  <c r="I223" i="14"/>
  <c r="J223" i="14" s="1"/>
  <c r="L223" i="14"/>
  <c r="I36" i="14"/>
  <c r="J36" i="14" s="1"/>
  <c r="L36" i="14"/>
  <c r="I206" i="14"/>
  <c r="J206" i="14" s="1"/>
  <c r="L206" i="14"/>
  <c r="I172" i="14"/>
  <c r="J172" i="14" s="1"/>
  <c r="L172" i="14"/>
  <c r="I87" i="14"/>
  <c r="J87" i="14" s="1"/>
  <c r="L87" i="14"/>
  <c r="I121" i="14"/>
  <c r="J121" i="14" s="1"/>
  <c r="L121" i="14"/>
  <c r="L155" i="14"/>
  <c r="I155" i="14"/>
  <c r="J155" i="14" s="1"/>
  <c r="L70" i="14"/>
  <c r="I70" i="14"/>
  <c r="J70" i="14" s="1"/>
  <c r="I53" i="14"/>
  <c r="J53" i="14" s="1"/>
  <c r="L53" i="14"/>
  <c r="I138" i="14"/>
  <c r="J138" i="14" s="1"/>
  <c r="L138" i="14"/>
  <c r="B22" i="4"/>
  <c r="I240" i="12"/>
  <c r="K197" i="12"/>
  <c r="J197" i="12"/>
  <c r="K196" i="12"/>
  <c r="J196" i="12"/>
  <c r="I2" i="14"/>
  <c r="J2" i="14" s="1"/>
  <c r="L2" i="14"/>
  <c r="I154" i="12"/>
  <c r="G198" i="12"/>
  <c r="I198" i="12" s="1"/>
  <c r="H198" i="12"/>
  <c r="J111" i="12"/>
  <c r="K111" i="12"/>
  <c r="G112" i="12"/>
  <c r="H112" i="12"/>
  <c r="G285" i="12"/>
  <c r="H285" i="12"/>
  <c r="G241" i="12"/>
  <c r="H241" i="12"/>
  <c r="L19" i="14"/>
  <c r="I19" i="14"/>
  <c r="J19" i="14" s="1"/>
  <c r="H155" i="12"/>
  <c r="G155" i="12"/>
  <c r="I284" i="12"/>
  <c r="B30" i="15"/>
  <c r="C30" i="15" s="1"/>
  <c r="A31" i="15"/>
  <c r="D29" i="15"/>
  <c r="F29" i="15" s="1"/>
  <c r="H29" i="15" s="1"/>
  <c r="E29" i="15"/>
  <c r="G29" i="15" s="1"/>
  <c r="I29" i="15" s="1"/>
  <c r="I69" i="12"/>
  <c r="K69" i="12" s="1"/>
  <c r="L28" i="8"/>
  <c r="M27" i="8"/>
  <c r="N27" i="8"/>
  <c r="F286" i="12"/>
  <c r="F242" i="12"/>
  <c r="F199" i="12"/>
  <c r="F156" i="12"/>
  <c r="F113" i="12"/>
  <c r="G70" i="12"/>
  <c r="H70" i="12"/>
  <c r="J68" i="12"/>
  <c r="K68" i="12"/>
  <c r="F71" i="12"/>
  <c r="M29" i="11"/>
  <c r="L30" i="11"/>
  <c r="D4" i="4"/>
  <c r="D6" i="4"/>
  <c r="L48" i="1"/>
  <c r="N48" i="1" s="1"/>
  <c r="I285" i="12" l="1"/>
  <c r="I155" i="12"/>
  <c r="AX31" i="14"/>
  <c r="AY30" i="14"/>
  <c r="AP30" i="14" s="1"/>
  <c r="AR29" i="14"/>
  <c r="AT29" i="14" s="1"/>
  <c r="AV29" i="14" s="1"/>
  <c r="AQ29" i="14"/>
  <c r="AS29" i="14" s="1"/>
  <c r="AU29" i="14" s="1"/>
  <c r="K154" i="12"/>
  <c r="J154" i="12"/>
  <c r="K198" i="12"/>
  <c r="J198" i="12"/>
  <c r="J284" i="12"/>
  <c r="K284" i="12"/>
  <c r="I112" i="12"/>
  <c r="J155" i="12"/>
  <c r="K155" i="12"/>
  <c r="G113" i="12"/>
  <c r="H113" i="12"/>
  <c r="G156" i="12"/>
  <c r="H156" i="12"/>
  <c r="G286" i="12"/>
  <c r="I286" i="12" s="1"/>
  <c r="H286" i="12"/>
  <c r="K285" i="12"/>
  <c r="J285" i="12"/>
  <c r="I241" i="12"/>
  <c r="H199" i="12"/>
  <c r="G199" i="12"/>
  <c r="I199" i="12" s="1"/>
  <c r="G242" i="12"/>
  <c r="H242" i="12"/>
  <c r="K240" i="12"/>
  <c r="J240" i="12"/>
  <c r="E30" i="15"/>
  <c r="G30" i="15" s="1"/>
  <c r="I30" i="15" s="1"/>
  <c r="D30" i="15"/>
  <c r="F30" i="15" s="1"/>
  <c r="H30" i="15" s="1"/>
  <c r="A32" i="15"/>
  <c r="B31" i="15"/>
  <c r="C31" i="15" s="1"/>
  <c r="J69" i="12"/>
  <c r="L29" i="8"/>
  <c r="M28" i="8"/>
  <c r="N28" i="8"/>
  <c r="F287" i="12"/>
  <c r="F243" i="12"/>
  <c r="F200" i="12"/>
  <c r="F157" i="12"/>
  <c r="F114" i="12"/>
  <c r="G71" i="12"/>
  <c r="H71" i="12"/>
  <c r="I70" i="12"/>
  <c r="F72" i="12"/>
  <c r="L31" i="11"/>
  <c r="M30" i="11"/>
  <c r="D5" i="4"/>
  <c r="Q36" i="1"/>
  <c r="Q35" i="1"/>
  <c r="T31" i="1"/>
  <c r="I156" i="12" l="1"/>
  <c r="AR30" i="14"/>
  <c r="AT30" i="14" s="1"/>
  <c r="AV30" i="14" s="1"/>
  <c r="AQ30" i="14"/>
  <c r="AS30" i="14" s="1"/>
  <c r="AU30" i="14" s="1"/>
  <c r="AX32" i="14"/>
  <c r="AY31" i="14"/>
  <c r="AP31" i="14" s="1"/>
  <c r="K286" i="12"/>
  <c r="J286" i="12"/>
  <c r="J241" i="12"/>
  <c r="K241" i="12"/>
  <c r="H114" i="12"/>
  <c r="G114" i="12"/>
  <c r="I114" i="12" s="1"/>
  <c r="M69" i="12"/>
  <c r="O69" i="12" s="1"/>
  <c r="I113" i="12"/>
  <c r="G243" i="12"/>
  <c r="H243" i="12"/>
  <c r="J199" i="12"/>
  <c r="K199" i="12"/>
  <c r="H287" i="12"/>
  <c r="G287" i="12"/>
  <c r="K156" i="12"/>
  <c r="J156" i="12"/>
  <c r="K112" i="12"/>
  <c r="J112" i="12"/>
  <c r="I242" i="12"/>
  <c r="H157" i="12"/>
  <c r="G157" i="12"/>
  <c r="I157" i="12" s="1"/>
  <c r="H200" i="12"/>
  <c r="G200" i="12"/>
  <c r="I200" i="12" s="1"/>
  <c r="E31" i="15"/>
  <c r="G31" i="15" s="1"/>
  <c r="I31" i="15" s="1"/>
  <c r="D31" i="15"/>
  <c r="F31" i="15" s="1"/>
  <c r="H31" i="15" s="1"/>
  <c r="A33" i="15"/>
  <c r="B32" i="15"/>
  <c r="C32" i="15" s="1"/>
  <c r="L30" i="8"/>
  <c r="M29" i="8"/>
  <c r="N29" i="8"/>
  <c r="F288" i="12"/>
  <c r="F244" i="12"/>
  <c r="F201" i="12"/>
  <c r="F158" i="12"/>
  <c r="F115" i="12"/>
  <c r="K70" i="12"/>
  <c r="J70" i="12"/>
  <c r="G72" i="12"/>
  <c r="H72" i="12"/>
  <c r="I71" i="12"/>
  <c r="F73" i="12"/>
  <c r="M31" i="11"/>
  <c r="L32" i="11"/>
  <c r="B11" i="1"/>
  <c r="I7" i="2" s="1"/>
  <c r="B10" i="1"/>
  <c r="L16" i="1"/>
  <c r="N69" i="12" s="1"/>
  <c r="P69" i="12" s="1"/>
  <c r="L15" i="1"/>
  <c r="AR31" i="14" l="1"/>
  <c r="AT31" i="14" s="1"/>
  <c r="AV31" i="14" s="1"/>
  <c r="AQ31" i="14"/>
  <c r="AS31" i="14" s="1"/>
  <c r="AU31" i="14" s="1"/>
  <c r="AY32" i="14"/>
  <c r="AP32" i="14" s="1"/>
  <c r="AX33" i="14"/>
  <c r="K200" i="12"/>
  <c r="J200" i="12"/>
  <c r="M200" i="12" s="1"/>
  <c r="O200" i="12" s="1"/>
  <c r="H201" i="12"/>
  <c r="G201" i="12"/>
  <c r="J113" i="12"/>
  <c r="K113" i="12"/>
  <c r="J157" i="12"/>
  <c r="N157" i="12" s="1"/>
  <c r="P157" i="12" s="1"/>
  <c r="K157" i="12"/>
  <c r="I287" i="12"/>
  <c r="I243" i="12"/>
  <c r="K114" i="12"/>
  <c r="J114" i="12"/>
  <c r="M114" i="12" s="1"/>
  <c r="O114" i="12" s="1"/>
  <c r="K242" i="12"/>
  <c r="J242" i="12"/>
  <c r="M242" i="12" s="1"/>
  <c r="O242" i="12" s="1"/>
  <c r="B8" i="8"/>
  <c r="B2" i="14"/>
  <c r="B8" i="12"/>
  <c r="G288" i="12"/>
  <c r="H288" i="12"/>
  <c r="H115" i="12"/>
  <c r="G115" i="12"/>
  <c r="H158" i="12"/>
  <c r="G158" i="12"/>
  <c r="I158" i="12" s="1"/>
  <c r="B7" i="14"/>
  <c r="P10" i="8"/>
  <c r="R10" i="8" s="1"/>
  <c r="P18" i="8"/>
  <c r="R18" i="8" s="1"/>
  <c r="P26" i="8"/>
  <c r="R26" i="8" s="1"/>
  <c r="P34" i="8"/>
  <c r="P42" i="8"/>
  <c r="P3" i="8"/>
  <c r="R3" i="8" s="1"/>
  <c r="P11" i="8"/>
  <c r="R11" i="8" s="1"/>
  <c r="P19" i="8"/>
  <c r="R19" i="8" s="1"/>
  <c r="P27" i="8"/>
  <c r="R27" i="8" s="1"/>
  <c r="P35" i="8"/>
  <c r="P2" i="8"/>
  <c r="R2" i="8" s="1"/>
  <c r="P4" i="8"/>
  <c r="R4" i="8" s="1"/>
  <c r="P12" i="8"/>
  <c r="R12" i="8" s="1"/>
  <c r="P20" i="8"/>
  <c r="R20" i="8" s="1"/>
  <c r="P28" i="8"/>
  <c r="R28" i="8" s="1"/>
  <c r="P36" i="8"/>
  <c r="P5" i="8"/>
  <c r="R5" i="8" s="1"/>
  <c r="P13" i="8"/>
  <c r="R13" i="8" s="1"/>
  <c r="P21" i="8"/>
  <c r="R21" i="8" s="1"/>
  <c r="P29" i="8"/>
  <c r="R29" i="8" s="1"/>
  <c r="P37" i="8"/>
  <c r="P6" i="8"/>
  <c r="R6" i="8" s="1"/>
  <c r="P14" i="8"/>
  <c r="R14" i="8" s="1"/>
  <c r="P22" i="8"/>
  <c r="R22" i="8" s="1"/>
  <c r="P30" i="8"/>
  <c r="P38" i="8"/>
  <c r="P7" i="8"/>
  <c r="R7" i="8" s="1"/>
  <c r="P15" i="8"/>
  <c r="R15" i="8" s="1"/>
  <c r="P23" i="8"/>
  <c r="R23" i="8" s="1"/>
  <c r="P31" i="8"/>
  <c r="P39" i="8"/>
  <c r="P8" i="8"/>
  <c r="R8" i="8" s="1"/>
  <c r="P16" i="8"/>
  <c r="R16" i="8" s="1"/>
  <c r="P24" i="8"/>
  <c r="R24" i="8" s="1"/>
  <c r="P32" i="8"/>
  <c r="P40" i="8"/>
  <c r="P9" i="8"/>
  <c r="R9" i="8" s="1"/>
  <c r="P17" i="8"/>
  <c r="R17" i="8" s="1"/>
  <c r="P25" i="8"/>
  <c r="R25" i="8" s="1"/>
  <c r="P33" i="8"/>
  <c r="P41" i="8"/>
  <c r="L25" i="1"/>
  <c r="M13" i="12"/>
  <c r="O13" i="12" s="1"/>
  <c r="M175" i="12"/>
  <c r="O175" i="12" s="1"/>
  <c r="M101" i="12"/>
  <c r="O101" i="12" s="1"/>
  <c r="M187" i="12"/>
  <c r="O187" i="12" s="1"/>
  <c r="M218" i="12"/>
  <c r="O218" i="12" s="1"/>
  <c r="M9" i="12"/>
  <c r="O9" i="12" s="1"/>
  <c r="M236" i="12"/>
  <c r="O236" i="12" s="1"/>
  <c r="M182" i="12"/>
  <c r="O182" i="12" s="1"/>
  <c r="M3" i="12"/>
  <c r="O3" i="12" s="1"/>
  <c r="M40" i="12"/>
  <c r="O40" i="12" s="1"/>
  <c r="M42" i="12"/>
  <c r="O42" i="12" s="1"/>
  <c r="M179" i="12"/>
  <c r="O179" i="12" s="1"/>
  <c r="M10" i="12"/>
  <c r="O10" i="12" s="1"/>
  <c r="M7" i="12"/>
  <c r="O7" i="12" s="1"/>
  <c r="M151" i="12"/>
  <c r="O151" i="12" s="1"/>
  <c r="M29" i="12"/>
  <c r="O29" i="12" s="1"/>
  <c r="M60" i="12"/>
  <c r="O60" i="12" s="1"/>
  <c r="M149" i="12"/>
  <c r="O149" i="12" s="1"/>
  <c r="M34" i="12"/>
  <c r="O34" i="12" s="1"/>
  <c r="M178" i="12"/>
  <c r="O178" i="12" s="1"/>
  <c r="M94" i="12"/>
  <c r="O94" i="12" s="1"/>
  <c r="M195" i="12"/>
  <c r="O195" i="12" s="1"/>
  <c r="M228" i="12"/>
  <c r="O228" i="12" s="1"/>
  <c r="M30" i="12"/>
  <c r="O30" i="12" s="1"/>
  <c r="M277" i="12"/>
  <c r="O277" i="12" s="1"/>
  <c r="M156" i="12"/>
  <c r="O156" i="12" s="1"/>
  <c r="M267" i="12"/>
  <c r="O267" i="12" s="1"/>
  <c r="M224" i="12"/>
  <c r="O224" i="12" s="1"/>
  <c r="M51" i="12"/>
  <c r="O51" i="12" s="1"/>
  <c r="M33" i="12"/>
  <c r="O33" i="12" s="1"/>
  <c r="M104" i="12"/>
  <c r="O104" i="12" s="1"/>
  <c r="M135" i="12"/>
  <c r="O135" i="12" s="1"/>
  <c r="M198" i="12"/>
  <c r="O198" i="12" s="1"/>
  <c r="M269" i="12"/>
  <c r="O269" i="12" s="1"/>
  <c r="M147" i="12"/>
  <c r="O147" i="12" s="1"/>
  <c r="M110" i="12"/>
  <c r="O110" i="12" s="1"/>
  <c r="M12" i="12"/>
  <c r="O12" i="12" s="1"/>
  <c r="M181" i="12"/>
  <c r="O181" i="12" s="1"/>
  <c r="M141" i="12"/>
  <c r="O141" i="12" s="1"/>
  <c r="M19" i="12"/>
  <c r="O19" i="12" s="1"/>
  <c r="M265" i="12"/>
  <c r="O265" i="12" s="1"/>
  <c r="M193" i="12"/>
  <c r="O193" i="12" s="1"/>
  <c r="M194" i="12"/>
  <c r="O194" i="12" s="1"/>
  <c r="M134" i="12"/>
  <c r="O134" i="12" s="1"/>
  <c r="M183" i="12"/>
  <c r="O183" i="12" s="1"/>
  <c r="M37" i="12"/>
  <c r="O37" i="12" s="1"/>
  <c r="M107" i="12"/>
  <c r="O107" i="12" s="1"/>
  <c r="M56" i="12"/>
  <c r="O56" i="12" s="1"/>
  <c r="M105" i="12"/>
  <c r="O105" i="12" s="1"/>
  <c r="M192" i="12"/>
  <c r="O192" i="12" s="1"/>
  <c r="M233" i="12"/>
  <c r="O233" i="12" s="1"/>
  <c r="M238" i="12"/>
  <c r="O238" i="12" s="1"/>
  <c r="M89" i="12"/>
  <c r="O89" i="12" s="1"/>
  <c r="M155" i="12"/>
  <c r="O155" i="12" s="1"/>
  <c r="M23" i="12"/>
  <c r="O23" i="12" s="1"/>
  <c r="M109" i="12"/>
  <c r="O109" i="12" s="1"/>
  <c r="M285" i="12"/>
  <c r="O285" i="12" s="1"/>
  <c r="M39" i="12"/>
  <c r="O39" i="12" s="1"/>
  <c r="M22" i="12"/>
  <c r="O22" i="12" s="1"/>
  <c r="M273" i="12"/>
  <c r="O273" i="12" s="1"/>
  <c r="M266" i="12"/>
  <c r="O266" i="12" s="1"/>
  <c r="M133" i="12"/>
  <c r="O133" i="12" s="1"/>
  <c r="M220" i="12"/>
  <c r="O220" i="12" s="1"/>
  <c r="M26" i="12"/>
  <c r="O26" i="12" s="1"/>
  <c r="M271" i="12"/>
  <c r="O271" i="12" s="1"/>
  <c r="M108" i="12"/>
  <c r="O108" i="12" s="1"/>
  <c r="M262" i="12"/>
  <c r="O262" i="12" s="1"/>
  <c r="M154" i="12"/>
  <c r="O154" i="12" s="1"/>
  <c r="M184" i="12"/>
  <c r="O184" i="12" s="1"/>
  <c r="M282" i="12"/>
  <c r="O282" i="12" s="1"/>
  <c r="M152" i="12"/>
  <c r="O152" i="12" s="1"/>
  <c r="M24" i="12"/>
  <c r="O24" i="12" s="1"/>
  <c r="M50" i="12"/>
  <c r="O50" i="12" s="1"/>
  <c r="M6" i="12"/>
  <c r="O6" i="12" s="1"/>
  <c r="M275" i="12"/>
  <c r="O275" i="12" s="1"/>
  <c r="M229" i="12"/>
  <c r="O229" i="12" s="1"/>
  <c r="M138" i="12"/>
  <c r="O138" i="12" s="1"/>
  <c r="M16" i="12"/>
  <c r="O16" i="12" s="1"/>
  <c r="M223" i="12"/>
  <c r="O223" i="12" s="1"/>
  <c r="M103" i="12"/>
  <c r="O103" i="12" s="1"/>
  <c r="M132" i="12"/>
  <c r="O132" i="12" s="1"/>
  <c r="M268" i="12"/>
  <c r="O268" i="12" s="1"/>
  <c r="M5" i="12"/>
  <c r="O5" i="12" s="1"/>
  <c r="M92" i="12"/>
  <c r="O92" i="12" s="1"/>
  <c r="M93" i="12"/>
  <c r="O93" i="12" s="1"/>
  <c r="M63" i="12"/>
  <c r="O63" i="12" s="1"/>
  <c r="M136" i="12"/>
  <c r="O136" i="12" s="1"/>
  <c r="M52" i="12"/>
  <c r="O52" i="12" s="1"/>
  <c r="M48" i="12"/>
  <c r="O48" i="12" s="1"/>
  <c r="M137" i="12"/>
  <c r="O137" i="12" s="1"/>
  <c r="M53" i="12"/>
  <c r="O53" i="12" s="1"/>
  <c r="M196" i="12"/>
  <c r="O196" i="12" s="1"/>
  <c r="M8" i="12"/>
  <c r="O8" i="12" s="1"/>
  <c r="M221" i="12"/>
  <c r="O221" i="12" s="1"/>
  <c r="M111" i="12"/>
  <c r="O111" i="12" s="1"/>
  <c r="M186" i="12"/>
  <c r="O186" i="12" s="1"/>
  <c r="M59" i="12"/>
  <c r="O59" i="12" s="1"/>
  <c r="M15" i="12"/>
  <c r="O15" i="12" s="1"/>
  <c r="M191" i="12"/>
  <c r="O191" i="12" s="1"/>
  <c r="M281" i="12"/>
  <c r="O281" i="12" s="1"/>
  <c r="M278" i="12"/>
  <c r="O278" i="12" s="1"/>
  <c r="M54" i="12"/>
  <c r="O54" i="12" s="1"/>
  <c r="M199" i="12"/>
  <c r="O199" i="12" s="1"/>
  <c r="M177" i="12"/>
  <c r="O177" i="12" s="1"/>
  <c r="M174" i="12"/>
  <c r="O174" i="12" s="1"/>
  <c r="M190" i="12"/>
  <c r="O190" i="12" s="1"/>
  <c r="M148" i="12"/>
  <c r="O148" i="12" s="1"/>
  <c r="M58" i="12"/>
  <c r="O58" i="12" s="1"/>
  <c r="M18" i="12"/>
  <c r="O18" i="12" s="1"/>
  <c r="M38" i="12"/>
  <c r="O38" i="12" s="1"/>
  <c r="M31" i="12"/>
  <c r="O31" i="12" s="1"/>
  <c r="M272" i="12"/>
  <c r="O272" i="12" s="1"/>
  <c r="M27" i="12"/>
  <c r="O27" i="12" s="1"/>
  <c r="M45" i="12"/>
  <c r="O45" i="12" s="1"/>
  <c r="M61" i="12"/>
  <c r="O61" i="12" s="1"/>
  <c r="M112" i="12"/>
  <c r="O112" i="12" s="1"/>
  <c r="M230" i="12"/>
  <c r="O230" i="12" s="1"/>
  <c r="M225" i="12"/>
  <c r="O225" i="12" s="1"/>
  <c r="M189" i="12"/>
  <c r="O189" i="12" s="1"/>
  <c r="M180" i="12"/>
  <c r="O180" i="12" s="1"/>
  <c r="M88" i="12"/>
  <c r="O88" i="12" s="1"/>
  <c r="M146" i="12"/>
  <c r="O146" i="12" s="1"/>
  <c r="M14" i="12"/>
  <c r="O14" i="12" s="1"/>
  <c r="M263" i="12"/>
  <c r="O263" i="12" s="1"/>
  <c r="M36" i="12"/>
  <c r="O36" i="12" s="1"/>
  <c r="M234" i="12"/>
  <c r="O234" i="12" s="1"/>
  <c r="M97" i="12"/>
  <c r="O97" i="12" s="1"/>
  <c r="M283" i="12"/>
  <c r="O283" i="12" s="1"/>
  <c r="M231" i="12"/>
  <c r="O231" i="12" s="1"/>
  <c r="M153" i="12"/>
  <c r="O153" i="12" s="1"/>
  <c r="M11" i="12"/>
  <c r="O11" i="12" s="1"/>
  <c r="M90" i="12"/>
  <c r="O90" i="12" s="1"/>
  <c r="M25" i="12"/>
  <c r="O25" i="12" s="1"/>
  <c r="M240" i="12"/>
  <c r="O240" i="12" s="1"/>
  <c r="M139" i="12"/>
  <c r="O139" i="12" s="1"/>
  <c r="M99" i="12"/>
  <c r="O99" i="12" s="1"/>
  <c r="M21" i="12"/>
  <c r="O21" i="12" s="1"/>
  <c r="M20" i="12"/>
  <c r="O20" i="12" s="1"/>
  <c r="M264" i="12"/>
  <c r="O264" i="12" s="1"/>
  <c r="M100" i="12"/>
  <c r="O100" i="12" s="1"/>
  <c r="M235" i="12"/>
  <c r="O235" i="12" s="1"/>
  <c r="M150" i="12"/>
  <c r="O150" i="12" s="1"/>
  <c r="M227" i="12"/>
  <c r="O227" i="12" s="1"/>
  <c r="M55" i="12"/>
  <c r="O55" i="12" s="1"/>
  <c r="M219" i="12"/>
  <c r="O219" i="12" s="1"/>
  <c r="M260" i="12"/>
  <c r="O260" i="12" s="1"/>
  <c r="M276" i="12"/>
  <c r="O276" i="12" s="1"/>
  <c r="M188" i="12"/>
  <c r="O188" i="12" s="1"/>
  <c r="M143" i="12"/>
  <c r="O143" i="12" s="1"/>
  <c r="M91" i="12"/>
  <c r="O91" i="12" s="1"/>
  <c r="M49" i="12"/>
  <c r="O49" i="12" s="1"/>
  <c r="M284" i="12"/>
  <c r="O284" i="12" s="1"/>
  <c r="M17" i="12"/>
  <c r="O17" i="12" s="1"/>
  <c r="M102" i="12"/>
  <c r="O102" i="12" s="1"/>
  <c r="M270" i="12"/>
  <c r="O270" i="12" s="1"/>
  <c r="M140" i="12"/>
  <c r="O140" i="12" s="1"/>
  <c r="M41" i="12"/>
  <c r="O41" i="12" s="1"/>
  <c r="M142" i="12"/>
  <c r="O142" i="12" s="1"/>
  <c r="M47" i="12"/>
  <c r="O47" i="12" s="1"/>
  <c r="M144" i="12"/>
  <c r="O144" i="12" s="1"/>
  <c r="M32" i="12"/>
  <c r="O32" i="12" s="1"/>
  <c r="M113" i="12"/>
  <c r="O113" i="12" s="1"/>
  <c r="M106" i="12"/>
  <c r="O106" i="12" s="1"/>
  <c r="M96" i="12"/>
  <c r="O96" i="12" s="1"/>
  <c r="M241" i="12"/>
  <c r="O241" i="12" s="1"/>
  <c r="M274" i="12"/>
  <c r="O274" i="12" s="1"/>
  <c r="M261" i="12"/>
  <c r="O261" i="12" s="1"/>
  <c r="M280" i="12"/>
  <c r="O280" i="12" s="1"/>
  <c r="M226" i="12"/>
  <c r="O226" i="12" s="1"/>
  <c r="M217" i="12"/>
  <c r="O217" i="12" s="1"/>
  <c r="M279" i="12"/>
  <c r="O279" i="12" s="1"/>
  <c r="M131" i="12"/>
  <c r="O131" i="12" s="1"/>
  <c r="M237" i="12"/>
  <c r="O237" i="12" s="1"/>
  <c r="M64" i="12"/>
  <c r="O64" i="12" s="1"/>
  <c r="M239" i="12"/>
  <c r="O239" i="12" s="1"/>
  <c r="M98" i="12"/>
  <c r="O98" i="12" s="1"/>
  <c r="M232" i="12"/>
  <c r="O232" i="12" s="1"/>
  <c r="M35" i="12"/>
  <c r="O35" i="12" s="1"/>
  <c r="M145" i="12"/>
  <c r="O145" i="12" s="1"/>
  <c r="M62" i="12"/>
  <c r="O62" i="12" s="1"/>
  <c r="M46" i="12"/>
  <c r="O46" i="12" s="1"/>
  <c r="M57" i="12"/>
  <c r="O57" i="12" s="1"/>
  <c r="M28" i="12"/>
  <c r="O28" i="12" s="1"/>
  <c r="M95" i="12"/>
  <c r="O95" i="12" s="1"/>
  <c r="M4" i="12"/>
  <c r="O4" i="12" s="1"/>
  <c r="M176" i="12"/>
  <c r="O176" i="12" s="1"/>
  <c r="M286" i="12"/>
  <c r="O286" i="12" s="1"/>
  <c r="M185" i="12"/>
  <c r="O185" i="12" s="1"/>
  <c r="M2" i="12"/>
  <c r="O2" i="12" s="1"/>
  <c r="M222" i="12"/>
  <c r="O222" i="12" s="1"/>
  <c r="M65" i="12"/>
  <c r="O65" i="12" s="1"/>
  <c r="M66" i="12"/>
  <c r="O66" i="12" s="1"/>
  <c r="M67" i="12"/>
  <c r="O67" i="12" s="1"/>
  <c r="M68" i="12"/>
  <c r="O68" i="12" s="1"/>
  <c r="M197" i="12"/>
  <c r="O197" i="12" s="1"/>
  <c r="B8" i="14"/>
  <c r="Q9" i="8"/>
  <c r="S9" i="8" s="1"/>
  <c r="Q17" i="8"/>
  <c r="S17" i="8" s="1"/>
  <c r="Q25" i="8"/>
  <c r="S25" i="8" s="1"/>
  <c r="Q33" i="8"/>
  <c r="Q41" i="8"/>
  <c r="Q10" i="8"/>
  <c r="S10" i="8" s="1"/>
  <c r="Q18" i="8"/>
  <c r="S18" i="8" s="1"/>
  <c r="Q26" i="8"/>
  <c r="S26" i="8" s="1"/>
  <c r="Q34" i="8"/>
  <c r="Q42" i="8"/>
  <c r="Q2" i="8"/>
  <c r="S2" i="8" s="1"/>
  <c r="Q3" i="8"/>
  <c r="S3" i="8" s="1"/>
  <c r="Q11" i="8"/>
  <c r="S11" i="8" s="1"/>
  <c r="Q19" i="8"/>
  <c r="S19" i="8" s="1"/>
  <c r="Q27" i="8"/>
  <c r="S27" i="8" s="1"/>
  <c r="Q35" i="8"/>
  <c r="Q4" i="8"/>
  <c r="S4" i="8" s="1"/>
  <c r="Q12" i="8"/>
  <c r="S12" i="8" s="1"/>
  <c r="Q20" i="8"/>
  <c r="S20" i="8" s="1"/>
  <c r="Q28" i="8"/>
  <c r="S28" i="8" s="1"/>
  <c r="Q36" i="8"/>
  <c r="Q5" i="8"/>
  <c r="S5" i="8" s="1"/>
  <c r="Q13" i="8"/>
  <c r="S13" i="8" s="1"/>
  <c r="Q21" i="8"/>
  <c r="S21" i="8" s="1"/>
  <c r="Q29" i="8"/>
  <c r="S29" i="8" s="1"/>
  <c r="Q37" i="8"/>
  <c r="Q6" i="8"/>
  <c r="S6" i="8" s="1"/>
  <c r="Q14" i="8"/>
  <c r="S14" i="8" s="1"/>
  <c r="Q22" i="8"/>
  <c r="S22" i="8" s="1"/>
  <c r="Q30" i="8"/>
  <c r="Q38" i="8"/>
  <c r="Q7" i="8"/>
  <c r="S7" i="8" s="1"/>
  <c r="Q15" i="8"/>
  <c r="S15" i="8" s="1"/>
  <c r="Q23" i="8"/>
  <c r="S23" i="8" s="1"/>
  <c r="Q31" i="8"/>
  <c r="Q39" i="8"/>
  <c r="Q8" i="8"/>
  <c r="S8" i="8" s="1"/>
  <c r="Q16" i="8"/>
  <c r="S16" i="8" s="1"/>
  <c r="Q24" i="8"/>
  <c r="S24" i="8" s="1"/>
  <c r="Q32" i="8"/>
  <c r="Q40" i="8"/>
  <c r="L26" i="1"/>
  <c r="N270" i="12"/>
  <c r="P270" i="12" s="1"/>
  <c r="N88" i="12"/>
  <c r="P88" i="12" s="1"/>
  <c r="N179" i="12"/>
  <c r="P179" i="12" s="1"/>
  <c r="N223" i="12"/>
  <c r="P223" i="12" s="1"/>
  <c r="N92" i="12"/>
  <c r="P92" i="12" s="1"/>
  <c r="N13" i="12"/>
  <c r="P13" i="12" s="1"/>
  <c r="N29" i="12"/>
  <c r="P29" i="12" s="1"/>
  <c r="N101" i="12"/>
  <c r="P101" i="12" s="1"/>
  <c r="N187" i="12"/>
  <c r="P187" i="12" s="1"/>
  <c r="N218" i="12"/>
  <c r="P218" i="12" s="1"/>
  <c r="N9" i="12"/>
  <c r="P9" i="12" s="1"/>
  <c r="N236" i="12"/>
  <c r="P236" i="12" s="1"/>
  <c r="N195" i="12"/>
  <c r="P195" i="12" s="1"/>
  <c r="N267" i="12"/>
  <c r="P267" i="12" s="1"/>
  <c r="N224" i="12"/>
  <c r="P224" i="12" s="1"/>
  <c r="N26" i="12"/>
  <c r="P26" i="12" s="1"/>
  <c r="N197" i="12"/>
  <c r="P197" i="12" s="1"/>
  <c r="N6" i="12"/>
  <c r="P6" i="12" s="1"/>
  <c r="N103" i="12"/>
  <c r="P103" i="12" s="1"/>
  <c r="N93" i="12"/>
  <c r="P93" i="12" s="1"/>
  <c r="N198" i="12"/>
  <c r="P198" i="12" s="1"/>
  <c r="N3" i="12"/>
  <c r="P3" i="12" s="1"/>
  <c r="N40" i="12"/>
  <c r="P40" i="12" s="1"/>
  <c r="N147" i="12"/>
  <c r="P147" i="12" s="1"/>
  <c r="N110" i="12"/>
  <c r="P110" i="12" s="1"/>
  <c r="N42" i="12"/>
  <c r="P42" i="12" s="1"/>
  <c r="N181" i="12"/>
  <c r="P181" i="12" s="1"/>
  <c r="N141" i="12"/>
  <c r="P141" i="12" s="1"/>
  <c r="N265" i="12"/>
  <c r="P265" i="12" s="1"/>
  <c r="N193" i="12"/>
  <c r="P193" i="12" s="1"/>
  <c r="N138" i="12"/>
  <c r="P138" i="12" s="1"/>
  <c r="N191" i="12"/>
  <c r="P191" i="12" s="1"/>
  <c r="N60" i="12"/>
  <c r="P60" i="12" s="1"/>
  <c r="N149" i="12"/>
  <c r="P149" i="12" s="1"/>
  <c r="N34" i="12"/>
  <c r="P34" i="12" s="1"/>
  <c r="N178" i="12"/>
  <c r="P178" i="12" s="1"/>
  <c r="N94" i="12"/>
  <c r="P94" i="12" s="1"/>
  <c r="N228" i="12"/>
  <c r="P228" i="12" s="1"/>
  <c r="N30" i="12"/>
  <c r="P30" i="12" s="1"/>
  <c r="N277" i="12"/>
  <c r="P277" i="12" s="1"/>
  <c r="N156" i="12"/>
  <c r="P156" i="12" s="1"/>
  <c r="N51" i="12"/>
  <c r="P51" i="12" s="1"/>
  <c r="N105" i="12"/>
  <c r="P105" i="12" s="1"/>
  <c r="N269" i="12"/>
  <c r="P269" i="12" s="1"/>
  <c r="N233" i="12"/>
  <c r="P233" i="12" s="1"/>
  <c r="N12" i="12"/>
  <c r="P12" i="12" s="1"/>
  <c r="N19" i="12"/>
  <c r="P19" i="12" s="1"/>
  <c r="N155" i="12"/>
  <c r="P155" i="12" s="1"/>
  <c r="N23" i="12"/>
  <c r="P23" i="12" s="1"/>
  <c r="N109" i="12"/>
  <c r="P109" i="12" s="1"/>
  <c r="N194" i="12"/>
  <c r="P194" i="12" s="1"/>
  <c r="N22" i="12"/>
  <c r="P22" i="12" s="1"/>
  <c r="N184" i="12"/>
  <c r="P184" i="12" s="1"/>
  <c r="N268" i="12"/>
  <c r="P268" i="12" s="1"/>
  <c r="N182" i="12"/>
  <c r="P182" i="12" s="1"/>
  <c r="N134" i="12"/>
  <c r="P134" i="12" s="1"/>
  <c r="N183" i="12"/>
  <c r="P183" i="12" s="1"/>
  <c r="N37" i="12"/>
  <c r="P37" i="12" s="1"/>
  <c r="N108" i="12"/>
  <c r="P108" i="12" s="1"/>
  <c r="N262" i="12"/>
  <c r="P262" i="12" s="1"/>
  <c r="N282" i="12"/>
  <c r="P282" i="12" s="1"/>
  <c r="N235" i="12"/>
  <c r="P235" i="12" s="1"/>
  <c r="N90" i="12"/>
  <c r="P90" i="12" s="1"/>
  <c r="N273" i="12"/>
  <c r="P273" i="12" s="1"/>
  <c r="N152" i="12"/>
  <c r="P152" i="12" s="1"/>
  <c r="N192" i="12"/>
  <c r="P192" i="12" s="1"/>
  <c r="N24" i="12"/>
  <c r="P24" i="12" s="1"/>
  <c r="N133" i="12"/>
  <c r="P133" i="12" s="1"/>
  <c r="N238" i="12"/>
  <c r="P238" i="12" s="1"/>
  <c r="N7" i="12"/>
  <c r="P7" i="12" s="1"/>
  <c r="N50" i="12"/>
  <c r="P50" i="12" s="1"/>
  <c r="N89" i="12"/>
  <c r="P89" i="12" s="1"/>
  <c r="N104" i="12"/>
  <c r="P104" i="12" s="1"/>
  <c r="N285" i="12"/>
  <c r="P285" i="12" s="1"/>
  <c r="N39" i="12"/>
  <c r="P39" i="12" s="1"/>
  <c r="N151" i="12"/>
  <c r="P151" i="12" s="1"/>
  <c r="N271" i="12"/>
  <c r="P271" i="12" s="1"/>
  <c r="N154" i="12"/>
  <c r="P154" i="12" s="1"/>
  <c r="N186" i="12"/>
  <c r="P186" i="12" s="1"/>
  <c r="N55" i="12"/>
  <c r="P55" i="12" s="1"/>
  <c r="N220" i="12"/>
  <c r="P220" i="12" s="1"/>
  <c r="N107" i="12"/>
  <c r="P107" i="12" s="1"/>
  <c r="N266" i="12"/>
  <c r="P266" i="12" s="1"/>
  <c r="N10" i="12"/>
  <c r="P10" i="12" s="1"/>
  <c r="N136" i="12"/>
  <c r="P136" i="12" s="1"/>
  <c r="N135" i="12"/>
  <c r="P135" i="12" s="1"/>
  <c r="N275" i="12"/>
  <c r="P275" i="12" s="1"/>
  <c r="N229" i="12"/>
  <c r="P229" i="12" s="1"/>
  <c r="N16" i="12"/>
  <c r="P16" i="12" s="1"/>
  <c r="N132" i="12"/>
  <c r="P132" i="12" s="1"/>
  <c r="N5" i="12"/>
  <c r="P5" i="12" s="1"/>
  <c r="N111" i="12"/>
  <c r="P111" i="12" s="1"/>
  <c r="N63" i="12"/>
  <c r="P63" i="12" s="1"/>
  <c r="N227" i="12"/>
  <c r="P227" i="12" s="1"/>
  <c r="N54" i="12"/>
  <c r="P54" i="12" s="1"/>
  <c r="N56" i="12"/>
  <c r="P56" i="12" s="1"/>
  <c r="N177" i="12"/>
  <c r="P177" i="12" s="1"/>
  <c r="N174" i="12"/>
  <c r="P174" i="12" s="1"/>
  <c r="N190" i="12"/>
  <c r="P190" i="12" s="1"/>
  <c r="N58" i="12"/>
  <c r="P58" i="12" s="1"/>
  <c r="N18" i="12"/>
  <c r="P18" i="12" s="1"/>
  <c r="N38" i="12"/>
  <c r="P38" i="12" s="1"/>
  <c r="N31" i="12"/>
  <c r="P31" i="12" s="1"/>
  <c r="N272" i="12"/>
  <c r="P272" i="12" s="1"/>
  <c r="N27" i="12"/>
  <c r="P27" i="12" s="1"/>
  <c r="N25" i="12"/>
  <c r="P25" i="12" s="1"/>
  <c r="N112" i="12"/>
  <c r="P112" i="12" s="1"/>
  <c r="N189" i="12"/>
  <c r="P189" i="12" s="1"/>
  <c r="N52" i="12"/>
  <c r="P52" i="12" s="1"/>
  <c r="N48" i="12"/>
  <c r="P48" i="12" s="1"/>
  <c r="N137" i="12"/>
  <c r="P137" i="12" s="1"/>
  <c r="N53" i="12"/>
  <c r="P53" i="12" s="1"/>
  <c r="N196" i="12"/>
  <c r="P196" i="12" s="1"/>
  <c r="N8" i="12"/>
  <c r="P8" i="12" s="1"/>
  <c r="N221" i="12"/>
  <c r="P221" i="12" s="1"/>
  <c r="N59" i="12"/>
  <c r="P59" i="12" s="1"/>
  <c r="N15" i="12"/>
  <c r="P15" i="12" s="1"/>
  <c r="N180" i="12"/>
  <c r="P180" i="12" s="1"/>
  <c r="N139" i="12"/>
  <c r="P139" i="12" s="1"/>
  <c r="N100" i="12"/>
  <c r="P100" i="12" s="1"/>
  <c r="N199" i="12"/>
  <c r="P199" i="12" s="1"/>
  <c r="N148" i="12"/>
  <c r="P148" i="12" s="1"/>
  <c r="N20" i="12"/>
  <c r="P20" i="12" s="1"/>
  <c r="N264" i="12"/>
  <c r="P264" i="12" s="1"/>
  <c r="N45" i="12"/>
  <c r="P45" i="12" s="1"/>
  <c r="N61" i="12"/>
  <c r="P61" i="12" s="1"/>
  <c r="N99" i="12"/>
  <c r="P99" i="12" s="1"/>
  <c r="N278" i="12"/>
  <c r="P278" i="12" s="1"/>
  <c r="N219" i="12"/>
  <c r="P219" i="12" s="1"/>
  <c r="N281" i="12"/>
  <c r="P281" i="12" s="1"/>
  <c r="N150" i="12"/>
  <c r="P150" i="12" s="1"/>
  <c r="N225" i="12"/>
  <c r="P225" i="12" s="1"/>
  <c r="N146" i="12"/>
  <c r="P146" i="12" s="1"/>
  <c r="N14" i="12"/>
  <c r="P14" i="12" s="1"/>
  <c r="N217" i="12"/>
  <c r="P217" i="12" s="1"/>
  <c r="N263" i="12"/>
  <c r="P263" i="12" s="1"/>
  <c r="N36" i="12"/>
  <c r="P36" i="12" s="1"/>
  <c r="N234" i="12"/>
  <c r="P234" i="12" s="1"/>
  <c r="N97" i="12"/>
  <c r="P97" i="12" s="1"/>
  <c r="N283" i="12"/>
  <c r="P283" i="12" s="1"/>
  <c r="N231" i="12"/>
  <c r="P231" i="12" s="1"/>
  <c r="N153" i="12"/>
  <c r="P153" i="12" s="1"/>
  <c r="N11" i="12"/>
  <c r="P11" i="12" s="1"/>
  <c r="N21" i="12"/>
  <c r="P21" i="12" s="1"/>
  <c r="N240" i="12"/>
  <c r="P240" i="12" s="1"/>
  <c r="N175" i="12"/>
  <c r="P175" i="12" s="1"/>
  <c r="N230" i="12"/>
  <c r="P230" i="12" s="1"/>
  <c r="N106" i="12"/>
  <c r="P106" i="12" s="1"/>
  <c r="N237" i="12"/>
  <c r="P237" i="12" s="1"/>
  <c r="N284" i="12"/>
  <c r="P284" i="12" s="1"/>
  <c r="N47" i="12"/>
  <c r="P47" i="12" s="1"/>
  <c r="N143" i="12"/>
  <c r="P143" i="12" s="1"/>
  <c r="N95" i="12"/>
  <c r="P95" i="12" s="1"/>
  <c r="N145" i="12"/>
  <c r="P145" i="12" s="1"/>
  <c r="N260" i="12"/>
  <c r="P260" i="12" s="1"/>
  <c r="N41" i="12"/>
  <c r="P41" i="12" s="1"/>
  <c r="N142" i="12"/>
  <c r="P142" i="12" s="1"/>
  <c r="N140" i="12"/>
  <c r="P140" i="12" s="1"/>
  <c r="N113" i="12"/>
  <c r="P113" i="12" s="1"/>
  <c r="N57" i="12"/>
  <c r="P57" i="12" s="1"/>
  <c r="N185" i="12"/>
  <c r="P185" i="12" s="1"/>
  <c r="N91" i="12"/>
  <c r="P91" i="12" s="1"/>
  <c r="N49" i="12"/>
  <c r="P49" i="12" s="1"/>
  <c r="N241" i="12"/>
  <c r="P241" i="12" s="1"/>
  <c r="N280" i="12"/>
  <c r="P280" i="12" s="1"/>
  <c r="N102" i="12"/>
  <c r="P102" i="12" s="1"/>
  <c r="N261" i="12"/>
  <c r="P261" i="12" s="1"/>
  <c r="N276" i="12"/>
  <c r="P276" i="12" s="1"/>
  <c r="N17" i="12"/>
  <c r="P17" i="12" s="1"/>
  <c r="N144" i="12"/>
  <c r="P144" i="12" s="1"/>
  <c r="N33" i="12"/>
  <c r="P33" i="12" s="1"/>
  <c r="N2" i="12"/>
  <c r="P2" i="12" s="1"/>
  <c r="N96" i="12"/>
  <c r="P96" i="12" s="1"/>
  <c r="N131" i="12"/>
  <c r="P131" i="12" s="1"/>
  <c r="N188" i="12"/>
  <c r="P188" i="12" s="1"/>
  <c r="N274" i="12"/>
  <c r="P274" i="12" s="1"/>
  <c r="N200" i="12"/>
  <c r="P200" i="12" s="1"/>
  <c r="N279" i="12"/>
  <c r="P279" i="12" s="1"/>
  <c r="N32" i="12"/>
  <c r="P32" i="12" s="1"/>
  <c r="N239" i="12"/>
  <c r="P239" i="12" s="1"/>
  <c r="N98" i="12"/>
  <c r="P98" i="12" s="1"/>
  <c r="N232" i="12"/>
  <c r="P232" i="12" s="1"/>
  <c r="N28" i="12"/>
  <c r="P28" i="12" s="1"/>
  <c r="N62" i="12"/>
  <c r="P62" i="12" s="1"/>
  <c r="N226" i="12"/>
  <c r="P226" i="12" s="1"/>
  <c r="N4" i="12"/>
  <c r="P4" i="12" s="1"/>
  <c r="N64" i="12"/>
  <c r="P64" i="12" s="1"/>
  <c r="N46" i="12"/>
  <c r="P46" i="12" s="1"/>
  <c r="N286" i="12"/>
  <c r="P286" i="12" s="1"/>
  <c r="N176" i="12"/>
  <c r="P176" i="12" s="1"/>
  <c r="N222" i="12"/>
  <c r="P222" i="12" s="1"/>
  <c r="N35" i="12"/>
  <c r="P35" i="12" s="1"/>
  <c r="N65" i="12"/>
  <c r="P65" i="12" s="1"/>
  <c r="N66" i="12"/>
  <c r="P66" i="12" s="1"/>
  <c r="N67" i="12"/>
  <c r="P67" i="12" s="1"/>
  <c r="N68" i="12"/>
  <c r="P68" i="12" s="1"/>
  <c r="G244" i="12"/>
  <c r="H244" i="12"/>
  <c r="B7" i="8"/>
  <c r="B3" i="14"/>
  <c r="B7" i="12"/>
  <c r="B33" i="15"/>
  <c r="C33" i="15" s="1"/>
  <c r="A34" i="15"/>
  <c r="E32" i="15"/>
  <c r="G32" i="15" s="1"/>
  <c r="I32" i="15" s="1"/>
  <c r="D32" i="15"/>
  <c r="F32" i="15" s="1"/>
  <c r="H32" i="15" s="1"/>
  <c r="L31" i="8"/>
  <c r="M30" i="8"/>
  <c r="N30" i="8"/>
  <c r="F289" i="12"/>
  <c r="F245" i="12"/>
  <c r="F202" i="12"/>
  <c r="F159" i="12"/>
  <c r="F116" i="12"/>
  <c r="G73" i="12"/>
  <c r="H73" i="12"/>
  <c r="I72" i="12"/>
  <c r="J71" i="12"/>
  <c r="K71" i="12"/>
  <c r="N70" i="12"/>
  <c r="P70" i="12" s="1"/>
  <c r="M70" i="12"/>
  <c r="O70" i="12" s="1"/>
  <c r="F74" i="12"/>
  <c r="L33" i="11"/>
  <c r="M32" i="11"/>
  <c r="B16" i="4"/>
  <c r="B17" i="4"/>
  <c r="B12" i="4"/>
  <c r="E23" i="1"/>
  <c r="T32" i="1"/>
  <c r="T34" i="1" s="1"/>
  <c r="B11" i="4"/>
  <c r="L19" i="1"/>
  <c r="L20" i="1"/>
  <c r="L21" i="1"/>
  <c r="L18" i="1"/>
  <c r="C27" i="1"/>
  <c r="C26" i="1"/>
  <c r="E27" i="1"/>
  <c r="E26" i="1"/>
  <c r="M157" i="12" l="1"/>
  <c r="O157" i="12" s="1"/>
  <c r="X223" i="14"/>
  <c r="Y223" i="14"/>
  <c r="AM2" i="14"/>
  <c r="AN2" i="14" s="1"/>
  <c r="AA206" i="14"/>
  <c r="Z221" i="14"/>
  <c r="Z211" i="14"/>
  <c r="AA214" i="14"/>
  <c r="Z207" i="14"/>
  <c r="AA219" i="14"/>
  <c r="Z223" i="14"/>
  <c r="Z215" i="14"/>
  <c r="AA223" i="14"/>
  <c r="AA220" i="14"/>
  <c r="Z213" i="14"/>
  <c r="AA221" i="14"/>
  <c r="AA213" i="14"/>
  <c r="Z209" i="14"/>
  <c r="AA210" i="14"/>
  <c r="Z217" i="14"/>
  <c r="AA218" i="14"/>
  <c r="Z220" i="14"/>
  <c r="AA207" i="14"/>
  <c r="Z214" i="14"/>
  <c r="AA216" i="14"/>
  <c r="AA215" i="14"/>
  <c r="Z206" i="14"/>
  <c r="Z208" i="14"/>
  <c r="AA209" i="14"/>
  <c r="Z216" i="14"/>
  <c r="AA217" i="14"/>
  <c r="Z212" i="14"/>
  <c r="Z219" i="14"/>
  <c r="AA212" i="14"/>
  <c r="AA211" i="14"/>
  <c r="AA208" i="14"/>
  <c r="Z210" i="14"/>
  <c r="Z218" i="14"/>
  <c r="AY33" i="14"/>
  <c r="AP33" i="14" s="1"/>
  <c r="AX34" i="14"/>
  <c r="AR32" i="14"/>
  <c r="AT32" i="14" s="1"/>
  <c r="AV32" i="14" s="1"/>
  <c r="AQ32" i="14"/>
  <c r="AS32" i="14" s="1"/>
  <c r="AU32" i="14" s="1"/>
  <c r="AA189" i="14"/>
  <c r="AA198" i="14"/>
  <c r="AA196" i="14"/>
  <c r="Z200" i="14"/>
  <c r="AA192" i="14"/>
  <c r="Z190" i="14"/>
  <c r="Z192" i="14"/>
  <c r="Z194" i="14"/>
  <c r="Z191" i="14"/>
  <c r="AA199" i="14"/>
  <c r="Z196" i="14"/>
  <c r="Z197" i="14"/>
  <c r="Z195" i="14"/>
  <c r="AA204" i="14"/>
  <c r="AA193" i="14"/>
  <c r="Z193" i="14"/>
  <c r="Z201" i="14"/>
  <c r="AA191" i="14"/>
  <c r="AA151" i="14"/>
  <c r="Z140" i="14"/>
  <c r="Z157" i="14"/>
  <c r="Z107" i="14"/>
  <c r="AA110" i="14"/>
  <c r="Z158" i="14"/>
  <c r="Z199" i="14"/>
  <c r="AA172" i="14"/>
  <c r="Z184" i="14"/>
  <c r="Z225" i="14"/>
  <c r="Z227" i="14"/>
  <c r="AA236" i="14"/>
  <c r="AA124" i="14"/>
  <c r="Z130" i="14"/>
  <c r="AA197" i="14"/>
  <c r="AA143" i="14"/>
  <c r="Z235" i="14"/>
  <c r="AA104" i="14"/>
  <c r="AA229" i="14"/>
  <c r="Z132" i="14"/>
  <c r="Z153" i="14"/>
  <c r="AA148" i="14"/>
  <c r="Z121" i="14"/>
  <c r="Z163" i="14"/>
  <c r="AA177" i="14"/>
  <c r="Z229" i="14"/>
  <c r="Z122" i="14"/>
  <c r="AA139" i="14"/>
  <c r="AA108" i="14"/>
  <c r="AA163" i="14"/>
  <c r="Z185" i="14"/>
  <c r="AA159" i="14"/>
  <c r="AA106" i="14"/>
  <c r="AA109" i="14"/>
  <c r="AA175" i="14"/>
  <c r="AA225" i="14"/>
  <c r="AA158" i="14"/>
  <c r="Z142" i="14"/>
  <c r="Z146" i="14"/>
  <c r="AA112" i="14"/>
  <c r="AA107" i="14"/>
  <c r="Z111" i="14"/>
  <c r="Z178" i="14"/>
  <c r="AA180" i="14"/>
  <c r="AA183" i="14"/>
  <c r="AA230" i="14"/>
  <c r="AA167" i="14"/>
  <c r="Z125" i="14"/>
  <c r="Z129" i="14"/>
  <c r="Z177" i="14"/>
  <c r="AA115" i="14"/>
  <c r="Z181" i="14"/>
  <c r="AA174" i="14"/>
  <c r="Z124" i="14"/>
  <c r="AA136" i="14"/>
  <c r="Z175" i="14"/>
  <c r="Z236" i="14"/>
  <c r="Z141" i="14"/>
  <c r="AA176" i="14"/>
  <c r="AA238" i="14"/>
  <c r="Z149" i="14"/>
  <c r="Z133" i="14"/>
  <c r="AA153" i="14"/>
  <c r="AA186" i="14"/>
  <c r="AA170" i="14"/>
  <c r="Z150" i="14"/>
  <c r="Z138" i="14"/>
  <c r="Z104" i="14"/>
  <c r="Z116" i="14"/>
  <c r="Z112" i="14"/>
  <c r="Z186" i="14"/>
  <c r="Z172" i="14"/>
  <c r="AA184" i="14"/>
  <c r="Z226" i="14"/>
  <c r="Z233" i="14"/>
  <c r="AA122" i="14"/>
  <c r="Z134" i="14"/>
  <c r="Z128" i="14"/>
  <c r="Z147" i="14"/>
  <c r="Z114" i="14"/>
  <c r="Z152" i="14"/>
  <c r="AA147" i="14"/>
  <c r="AA232" i="14"/>
  <c r="Z232" i="14"/>
  <c r="AA121" i="14"/>
  <c r="AA117" i="14"/>
  <c r="AA181" i="14"/>
  <c r="AA132" i="14"/>
  <c r="Z148" i="14"/>
  <c r="Z113" i="14"/>
  <c r="Z189" i="14"/>
  <c r="AA201" i="14"/>
  <c r="AA178" i="14"/>
  <c r="Z224" i="14"/>
  <c r="Z127" i="14"/>
  <c r="AA164" i="14"/>
  <c r="Z203" i="14"/>
  <c r="AA161" i="14"/>
  <c r="Z151" i="14"/>
  <c r="AA140" i="14"/>
  <c r="Z106" i="14"/>
  <c r="AA116" i="14"/>
  <c r="Z161" i="14"/>
  <c r="AA179" i="14"/>
  <c r="Z174" i="14"/>
  <c r="AA226" i="14"/>
  <c r="AA130" i="14"/>
  <c r="AA134" i="14"/>
  <c r="AA128" i="14"/>
  <c r="AA160" i="14"/>
  <c r="Z117" i="14"/>
  <c r="AA168" i="14"/>
  <c r="AA187" i="14"/>
  <c r="AA231" i="14"/>
  <c r="Z135" i="14"/>
  <c r="AA152" i="14"/>
  <c r="AA146" i="14"/>
  <c r="Z108" i="14"/>
  <c r="Z109" i="14"/>
  <c r="Z105" i="14"/>
  <c r="AA119" i="14"/>
  <c r="Z234" i="14"/>
  <c r="AA142" i="14"/>
  <c r="AA234" i="14"/>
  <c r="AA125" i="14"/>
  <c r="AA150" i="14"/>
  <c r="Z144" i="14"/>
  <c r="Z119" i="14"/>
  <c r="AA157" i="14"/>
  <c r="AA227" i="14"/>
  <c r="AA190" i="14"/>
  <c r="Z162" i="14"/>
  <c r="Z231" i="14"/>
  <c r="AA131" i="14"/>
  <c r="AA145" i="14"/>
  <c r="AA138" i="14"/>
  <c r="AA182" i="14"/>
  <c r="AA127" i="14"/>
  <c r="AA185" i="14"/>
  <c r="AA114" i="14"/>
  <c r="Z183" i="14"/>
  <c r="AA129" i="14"/>
  <c r="Z202" i="14"/>
  <c r="AA202" i="14"/>
  <c r="Z238" i="14"/>
  <c r="Z204" i="14"/>
  <c r="AA144" i="14"/>
  <c r="Z110" i="14"/>
  <c r="AA155" i="14"/>
  <c r="AA133" i="14"/>
  <c r="AA200" i="14"/>
  <c r="Z168" i="14"/>
  <c r="Z131" i="14"/>
  <c r="Z139" i="14"/>
  <c r="Z179" i="14"/>
  <c r="AA235" i="14"/>
  <c r="AA123" i="14"/>
  <c r="AA162" i="14"/>
  <c r="Z187" i="14"/>
  <c r="AA195" i="14"/>
  <c r="AA135" i="14"/>
  <c r="Z115" i="14"/>
  <c r="Z176" i="14"/>
  <c r="AA169" i="14"/>
  <c r="Z155" i="14"/>
  <c r="AA228" i="14"/>
  <c r="AA166" i="14"/>
  <c r="AA165" i="14"/>
  <c r="AA111" i="14"/>
  <c r="Z118" i="14"/>
  <c r="AA141" i="14"/>
  <c r="Z159" i="14"/>
  <c r="Z169" i="14"/>
  <c r="AA224" i="14"/>
  <c r="Z126" i="14"/>
  <c r="Z198" i="14"/>
  <c r="Z123" i="14"/>
  <c r="Z143" i="14"/>
  <c r="AA173" i="14"/>
  <c r="AA233" i="14"/>
  <c r="Z145" i="14"/>
  <c r="Z182" i="14"/>
  <c r="AA126" i="14"/>
  <c r="AA113" i="14"/>
  <c r="Z167" i="14"/>
  <c r="AA203" i="14"/>
  <c r="Z166" i="14"/>
  <c r="Z164" i="14"/>
  <c r="AA118" i="14"/>
  <c r="AA149" i="14"/>
  <c r="AA156" i="14"/>
  <c r="Z173" i="14"/>
  <c r="Z237" i="14"/>
  <c r="Z156" i="14"/>
  <c r="Z228" i="14"/>
  <c r="Z160" i="14"/>
  <c r="Z180" i="14"/>
  <c r="AA237" i="14"/>
  <c r="AA105" i="14"/>
  <c r="Z230" i="14"/>
  <c r="Z165" i="14"/>
  <c r="Z136" i="14"/>
  <c r="Z170" i="14"/>
  <c r="AA194" i="14"/>
  <c r="Y189" i="14"/>
  <c r="X189" i="14"/>
  <c r="X121" i="14"/>
  <c r="Y104" i="14"/>
  <c r="X172" i="14"/>
  <c r="Y155" i="14"/>
  <c r="Y138" i="14"/>
  <c r="X155" i="14"/>
  <c r="Y172" i="14"/>
  <c r="X138" i="14"/>
  <c r="X104" i="14"/>
  <c r="Y206" i="14"/>
  <c r="Y121" i="14"/>
  <c r="X206" i="14"/>
  <c r="Z100" i="14"/>
  <c r="AA91" i="14"/>
  <c r="AA89" i="14"/>
  <c r="AA87" i="14"/>
  <c r="AA92" i="14"/>
  <c r="AA93" i="14"/>
  <c r="Z91" i="14"/>
  <c r="AA90" i="14"/>
  <c r="AA98" i="14"/>
  <c r="Z99" i="14"/>
  <c r="AA102" i="14"/>
  <c r="Z95" i="14"/>
  <c r="AA96" i="14"/>
  <c r="Z101" i="14"/>
  <c r="AA94" i="14"/>
  <c r="AA88" i="14"/>
  <c r="Z98" i="14"/>
  <c r="Z94" i="14"/>
  <c r="AA99" i="14"/>
  <c r="Z88" i="14"/>
  <c r="AA97" i="14"/>
  <c r="Z89" i="14"/>
  <c r="Z96" i="14"/>
  <c r="Z87" i="14"/>
  <c r="Z97" i="14"/>
  <c r="Z90" i="14"/>
  <c r="AA100" i="14"/>
  <c r="Z93" i="14"/>
  <c r="Z92" i="14"/>
  <c r="Z102" i="14"/>
  <c r="AA95" i="14"/>
  <c r="AA101" i="14"/>
  <c r="Y87" i="14"/>
  <c r="X87" i="14"/>
  <c r="X70" i="14"/>
  <c r="Y70" i="14"/>
  <c r="Z76" i="14"/>
  <c r="Z80" i="14"/>
  <c r="Z84" i="14"/>
  <c r="AA75" i="14"/>
  <c r="Z74" i="14"/>
  <c r="Z81" i="14"/>
  <c r="Z83" i="14"/>
  <c r="AA83" i="14"/>
  <c r="Z82" i="14"/>
  <c r="AA73" i="14"/>
  <c r="Z75" i="14"/>
  <c r="AA74" i="14"/>
  <c r="AA82" i="14"/>
  <c r="AA81" i="14"/>
  <c r="AA80" i="14"/>
  <c r="Z71" i="14"/>
  <c r="AA70" i="14"/>
  <c r="AA84" i="14"/>
  <c r="AA85" i="14"/>
  <c r="Z85" i="14"/>
  <c r="Z79" i="14"/>
  <c r="Z73" i="14"/>
  <c r="Z77" i="14"/>
  <c r="Z72" i="14"/>
  <c r="AA77" i="14"/>
  <c r="AA76" i="14"/>
  <c r="Z70" i="14"/>
  <c r="AA79" i="14"/>
  <c r="AA71" i="14"/>
  <c r="AA78" i="14"/>
  <c r="AA72" i="14"/>
  <c r="Z78" i="14"/>
  <c r="Y53" i="14"/>
  <c r="X53" i="14"/>
  <c r="AA53" i="14"/>
  <c r="Z61" i="14"/>
  <c r="Z55" i="14"/>
  <c r="Z54" i="14"/>
  <c r="Z63" i="14"/>
  <c r="Z57" i="14"/>
  <c r="AA56" i="14"/>
  <c r="AA57" i="14"/>
  <c r="AA59" i="14"/>
  <c r="Z65" i="14"/>
  <c r="AA68" i="14"/>
  <c r="AA54" i="14"/>
  <c r="Z53" i="14"/>
  <c r="Z56" i="14"/>
  <c r="Z64" i="14"/>
  <c r="AA65" i="14"/>
  <c r="AA64" i="14"/>
  <c r="Z58" i="14"/>
  <c r="AA67" i="14"/>
  <c r="AA66" i="14"/>
  <c r="Z67" i="14"/>
  <c r="Z66" i="14"/>
  <c r="AA61" i="14"/>
  <c r="Z68" i="14"/>
  <c r="Z62" i="14"/>
  <c r="AA60" i="14"/>
  <c r="AA62" i="14"/>
  <c r="AA55" i="14"/>
  <c r="AA58" i="14"/>
  <c r="AA63" i="14"/>
  <c r="Z59" i="14"/>
  <c r="Z60" i="14"/>
  <c r="X36" i="14"/>
  <c r="Y36" i="14"/>
  <c r="Z48" i="14"/>
  <c r="AA41" i="14"/>
  <c r="Z38" i="14"/>
  <c r="AA50" i="14"/>
  <c r="AA36" i="14"/>
  <c r="AA39" i="14"/>
  <c r="Z37" i="14"/>
  <c r="Z40" i="14"/>
  <c r="AA48" i="14"/>
  <c r="Z36" i="14"/>
  <c r="Z51" i="14"/>
  <c r="AA38" i="14"/>
  <c r="Z44" i="14"/>
  <c r="AA42" i="14"/>
  <c r="AA49" i="14"/>
  <c r="Z43" i="14"/>
  <c r="Z46" i="14"/>
  <c r="AA45" i="14"/>
  <c r="AA37" i="14"/>
  <c r="Z50" i="14"/>
  <c r="Z45" i="14"/>
  <c r="AA46" i="14"/>
  <c r="AA44" i="14"/>
  <c r="Z49" i="14"/>
  <c r="Z39" i="14"/>
  <c r="Z42" i="14"/>
  <c r="Z47" i="14"/>
  <c r="AA43" i="14"/>
  <c r="AA40" i="14"/>
  <c r="AA51" i="14"/>
  <c r="Z41" i="14"/>
  <c r="AA47" i="14"/>
  <c r="Z20" i="14"/>
  <c r="AA29" i="14"/>
  <c r="Z26" i="14"/>
  <c r="AA25" i="14"/>
  <c r="AA23" i="14"/>
  <c r="AA27" i="14"/>
  <c r="AA33" i="14"/>
  <c r="Z21" i="14"/>
  <c r="Z33" i="14"/>
  <c r="Z28" i="14"/>
  <c r="Z23" i="14"/>
  <c r="Z27" i="14"/>
  <c r="AA20" i="14"/>
  <c r="AA26" i="14"/>
  <c r="Z29" i="14"/>
  <c r="AA22" i="14"/>
  <c r="Z22" i="14"/>
  <c r="AA30" i="14"/>
  <c r="Z19" i="14"/>
  <c r="Z34" i="14"/>
  <c r="AA34" i="14"/>
  <c r="AA32" i="14"/>
  <c r="AA31" i="14"/>
  <c r="Z30" i="14"/>
  <c r="AA28" i="14"/>
  <c r="AA19" i="14"/>
  <c r="Z32" i="14"/>
  <c r="Z31" i="14"/>
  <c r="Z25" i="14"/>
  <c r="Z24" i="14"/>
  <c r="AA24" i="14"/>
  <c r="AA21" i="14"/>
  <c r="Y19" i="14"/>
  <c r="X19" i="14"/>
  <c r="Z16" i="14"/>
  <c r="AA17" i="14"/>
  <c r="AA16" i="14"/>
  <c r="Z17" i="14"/>
  <c r="Z3" i="14"/>
  <c r="Z6" i="14"/>
  <c r="Z12" i="14"/>
  <c r="Z9" i="14"/>
  <c r="AA6" i="14"/>
  <c r="Z5" i="14"/>
  <c r="Z7" i="14"/>
  <c r="Z15" i="14"/>
  <c r="AA7" i="14"/>
  <c r="AA3" i="14"/>
  <c r="Z11" i="14"/>
  <c r="Z14" i="14"/>
  <c r="AA4" i="14"/>
  <c r="AA14" i="14"/>
  <c r="Z13" i="14"/>
  <c r="AA5" i="14"/>
  <c r="AA15" i="14"/>
  <c r="Z4" i="14"/>
  <c r="AA13" i="14"/>
  <c r="Z8" i="14"/>
  <c r="AA9" i="14"/>
  <c r="AA8" i="14"/>
  <c r="Z10" i="14"/>
  <c r="AA10" i="14"/>
  <c r="AA11" i="14"/>
  <c r="AA12" i="14"/>
  <c r="Y2" i="14"/>
  <c r="X2" i="14"/>
  <c r="AA2" i="14"/>
  <c r="Z2" i="14"/>
  <c r="N114" i="12"/>
  <c r="P114" i="12" s="1"/>
  <c r="N242" i="12"/>
  <c r="P242" i="12" s="1"/>
  <c r="G202" i="12"/>
  <c r="H202" i="12"/>
  <c r="I244" i="12"/>
  <c r="H159" i="12"/>
  <c r="G159" i="12"/>
  <c r="I159" i="12" s="1"/>
  <c r="F22" i="4"/>
  <c r="H22" i="4" s="1"/>
  <c r="C41" i="1" s="1"/>
  <c r="C49" i="1" s="1"/>
  <c r="C61" i="1" s="1"/>
  <c r="F21" i="4"/>
  <c r="H21" i="4" s="1"/>
  <c r="E41" i="1" s="1"/>
  <c r="E49" i="1" s="1"/>
  <c r="E61" i="1" s="1"/>
  <c r="H245" i="12"/>
  <c r="G245" i="12"/>
  <c r="G289" i="12"/>
  <c r="I289" i="12" s="1"/>
  <c r="H289" i="12"/>
  <c r="S30" i="8"/>
  <c r="K243" i="12"/>
  <c r="J243" i="12"/>
  <c r="J158" i="12"/>
  <c r="K158" i="12"/>
  <c r="C30" i="1"/>
  <c r="C46" i="1" s="1"/>
  <c r="C55" i="1" s="1"/>
  <c r="I115" i="12"/>
  <c r="I201" i="12"/>
  <c r="I288" i="12"/>
  <c r="K287" i="12"/>
  <c r="J287" i="12"/>
  <c r="D21" i="4"/>
  <c r="E40" i="1" s="1"/>
  <c r="E48" i="1" s="1"/>
  <c r="E56" i="1" s="1"/>
  <c r="E30" i="1"/>
  <c r="E46" i="1" s="1"/>
  <c r="E55" i="1" s="1"/>
  <c r="H116" i="12"/>
  <c r="G116" i="12"/>
  <c r="I116" i="12" s="1"/>
  <c r="E33" i="15"/>
  <c r="G33" i="15" s="1"/>
  <c r="I33" i="15" s="1"/>
  <c r="D33" i="15"/>
  <c r="F33" i="15" s="1"/>
  <c r="H33" i="15" s="1"/>
  <c r="B34" i="15"/>
  <c r="C34" i="15" s="1"/>
  <c r="A35" i="15"/>
  <c r="L32" i="8"/>
  <c r="M31" i="8"/>
  <c r="N31" i="8"/>
  <c r="S31" i="8" s="1"/>
  <c r="R30" i="8"/>
  <c r="F290" i="12"/>
  <c r="F246" i="12"/>
  <c r="F203" i="12"/>
  <c r="F160" i="12"/>
  <c r="F117" i="12"/>
  <c r="M71" i="12"/>
  <c r="O71" i="12" s="1"/>
  <c r="N71" i="12"/>
  <c r="P71" i="12" s="1"/>
  <c r="I73" i="12"/>
  <c r="G74" i="12"/>
  <c r="H74" i="12"/>
  <c r="K72" i="12"/>
  <c r="J72" i="12"/>
  <c r="F75" i="12"/>
  <c r="L35" i="1"/>
  <c r="L36" i="1" s="1"/>
  <c r="C42" i="1" s="1"/>
  <c r="B3" i="11"/>
  <c r="U33" i="11" s="1"/>
  <c r="Z33" i="11" s="1"/>
  <c r="B31" i="10"/>
  <c r="L30" i="10" s="1"/>
  <c r="B3" i="10"/>
  <c r="J3" i="7"/>
  <c r="E34" i="1"/>
  <c r="C34" i="1"/>
  <c r="J4" i="7"/>
  <c r="M33" i="11"/>
  <c r="L34" i="11"/>
  <c r="C35" i="1"/>
  <c r="J1" i="7"/>
  <c r="E35" i="1"/>
  <c r="E31" i="1" s="1"/>
  <c r="E47" i="1" s="1"/>
  <c r="E60" i="1" s="1"/>
  <c r="J2" i="7"/>
  <c r="F11" i="7" l="1"/>
  <c r="F12" i="7" s="1"/>
  <c r="F10" i="7"/>
  <c r="F3" i="7"/>
  <c r="F2" i="7"/>
  <c r="X32" i="11"/>
  <c r="AC32" i="11" s="1"/>
  <c r="B10" i="7"/>
  <c r="B11" i="7"/>
  <c r="B12" i="7" s="1"/>
  <c r="B14" i="7" s="1"/>
  <c r="V32" i="11"/>
  <c r="AA32" i="11" s="1"/>
  <c r="B3" i="7"/>
  <c r="B2" i="7"/>
  <c r="I11" i="7" s="1"/>
  <c r="L2" i="10"/>
  <c r="B17" i="10"/>
  <c r="B23" i="10" s="1"/>
  <c r="B46" i="10"/>
  <c r="B52" i="10" s="1"/>
  <c r="B18" i="10"/>
  <c r="B24" i="10" s="1"/>
  <c r="B45" i="10"/>
  <c r="B51" i="10" s="1"/>
  <c r="B19" i="10"/>
  <c r="B25" i="10" s="1"/>
  <c r="B47" i="10"/>
  <c r="B53" i="10" s="1"/>
  <c r="B48" i="10"/>
  <c r="B54" i="10" s="1"/>
  <c r="B20" i="10"/>
  <c r="B26" i="10" s="1"/>
  <c r="W33" i="11"/>
  <c r="AB33" i="11" s="1"/>
  <c r="N16" i="11"/>
  <c r="P16" i="11" s="1"/>
  <c r="R16" i="11" s="1"/>
  <c r="N15" i="11"/>
  <c r="P15" i="11" s="1"/>
  <c r="R15" i="11" s="1"/>
  <c r="N17" i="11"/>
  <c r="P17" i="11" s="1"/>
  <c r="R17" i="11" s="1"/>
  <c r="O16" i="11"/>
  <c r="Q16" i="11" s="1"/>
  <c r="S16" i="11" s="1"/>
  <c r="O17" i="11"/>
  <c r="Q17" i="11" s="1"/>
  <c r="S17" i="11" s="1"/>
  <c r="O15" i="11"/>
  <c r="Q15" i="11" s="1"/>
  <c r="S15" i="11" s="1"/>
  <c r="J9" i="11"/>
  <c r="U17" i="11"/>
  <c r="Z17" i="11" s="1"/>
  <c r="V10" i="11"/>
  <c r="AA10" i="11" s="1"/>
  <c r="V12" i="11"/>
  <c r="AA12" i="11" s="1"/>
  <c r="U9" i="11"/>
  <c r="Z9" i="11" s="1"/>
  <c r="V19" i="11"/>
  <c r="AA19" i="11" s="1"/>
  <c r="V23" i="11"/>
  <c r="AA23" i="11" s="1"/>
  <c r="V18" i="11"/>
  <c r="AA18" i="11" s="1"/>
  <c r="V25" i="11"/>
  <c r="AA25" i="11" s="1"/>
  <c r="V14" i="11"/>
  <c r="AA14" i="11" s="1"/>
  <c r="U23" i="11"/>
  <c r="Z23" i="11" s="1"/>
  <c r="U27" i="11"/>
  <c r="Z27" i="11" s="1"/>
  <c r="V17" i="11"/>
  <c r="AA17" i="11" s="1"/>
  <c r="V2" i="11"/>
  <c r="AA2" i="11" s="1"/>
  <c r="U2" i="11"/>
  <c r="Z2" i="11" s="1"/>
  <c r="U6" i="11"/>
  <c r="Z6" i="11" s="1"/>
  <c r="V7" i="11"/>
  <c r="AA7" i="11" s="1"/>
  <c r="V20" i="11"/>
  <c r="AA20" i="11" s="1"/>
  <c r="V24" i="11"/>
  <c r="AA24" i="11" s="1"/>
  <c r="U26" i="11"/>
  <c r="Z26" i="11" s="1"/>
  <c r="V15" i="11"/>
  <c r="AA15" i="11" s="1"/>
  <c r="U3" i="11"/>
  <c r="Z3" i="11" s="1"/>
  <c r="U19" i="11"/>
  <c r="Z19" i="11" s="1"/>
  <c r="U16" i="11"/>
  <c r="Z16" i="11" s="1"/>
  <c r="U8" i="11"/>
  <c r="Z8" i="11" s="1"/>
  <c r="U4" i="11"/>
  <c r="Z4" i="11" s="1"/>
  <c r="V8" i="11"/>
  <c r="AA8" i="11" s="1"/>
  <c r="U21" i="11"/>
  <c r="Z21" i="11" s="1"/>
  <c r="U25" i="11"/>
  <c r="Z25" i="11" s="1"/>
  <c r="U11" i="11"/>
  <c r="Z11" i="11" s="1"/>
  <c r="V16" i="11"/>
  <c r="AA16" i="11" s="1"/>
  <c r="U12" i="11"/>
  <c r="Z12" i="11" s="1"/>
  <c r="V13" i="11"/>
  <c r="AA13" i="11" s="1"/>
  <c r="V6" i="11"/>
  <c r="AA6" i="11" s="1"/>
  <c r="V9" i="11"/>
  <c r="AA9" i="11" s="1"/>
  <c r="V21" i="11"/>
  <c r="AA21" i="11" s="1"/>
  <c r="V3" i="11"/>
  <c r="AA3" i="11" s="1"/>
  <c r="U14" i="11"/>
  <c r="Z14" i="11" s="1"/>
  <c r="V22" i="11"/>
  <c r="AA22" i="11" s="1"/>
  <c r="U15" i="11"/>
  <c r="Z15" i="11" s="1"/>
  <c r="V11" i="11"/>
  <c r="AA11" i="11" s="1"/>
  <c r="V5" i="11"/>
  <c r="AA5" i="11" s="1"/>
  <c r="U10" i="11"/>
  <c r="Z10" i="11" s="1"/>
  <c r="U18" i="11"/>
  <c r="Z18" i="11" s="1"/>
  <c r="U22" i="11"/>
  <c r="Z22" i="11" s="1"/>
  <c r="V26" i="11"/>
  <c r="AA26" i="11" s="1"/>
  <c r="U7" i="11"/>
  <c r="Z7" i="11" s="1"/>
  <c r="U13" i="11"/>
  <c r="Z13" i="11" s="1"/>
  <c r="V4" i="11"/>
  <c r="AA4" i="11" s="1"/>
  <c r="U5" i="11"/>
  <c r="Z5" i="11" s="1"/>
  <c r="U20" i="11"/>
  <c r="Z20" i="11" s="1"/>
  <c r="U24" i="11"/>
  <c r="Z24" i="11" s="1"/>
  <c r="W17" i="11"/>
  <c r="AB17" i="11" s="1"/>
  <c r="X19" i="11"/>
  <c r="AC19" i="11" s="1"/>
  <c r="W27" i="11"/>
  <c r="AB27" i="11" s="1"/>
  <c r="W19" i="11"/>
  <c r="AB19" i="11" s="1"/>
  <c r="X26" i="11"/>
  <c r="AC26" i="11" s="1"/>
  <c r="X22" i="11"/>
  <c r="AC22" i="11" s="1"/>
  <c r="U28" i="11"/>
  <c r="Z28" i="11" s="1"/>
  <c r="W16" i="11"/>
  <c r="AB16" i="11" s="1"/>
  <c r="X23" i="11"/>
  <c r="AC23" i="11" s="1"/>
  <c r="X18" i="11"/>
  <c r="AC18" i="11" s="1"/>
  <c r="W12" i="11"/>
  <c r="AB12" i="11" s="1"/>
  <c r="W4" i="11"/>
  <c r="AB4" i="11" s="1"/>
  <c r="X6" i="11"/>
  <c r="AC6" i="11" s="1"/>
  <c r="W2" i="11"/>
  <c r="AB2" i="11" s="1"/>
  <c r="W3" i="11"/>
  <c r="AB3" i="11" s="1"/>
  <c r="X11" i="11"/>
  <c r="AC11" i="11" s="1"/>
  <c r="W23" i="11"/>
  <c r="AB23" i="11" s="1"/>
  <c r="W15" i="11"/>
  <c r="AB15" i="11" s="1"/>
  <c r="W24" i="11"/>
  <c r="AB24" i="11" s="1"/>
  <c r="W28" i="11"/>
  <c r="AB28" i="11" s="1"/>
  <c r="X9" i="11"/>
  <c r="AC9" i="11" s="1"/>
  <c r="X25" i="11"/>
  <c r="AC25" i="11" s="1"/>
  <c r="W5" i="11"/>
  <c r="AB5" i="11" s="1"/>
  <c r="W7" i="11"/>
  <c r="AB7" i="11" s="1"/>
  <c r="X13" i="11"/>
  <c r="AC13" i="11" s="1"/>
  <c r="W10" i="11"/>
  <c r="AB10" i="11" s="1"/>
  <c r="X4" i="11"/>
  <c r="AC4" i="11" s="1"/>
  <c r="X3" i="11"/>
  <c r="AC3" i="11" s="1"/>
  <c r="X27" i="11"/>
  <c r="AC27" i="11" s="1"/>
  <c r="X12" i="11"/>
  <c r="AC12" i="11" s="1"/>
  <c r="W20" i="11"/>
  <c r="AB20" i="11" s="1"/>
  <c r="X14" i="11"/>
  <c r="AC14" i="11" s="1"/>
  <c r="X7" i="11"/>
  <c r="AC7" i="11" s="1"/>
  <c r="W26" i="11"/>
  <c r="AB26" i="11" s="1"/>
  <c r="X10" i="11"/>
  <c r="AC10" i="11" s="1"/>
  <c r="W8" i="11"/>
  <c r="AB8" i="11" s="1"/>
  <c r="W11" i="11"/>
  <c r="AB11" i="11" s="1"/>
  <c r="V27" i="11"/>
  <c r="AA27" i="11" s="1"/>
  <c r="W14" i="11"/>
  <c r="AB14" i="11" s="1"/>
  <c r="X2" i="11"/>
  <c r="AC2" i="11" s="1"/>
  <c r="W22" i="11"/>
  <c r="AB22" i="11" s="1"/>
  <c r="W13" i="11"/>
  <c r="AB13" i="11" s="1"/>
  <c r="X21" i="11"/>
  <c r="AC21" i="11" s="1"/>
  <c r="W6" i="11"/>
  <c r="AB6" i="11" s="1"/>
  <c r="X17" i="11"/>
  <c r="AC17" i="11" s="1"/>
  <c r="X5" i="11"/>
  <c r="AC5" i="11" s="1"/>
  <c r="W25" i="11"/>
  <c r="AB25" i="11" s="1"/>
  <c r="X16" i="11"/>
  <c r="AC16" i="11" s="1"/>
  <c r="W9" i="11"/>
  <c r="AB9" i="11" s="1"/>
  <c r="X15" i="11"/>
  <c r="AC15" i="11" s="1"/>
  <c r="X20" i="11"/>
  <c r="AC20" i="11" s="1"/>
  <c r="W18" i="11"/>
  <c r="AB18" i="11" s="1"/>
  <c r="X8" i="11"/>
  <c r="AC8" i="11" s="1"/>
  <c r="X24" i="11"/>
  <c r="AC24" i="11" s="1"/>
  <c r="W21" i="11"/>
  <c r="AB21" i="11" s="1"/>
  <c r="U29" i="11"/>
  <c r="Z29" i="11" s="1"/>
  <c r="V28" i="11"/>
  <c r="AA28" i="11" s="1"/>
  <c r="W29" i="11"/>
  <c r="AB29" i="11" s="1"/>
  <c r="X28" i="11"/>
  <c r="AC28" i="11" s="1"/>
  <c r="U30" i="11"/>
  <c r="Z30" i="11" s="1"/>
  <c r="W30" i="11"/>
  <c r="AB30" i="11" s="1"/>
  <c r="V29" i="11"/>
  <c r="AA29" i="11" s="1"/>
  <c r="X29" i="11"/>
  <c r="AC29" i="11" s="1"/>
  <c r="V30" i="11"/>
  <c r="AA30" i="11" s="1"/>
  <c r="X30" i="11"/>
  <c r="AC30" i="11" s="1"/>
  <c r="U31" i="11"/>
  <c r="Z31" i="11" s="1"/>
  <c r="W31" i="11"/>
  <c r="AB31" i="11" s="1"/>
  <c r="U32" i="11"/>
  <c r="Z32" i="11" s="1"/>
  <c r="W32" i="11"/>
  <c r="AB32" i="11" s="1"/>
  <c r="V31" i="11"/>
  <c r="AA31" i="11" s="1"/>
  <c r="X31" i="11"/>
  <c r="AC31" i="11" s="1"/>
  <c r="I245" i="12"/>
  <c r="J245" i="12" s="1"/>
  <c r="I202" i="12"/>
  <c r="J202" i="12" s="1"/>
  <c r="U34" i="11"/>
  <c r="Z34" i="11" s="1"/>
  <c r="W34" i="11"/>
  <c r="AB34" i="11" s="1"/>
  <c r="V33" i="11"/>
  <c r="AA33" i="11" s="1"/>
  <c r="X33" i="11"/>
  <c r="AC33" i="11" s="1"/>
  <c r="O2" i="11"/>
  <c r="Q2" i="11" s="1"/>
  <c r="S2" i="11" s="1"/>
  <c r="O32" i="11"/>
  <c r="Q32" i="11" s="1"/>
  <c r="S32" i="11" s="1"/>
  <c r="N2" i="11"/>
  <c r="P2" i="11" s="1"/>
  <c r="R2" i="11" s="1"/>
  <c r="BC31" i="14"/>
  <c r="BC51" i="14"/>
  <c r="BC73" i="14"/>
  <c r="BC46" i="14"/>
  <c r="BC36" i="14"/>
  <c r="BB25" i="14"/>
  <c r="BB77" i="14"/>
  <c r="BC45" i="14"/>
  <c r="BC34" i="14"/>
  <c r="BB79" i="14"/>
  <c r="BB55" i="14"/>
  <c r="BB19" i="14"/>
  <c r="BC75" i="14"/>
  <c r="BB24" i="14"/>
  <c r="BB18" i="14"/>
  <c r="BC69" i="14"/>
  <c r="BB72" i="14"/>
  <c r="AZ2" i="14"/>
  <c r="BB35" i="14"/>
  <c r="BC41" i="14"/>
  <c r="BC91" i="14"/>
  <c r="BB12" i="14"/>
  <c r="BA2" i="14"/>
  <c r="BC76" i="14"/>
  <c r="BC18" i="14"/>
  <c r="BB64" i="14"/>
  <c r="BC85" i="14"/>
  <c r="BB38" i="14"/>
  <c r="BB65" i="14"/>
  <c r="BB20" i="14"/>
  <c r="BC84" i="14"/>
  <c r="BC40" i="14"/>
  <c r="BB46" i="14"/>
  <c r="BC57" i="14"/>
  <c r="BB66" i="14"/>
  <c r="BC9" i="14"/>
  <c r="BC49" i="14"/>
  <c r="BB62" i="14"/>
  <c r="BC66" i="14"/>
  <c r="BB67" i="14"/>
  <c r="BC74" i="14"/>
  <c r="BC7" i="14"/>
  <c r="BB44" i="14"/>
  <c r="BC65" i="14"/>
  <c r="BB23" i="14"/>
  <c r="BB58" i="14"/>
  <c r="BC39" i="14"/>
  <c r="BB89" i="14"/>
  <c r="BB42" i="14"/>
  <c r="BB78" i="14"/>
  <c r="BB83" i="14"/>
  <c r="BC11" i="14"/>
  <c r="BB16" i="14"/>
  <c r="BB60" i="14"/>
  <c r="BC50" i="14"/>
  <c r="BB37" i="14"/>
  <c r="BC5" i="14"/>
  <c r="BB86" i="14"/>
  <c r="BB68" i="14"/>
  <c r="BB45" i="14"/>
  <c r="BC6" i="14"/>
  <c r="BC12" i="14"/>
  <c r="BB81" i="14"/>
  <c r="BC86" i="14"/>
  <c r="BB84" i="14"/>
  <c r="BC16" i="14"/>
  <c r="BC29" i="14"/>
  <c r="BC70" i="14"/>
  <c r="BB39" i="14"/>
  <c r="BC43" i="14"/>
  <c r="BC17" i="14"/>
  <c r="BB92" i="14"/>
  <c r="BC28" i="14"/>
  <c r="BC80" i="14"/>
  <c r="BC37" i="14"/>
  <c r="BB15" i="14"/>
  <c r="BB3" i="14"/>
  <c r="BC87" i="14"/>
  <c r="BC59" i="14"/>
  <c r="BB34" i="14"/>
  <c r="BB47" i="14"/>
  <c r="BC44" i="14"/>
  <c r="BC33" i="14"/>
  <c r="BB85" i="14"/>
  <c r="BC53" i="14"/>
  <c r="BB6" i="14"/>
  <c r="BC55" i="14"/>
  <c r="BC47" i="14"/>
  <c r="BC32" i="14"/>
  <c r="BC90" i="14"/>
  <c r="BC60" i="14"/>
  <c r="BB71" i="14"/>
  <c r="BB22" i="14"/>
  <c r="BC64" i="14"/>
  <c r="BB27" i="14"/>
  <c r="BB57" i="14"/>
  <c r="BC83" i="14"/>
  <c r="BB4" i="14"/>
  <c r="BB80" i="14"/>
  <c r="BC68" i="14"/>
  <c r="BB74" i="14"/>
  <c r="BC63" i="14"/>
  <c r="BC77" i="14"/>
  <c r="BB30" i="14"/>
  <c r="BB88" i="14"/>
  <c r="BC24" i="14"/>
  <c r="BB26" i="14"/>
  <c r="BC22" i="14"/>
  <c r="BC56" i="14"/>
  <c r="BC82" i="14"/>
  <c r="BB2" i="14"/>
  <c r="BC88" i="14"/>
  <c r="BB7" i="14"/>
  <c r="BC92" i="14"/>
  <c r="BB41" i="14"/>
  <c r="BB54" i="14"/>
  <c r="BB59" i="14"/>
  <c r="BC26" i="14"/>
  <c r="BB63" i="14"/>
  <c r="BB36" i="14"/>
  <c r="BC54" i="14"/>
  <c r="BB13" i="14"/>
  <c r="BB31" i="14"/>
  <c r="BB73" i="14"/>
  <c r="BB21" i="14"/>
  <c r="BB70" i="14"/>
  <c r="BC3" i="14"/>
  <c r="BC71" i="14"/>
  <c r="BB52" i="14"/>
  <c r="BB87" i="14"/>
  <c r="BB29" i="14"/>
  <c r="BB32" i="14"/>
  <c r="BC25" i="14"/>
  <c r="BC15" i="14"/>
  <c r="BC48" i="14"/>
  <c r="BC81" i="14"/>
  <c r="BB91" i="14"/>
  <c r="BC19" i="14"/>
  <c r="BC4" i="14"/>
  <c r="BC79" i="14"/>
  <c r="BB9" i="14"/>
  <c r="BB50" i="14"/>
  <c r="BC38" i="14"/>
  <c r="BC27" i="14"/>
  <c r="BC72" i="14"/>
  <c r="BB76" i="14"/>
  <c r="BB53" i="14"/>
  <c r="BC21" i="14"/>
  <c r="BC62" i="14"/>
  <c r="BC42" i="14"/>
  <c r="BC35" i="14"/>
  <c r="BB33" i="14"/>
  <c r="BC20" i="14"/>
  <c r="BB61" i="14"/>
  <c r="BB10" i="14"/>
  <c r="BC30" i="14"/>
  <c r="BB69" i="14"/>
  <c r="BC78" i="14"/>
  <c r="BB11" i="14"/>
  <c r="BB56" i="14"/>
  <c r="BC67" i="14"/>
  <c r="BC10" i="14"/>
  <c r="BC23" i="14"/>
  <c r="BC52" i="14"/>
  <c r="BC89" i="14"/>
  <c r="BC2" i="14"/>
  <c r="BC61" i="14"/>
  <c r="BB14" i="14"/>
  <c r="BB8" i="14"/>
  <c r="BB48" i="14"/>
  <c r="BB43" i="14"/>
  <c r="BB51" i="14"/>
  <c r="BB90" i="14"/>
  <c r="BB28" i="14"/>
  <c r="BB49" i="14"/>
  <c r="BB5" i="14"/>
  <c r="BC14" i="14"/>
  <c r="BB17" i="14"/>
  <c r="BB75" i="14"/>
  <c r="BC58" i="14"/>
  <c r="BC8" i="14"/>
  <c r="BC13" i="14"/>
  <c r="BB40" i="14"/>
  <c r="BB82" i="14"/>
  <c r="Y229" i="14"/>
  <c r="Y230" i="14"/>
  <c r="Y226" i="14"/>
  <c r="Y234" i="14"/>
  <c r="Y238" i="14"/>
  <c r="Y232" i="14"/>
  <c r="Y235" i="14"/>
  <c r="Y224" i="14"/>
  <c r="Y231" i="14"/>
  <c r="Y237" i="14"/>
  <c r="Y227" i="14"/>
  <c r="Y228" i="14"/>
  <c r="Y236" i="14"/>
  <c r="Y233" i="14"/>
  <c r="Y225" i="14"/>
  <c r="X237" i="14"/>
  <c r="X226" i="14"/>
  <c r="X234" i="14"/>
  <c r="X235" i="14"/>
  <c r="X238" i="14"/>
  <c r="X224" i="14"/>
  <c r="X236" i="14"/>
  <c r="X229" i="14"/>
  <c r="X225" i="14"/>
  <c r="X233" i="14"/>
  <c r="X231" i="14"/>
  <c r="X227" i="14"/>
  <c r="X230" i="14"/>
  <c r="X228" i="14"/>
  <c r="X232" i="14"/>
  <c r="AY34" i="14"/>
  <c r="AP34" i="14" s="1"/>
  <c r="AX35" i="14"/>
  <c r="AQ33" i="14"/>
  <c r="AS33" i="14" s="1"/>
  <c r="AU33" i="14" s="1"/>
  <c r="AR33" i="14"/>
  <c r="AT33" i="14" s="1"/>
  <c r="AV33" i="14" s="1"/>
  <c r="Y207" i="14"/>
  <c r="Y220" i="14"/>
  <c r="Y221" i="14"/>
  <c r="Y208" i="14"/>
  <c r="Y214" i="14"/>
  <c r="Y209" i="14"/>
  <c r="Y213" i="14"/>
  <c r="Y215" i="14"/>
  <c r="Y210" i="14"/>
  <c r="Y211" i="14"/>
  <c r="Y219" i="14"/>
  <c r="Y212" i="14"/>
  <c r="Y216" i="14"/>
  <c r="Y218" i="14"/>
  <c r="Y217" i="14"/>
  <c r="X217" i="14"/>
  <c r="X213" i="14"/>
  <c r="X220" i="14"/>
  <c r="X214" i="14"/>
  <c r="X218" i="14"/>
  <c r="X215" i="14"/>
  <c r="X221" i="14"/>
  <c r="X219" i="14"/>
  <c r="X208" i="14"/>
  <c r="X211" i="14"/>
  <c r="X207" i="14"/>
  <c r="X212" i="14"/>
  <c r="X209" i="14"/>
  <c r="X210" i="14"/>
  <c r="X216" i="14"/>
  <c r="Y135" i="14"/>
  <c r="Y136" i="14"/>
  <c r="Y130" i="14"/>
  <c r="Y125" i="14"/>
  <c r="Y131" i="14"/>
  <c r="Y126" i="14"/>
  <c r="Y129" i="14"/>
  <c r="Y132" i="14"/>
  <c r="Y127" i="14"/>
  <c r="Y133" i="14"/>
  <c r="Y123" i="14"/>
  <c r="Y122" i="14"/>
  <c r="Y134" i="14"/>
  <c r="Y124" i="14"/>
  <c r="Y128" i="14"/>
  <c r="Y180" i="14"/>
  <c r="Y182" i="14"/>
  <c r="Y173" i="14"/>
  <c r="Y176" i="14"/>
  <c r="Y179" i="14"/>
  <c r="Y177" i="14"/>
  <c r="Y185" i="14"/>
  <c r="Y174" i="14"/>
  <c r="Y175" i="14"/>
  <c r="Y178" i="14"/>
  <c r="Y181" i="14"/>
  <c r="Y186" i="14"/>
  <c r="Y183" i="14"/>
  <c r="Y184" i="14"/>
  <c r="X186" i="14"/>
  <c r="X180" i="14"/>
  <c r="X173" i="14"/>
  <c r="X184" i="14"/>
  <c r="X181" i="14"/>
  <c r="X178" i="14"/>
  <c r="X183" i="14"/>
  <c r="X185" i="14"/>
  <c r="X175" i="14"/>
  <c r="X174" i="14"/>
  <c r="X179" i="14"/>
  <c r="X182" i="14"/>
  <c r="X177" i="14"/>
  <c r="X176" i="14"/>
  <c r="X165" i="14"/>
  <c r="X170" i="14"/>
  <c r="X159" i="14"/>
  <c r="X156" i="14"/>
  <c r="X162" i="14"/>
  <c r="X160" i="14"/>
  <c r="X168" i="14"/>
  <c r="X169" i="14"/>
  <c r="X167" i="14"/>
  <c r="X157" i="14"/>
  <c r="X158" i="14"/>
  <c r="X164" i="14"/>
  <c r="X161" i="14"/>
  <c r="X163" i="14"/>
  <c r="X166" i="14"/>
  <c r="Y110" i="14"/>
  <c r="Y108" i="14"/>
  <c r="Y107" i="14"/>
  <c r="Y118" i="14"/>
  <c r="Y119" i="14"/>
  <c r="Y115" i="14"/>
  <c r="Y113" i="14"/>
  <c r="Y105" i="14"/>
  <c r="Y117" i="14"/>
  <c r="Y109" i="14"/>
  <c r="Y111" i="14"/>
  <c r="Y106" i="14"/>
  <c r="Y116" i="14"/>
  <c r="Y112" i="14"/>
  <c r="Y114" i="14"/>
  <c r="X136" i="14"/>
  <c r="X131" i="14"/>
  <c r="X133" i="14"/>
  <c r="X130" i="14"/>
  <c r="X126" i="14"/>
  <c r="X129" i="14"/>
  <c r="X122" i="14"/>
  <c r="X132" i="14"/>
  <c r="X127" i="14"/>
  <c r="X128" i="14"/>
  <c r="X135" i="14"/>
  <c r="X123" i="14"/>
  <c r="X134" i="14"/>
  <c r="X124" i="14"/>
  <c r="X125" i="14"/>
  <c r="X119" i="14"/>
  <c r="X115" i="14"/>
  <c r="X117" i="14"/>
  <c r="X110" i="14"/>
  <c r="X116" i="14"/>
  <c r="X118" i="14"/>
  <c r="X114" i="14"/>
  <c r="X108" i="14"/>
  <c r="X112" i="14"/>
  <c r="X109" i="14"/>
  <c r="X111" i="14"/>
  <c r="X113" i="14"/>
  <c r="X105" i="14"/>
  <c r="X106" i="14"/>
  <c r="X107" i="14"/>
  <c r="X142" i="14"/>
  <c r="X147" i="14"/>
  <c r="X146" i="14"/>
  <c r="X148" i="14"/>
  <c r="X152" i="14"/>
  <c r="X140" i="14"/>
  <c r="X145" i="14"/>
  <c r="X144" i="14"/>
  <c r="X150" i="14"/>
  <c r="X141" i="14"/>
  <c r="X149" i="14"/>
  <c r="X151" i="14"/>
  <c r="X153" i="14"/>
  <c r="X143" i="14"/>
  <c r="X139" i="14"/>
  <c r="Y142" i="14"/>
  <c r="Y147" i="14"/>
  <c r="Y153" i="14"/>
  <c r="Y150" i="14"/>
  <c r="Y143" i="14"/>
  <c r="Y145" i="14"/>
  <c r="Y141" i="14"/>
  <c r="Y146" i="14"/>
  <c r="Y148" i="14"/>
  <c r="Y151" i="14"/>
  <c r="Y152" i="14"/>
  <c r="Y140" i="14"/>
  <c r="Y144" i="14"/>
  <c r="Y149" i="14"/>
  <c r="Y139" i="14"/>
  <c r="X187" i="14"/>
  <c r="X192" i="14"/>
  <c r="X190" i="14"/>
  <c r="X204" i="14"/>
  <c r="X194" i="14"/>
  <c r="X193" i="14"/>
  <c r="X198" i="14"/>
  <c r="X200" i="14"/>
  <c r="X197" i="14"/>
  <c r="X196" i="14"/>
  <c r="X202" i="14"/>
  <c r="X203" i="14"/>
  <c r="X195" i="14"/>
  <c r="X199" i="14"/>
  <c r="X201" i="14"/>
  <c r="X191" i="14"/>
  <c r="Y162" i="14"/>
  <c r="Y165" i="14"/>
  <c r="Y161" i="14"/>
  <c r="Y159" i="14"/>
  <c r="Y170" i="14"/>
  <c r="Y163" i="14"/>
  <c r="Y158" i="14"/>
  <c r="Y156" i="14"/>
  <c r="Y164" i="14"/>
  <c r="Y157" i="14"/>
  <c r="Y166" i="14"/>
  <c r="Y160" i="14"/>
  <c r="Y167" i="14"/>
  <c r="Y169" i="14"/>
  <c r="Y168" i="14"/>
  <c r="Y187" i="14"/>
  <c r="Y191" i="14"/>
  <c r="Y193" i="14"/>
  <c r="Y199" i="14"/>
  <c r="Y197" i="14"/>
  <c r="Y203" i="14"/>
  <c r="Y204" i="14"/>
  <c r="Y192" i="14"/>
  <c r="Y201" i="14"/>
  <c r="Y194" i="14"/>
  <c r="Y202" i="14"/>
  <c r="Y198" i="14"/>
  <c r="Y195" i="14"/>
  <c r="Y190" i="14"/>
  <c r="Y196" i="14"/>
  <c r="Y200" i="14"/>
  <c r="X89" i="14"/>
  <c r="X97" i="14"/>
  <c r="X100" i="14"/>
  <c r="X88" i="14"/>
  <c r="X91" i="14"/>
  <c r="X90" i="14"/>
  <c r="X98" i="14"/>
  <c r="X101" i="14"/>
  <c r="X102" i="14"/>
  <c r="X95" i="14"/>
  <c r="X99" i="14"/>
  <c r="X92" i="14"/>
  <c r="X93" i="14"/>
  <c r="X94" i="14"/>
  <c r="X96" i="14"/>
  <c r="Y93" i="14"/>
  <c r="Y94" i="14"/>
  <c r="Y89" i="14"/>
  <c r="Y97" i="14"/>
  <c r="Y99" i="14"/>
  <c r="Y101" i="14"/>
  <c r="Y102" i="14"/>
  <c r="Y88" i="14"/>
  <c r="Y90" i="14"/>
  <c r="Y98" i="14"/>
  <c r="Y91" i="14"/>
  <c r="Y92" i="14"/>
  <c r="Y96" i="14"/>
  <c r="Y100" i="14"/>
  <c r="Y95" i="14"/>
  <c r="Y84" i="14"/>
  <c r="Y72" i="14"/>
  <c r="Y80" i="14"/>
  <c r="Y73" i="14"/>
  <c r="Y74" i="14"/>
  <c r="Y76" i="14"/>
  <c r="Y79" i="14"/>
  <c r="Y81" i="14"/>
  <c r="Y82" i="14"/>
  <c r="Y85" i="14"/>
  <c r="Y71" i="14"/>
  <c r="Y75" i="14"/>
  <c r="Y83" i="14"/>
  <c r="Y77" i="14"/>
  <c r="Y78" i="14"/>
  <c r="X72" i="14"/>
  <c r="X80" i="14"/>
  <c r="X78" i="14"/>
  <c r="X82" i="14"/>
  <c r="X75" i="14"/>
  <c r="X77" i="14"/>
  <c r="X73" i="14"/>
  <c r="X81" i="14"/>
  <c r="X74" i="14"/>
  <c r="X83" i="14"/>
  <c r="X85" i="14"/>
  <c r="X71" i="14"/>
  <c r="X76" i="14"/>
  <c r="X84" i="14"/>
  <c r="X79" i="14"/>
  <c r="X55" i="14"/>
  <c r="X63" i="14"/>
  <c r="X62" i="14"/>
  <c r="X57" i="14"/>
  <c r="X58" i="14"/>
  <c r="X66" i="14"/>
  <c r="X68" i="14"/>
  <c r="X61" i="14"/>
  <c r="X54" i="14"/>
  <c r="X56" i="14"/>
  <c r="X64" i="14"/>
  <c r="X65" i="14"/>
  <c r="X60" i="14"/>
  <c r="X59" i="14"/>
  <c r="X67" i="14"/>
  <c r="Y64" i="14"/>
  <c r="Y67" i="14"/>
  <c r="Y68" i="14"/>
  <c r="Y55" i="14"/>
  <c r="Y63" i="14"/>
  <c r="Y65" i="14"/>
  <c r="Y59" i="14"/>
  <c r="Y56" i="14"/>
  <c r="Y57" i="14"/>
  <c r="Y54" i="14"/>
  <c r="Y58" i="14"/>
  <c r="Y66" i="14"/>
  <c r="Y60" i="14"/>
  <c r="Y61" i="14"/>
  <c r="Y62" i="14"/>
  <c r="Y40" i="14"/>
  <c r="Y42" i="14"/>
  <c r="Y38" i="14"/>
  <c r="Y46" i="14"/>
  <c r="Y39" i="14"/>
  <c r="Y48" i="14"/>
  <c r="Y43" i="14"/>
  <c r="Y44" i="14"/>
  <c r="Y47" i="14"/>
  <c r="Y50" i="14"/>
  <c r="Y51" i="14"/>
  <c r="Y45" i="14"/>
  <c r="Y41" i="14"/>
  <c r="Y49" i="14"/>
  <c r="Y37" i="14"/>
  <c r="X38" i="14"/>
  <c r="X46" i="14"/>
  <c r="X40" i="14"/>
  <c r="X49" i="14"/>
  <c r="X42" i="14"/>
  <c r="X43" i="14"/>
  <c r="X44" i="14"/>
  <c r="X48" i="14"/>
  <c r="X50" i="14"/>
  <c r="X39" i="14"/>
  <c r="X47" i="14"/>
  <c r="X41" i="14"/>
  <c r="X51" i="14"/>
  <c r="X37" i="14"/>
  <c r="X45" i="14"/>
  <c r="X21" i="14"/>
  <c r="X29" i="14"/>
  <c r="X32" i="14"/>
  <c r="X27" i="14"/>
  <c r="X24" i="14"/>
  <c r="X22" i="14"/>
  <c r="X30" i="14"/>
  <c r="X34" i="14"/>
  <c r="X28" i="14"/>
  <c r="X26" i="14"/>
  <c r="X23" i="14"/>
  <c r="X31" i="14"/>
  <c r="X20" i="14"/>
  <c r="X25" i="14"/>
  <c r="X33" i="14"/>
  <c r="Y21" i="14"/>
  <c r="Y29" i="14"/>
  <c r="Y23" i="14"/>
  <c r="Y20" i="14"/>
  <c r="Y34" i="14"/>
  <c r="Y22" i="14"/>
  <c r="Y30" i="14"/>
  <c r="Y31" i="14"/>
  <c r="Y24" i="14"/>
  <c r="Y32" i="14"/>
  <c r="Y27" i="14"/>
  <c r="Y26" i="14"/>
  <c r="Y25" i="14"/>
  <c r="Y33" i="14"/>
  <c r="Y28" i="14"/>
  <c r="X16" i="14"/>
  <c r="X17" i="14"/>
  <c r="Y16" i="14"/>
  <c r="Y17" i="14"/>
  <c r="Y15" i="14"/>
  <c r="Y13" i="14"/>
  <c r="Y14" i="14"/>
  <c r="X15" i="14"/>
  <c r="X13" i="14"/>
  <c r="X14" i="14"/>
  <c r="X4" i="14"/>
  <c r="X12" i="14"/>
  <c r="X5" i="14"/>
  <c r="X3" i="14"/>
  <c r="X6" i="14"/>
  <c r="X7" i="14"/>
  <c r="X8" i="14"/>
  <c r="X9" i="14"/>
  <c r="X10" i="14"/>
  <c r="X11" i="14"/>
  <c r="Y5" i="14"/>
  <c r="Y7" i="14"/>
  <c r="Y9" i="14"/>
  <c r="Y11" i="14"/>
  <c r="Y4" i="14"/>
  <c r="Y12" i="14"/>
  <c r="Y3" i="14"/>
  <c r="Y6" i="14"/>
  <c r="Y8" i="14"/>
  <c r="Y10" i="14"/>
  <c r="G290" i="12"/>
  <c r="H290" i="12"/>
  <c r="M158" i="12"/>
  <c r="O158" i="12" s="1"/>
  <c r="N158" i="12"/>
  <c r="P158" i="12" s="1"/>
  <c r="M243" i="12"/>
  <c r="O243" i="12" s="1"/>
  <c r="N243" i="12"/>
  <c r="P243" i="12" s="1"/>
  <c r="K245" i="12"/>
  <c r="G246" i="12"/>
  <c r="H246" i="12"/>
  <c r="M287" i="12"/>
  <c r="O287" i="12" s="1"/>
  <c r="N287" i="12"/>
  <c r="P287" i="12" s="1"/>
  <c r="K116" i="12"/>
  <c r="J116" i="12"/>
  <c r="K288" i="12"/>
  <c r="J288" i="12"/>
  <c r="J159" i="12"/>
  <c r="K159" i="12"/>
  <c r="J201" i="12"/>
  <c r="K201" i="12"/>
  <c r="K289" i="12"/>
  <c r="J289" i="12"/>
  <c r="G117" i="12"/>
  <c r="H117" i="12"/>
  <c r="J115" i="12"/>
  <c r="K115" i="12"/>
  <c r="K244" i="12"/>
  <c r="J244" i="12"/>
  <c r="G160" i="12"/>
  <c r="H160" i="12"/>
  <c r="G203" i="12"/>
  <c r="H203" i="12"/>
  <c r="E34" i="15"/>
  <c r="G34" i="15" s="1"/>
  <c r="I34" i="15" s="1"/>
  <c r="D34" i="15"/>
  <c r="F34" i="15" s="1"/>
  <c r="H34" i="15" s="1"/>
  <c r="A36" i="15"/>
  <c r="B35" i="15"/>
  <c r="C35" i="15" s="1"/>
  <c r="D22" i="4"/>
  <c r="C40" i="1" s="1"/>
  <c r="C48" i="1" s="1"/>
  <c r="C56" i="1" s="1"/>
  <c r="L37" i="1"/>
  <c r="E43" i="1" s="1"/>
  <c r="E51" i="1" s="1"/>
  <c r="E62" i="1" s="1"/>
  <c r="R31" i="8"/>
  <c r="L33" i="8"/>
  <c r="N32" i="8"/>
  <c r="S32" i="8" s="1"/>
  <c r="M32" i="8"/>
  <c r="F291" i="12"/>
  <c r="F247" i="12"/>
  <c r="F204" i="12"/>
  <c r="F161" i="12"/>
  <c r="F118" i="12"/>
  <c r="H75" i="12"/>
  <c r="G75" i="12"/>
  <c r="N72" i="12"/>
  <c r="P72" i="12" s="1"/>
  <c r="M72" i="12"/>
  <c r="O72" i="12" s="1"/>
  <c r="J73" i="12"/>
  <c r="K73" i="12"/>
  <c r="I74" i="12"/>
  <c r="F76" i="12"/>
  <c r="F14" i="7"/>
  <c r="N33" i="11"/>
  <c r="P33" i="11" s="1"/>
  <c r="R33" i="11" s="1"/>
  <c r="B11" i="10"/>
  <c r="B14" i="10" s="1"/>
  <c r="B10" i="10"/>
  <c r="B13" i="10" s="1"/>
  <c r="B38" i="10"/>
  <c r="B41" i="10" s="1"/>
  <c r="B39" i="10"/>
  <c r="B42" i="10" s="1"/>
  <c r="N4" i="11"/>
  <c r="P4" i="11" s="1"/>
  <c r="R4" i="11" s="1"/>
  <c r="N3" i="11"/>
  <c r="N6" i="11"/>
  <c r="P6" i="11" s="1"/>
  <c r="R6" i="11" s="1"/>
  <c r="O3" i="11"/>
  <c r="Q3" i="11" s="1"/>
  <c r="S3" i="11" s="1"/>
  <c r="O5" i="11"/>
  <c r="Q5" i="11" s="1"/>
  <c r="S5" i="11" s="1"/>
  <c r="N5" i="11"/>
  <c r="P5" i="11" s="1"/>
  <c r="R5" i="11" s="1"/>
  <c r="O4" i="11"/>
  <c r="Q4" i="11" s="1"/>
  <c r="S4" i="11" s="1"/>
  <c r="N7" i="11"/>
  <c r="P7" i="11" s="1"/>
  <c r="R7" i="11" s="1"/>
  <c r="O6" i="11"/>
  <c r="Q6" i="11" s="1"/>
  <c r="S6" i="11" s="1"/>
  <c r="N8" i="11"/>
  <c r="P8" i="11" s="1"/>
  <c r="R8" i="11" s="1"/>
  <c r="O7" i="11"/>
  <c r="Q7" i="11" s="1"/>
  <c r="S7" i="11" s="1"/>
  <c r="N9" i="11"/>
  <c r="P9" i="11" s="1"/>
  <c r="R9" i="11" s="1"/>
  <c r="O8" i="11"/>
  <c r="Q8" i="11" s="1"/>
  <c r="S8" i="11" s="1"/>
  <c r="N10" i="11"/>
  <c r="P10" i="11" s="1"/>
  <c r="R10" i="11" s="1"/>
  <c r="O9" i="11"/>
  <c r="Q9" i="11" s="1"/>
  <c r="S9" i="11" s="1"/>
  <c r="N11" i="11"/>
  <c r="P11" i="11" s="1"/>
  <c r="R11" i="11" s="1"/>
  <c r="O10" i="11"/>
  <c r="Q10" i="11" s="1"/>
  <c r="S10" i="11" s="1"/>
  <c r="O11" i="11"/>
  <c r="Q11" i="11" s="1"/>
  <c r="S11" i="11" s="1"/>
  <c r="N12" i="11"/>
  <c r="P12" i="11" s="1"/>
  <c r="R12" i="11" s="1"/>
  <c r="O12" i="11"/>
  <c r="Q12" i="11" s="1"/>
  <c r="S12" i="11" s="1"/>
  <c r="N13" i="11"/>
  <c r="P13" i="11" s="1"/>
  <c r="R13" i="11" s="1"/>
  <c r="O13" i="11"/>
  <c r="Q13" i="11" s="1"/>
  <c r="S13" i="11" s="1"/>
  <c r="N14" i="11"/>
  <c r="P14" i="11" s="1"/>
  <c r="R14" i="11" s="1"/>
  <c r="O14" i="11"/>
  <c r="Q14" i="11" s="1"/>
  <c r="S14" i="11" s="1"/>
  <c r="N18" i="11"/>
  <c r="P18" i="11" s="1"/>
  <c r="R18" i="11" s="1"/>
  <c r="O18" i="11"/>
  <c r="Q18" i="11" s="1"/>
  <c r="S18" i="11" s="1"/>
  <c r="N19" i="11"/>
  <c r="P19" i="11" s="1"/>
  <c r="R19" i="11" s="1"/>
  <c r="N20" i="11"/>
  <c r="P20" i="11" s="1"/>
  <c r="R20" i="11" s="1"/>
  <c r="O19" i="11"/>
  <c r="Q19" i="11" s="1"/>
  <c r="S19" i="11" s="1"/>
  <c r="O20" i="11"/>
  <c r="Q20" i="11" s="1"/>
  <c r="S20" i="11" s="1"/>
  <c r="N21" i="11"/>
  <c r="P21" i="11" s="1"/>
  <c r="R21" i="11" s="1"/>
  <c r="O21" i="11"/>
  <c r="Q21" i="11" s="1"/>
  <c r="S21" i="11" s="1"/>
  <c r="N22" i="11"/>
  <c r="P22" i="11" s="1"/>
  <c r="R22" i="11" s="1"/>
  <c r="O22" i="11"/>
  <c r="Q22" i="11" s="1"/>
  <c r="S22" i="11" s="1"/>
  <c r="N23" i="11"/>
  <c r="P23" i="11" s="1"/>
  <c r="R23" i="11" s="1"/>
  <c r="N24" i="11"/>
  <c r="P24" i="11" s="1"/>
  <c r="R24" i="11" s="1"/>
  <c r="O23" i="11"/>
  <c r="Q23" i="11" s="1"/>
  <c r="S23" i="11" s="1"/>
  <c r="O24" i="11"/>
  <c r="Q24" i="11" s="1"/>
  <c r="S24" i="11" s="1"/>
  <c r="N25" i="11"/>
  <c r="P25" i="11" s="1"/>
  <c r="R25" i="11" s="1"/>
  <c r="O25" i="11"/>
  <c r="Q25" i="11" s="1"/>
  <c r="S25" i="11" s="1"/>
  <c r="N26" i="11"/>
  <c r="P26" i="11" s="1"/>
  <c r="R26" i="11" s="1"/>
  <c r="O26" i="11"/>
  <c r="Q26" i="11" s="1"/>
  <c r="S26" i="11" s="1"/>
  <c r="N27" i="11"/>
  <c r="P27" i="11" s="1"/>
  <c r="R27" i="11" s="1"/>
  <c r="N28" i="11"/>
  <c r="P28" i="11" s="1"/>
  <c r="R28" i="11" s="1"/>
  <c r="O27" i="11"/>
  <c r="Q27" i="11" s="1"/>
  <c r="S27" i="11" s="1"/>
  <c r="O28" i="11"/>
  <c r="Q28" i="11" s="1"/>
  <c r="S28" i="11" s="1"/>
  <c r="N29" i="11"/>
  <c r="P29" i="11" s="1"/>
  <c r="R29" i="11" s="1"/>
  <c r="N30" i="11"/>
  <c r="P30" i="11" s="1"/>
  <c r="R30" i="11" s="1"/>
  <c r="O29" i="11"/>
  <c r="Q29" i="11" s="1"/>
  <c r="S29" i="11" s="1"/>
  <c r="O30" i="11"/>
  <c r="Q30" i="11" s="1"/>
  <c r="S30" i="11" s="1"/>
  <c r="N31" i="11"/>
  <c r="P31" i="11" s="1"/>
  <c r="R31" i="11" s="1"/>
  <c r="N32" i="11"/>
  <c r="P32" i="11" s="1"/>
  <c r="R32" i="11" s="1"/>
  <c r="O31" i="11"/>
  <c r="Q31" i="11" s="1"/>
  <c r="S31" i="11" s="1"/>
  <c r="L35" i="11"/>
  <c r="N34" i="11"/>
  <c r="P34" i="11" s="1"/>
  <c r="R34" i="11" s="1"/>
  <c r="O33" i="11"/>
  <c r="Q33" i="11" s="1"/>
  <c r="S33" i="11" s="1"/>
  <c r="M34" i="11"/>
  <c r="C31" i="1"/>
  <c r="B4" i="7"/>
  <c r="B6" i="7" s="1"/>
  <c r="F5" i="7"/>
  <c r="F7" i="7" s="1"/>
  <c r="E42" i="1"/>
  <c r="E50" i="1" s="1"/>
  <c r="E57" i="1" s="1"/>
  <c r="C50" i="1"/>
  <c r="K202" i="12" l="1"/>
  <c r="I160" i="12"/>
  <c r="I10" i="7"/>
  <c r="U35" i="11"/>
  <c r="Z35" i="11" s="1"/>
  <c r="W35" i="11"/>
  <c r="AB35" i="11" s="1"/>
  <c r="V34" i="11"/>
  <c r="AA34" i="11" s="1"/>
  <c r="X34" i="11"/>
  <c r="AC34" i="11" s="1"/>
  <c r="P3" i="11"/>
  <c r="R3" i="11" s="1"/>
  <c r="BA25" i="14"/>
  <c r="BA30" i="14"/>
  <c r="BA13" i="14"/>
  <c r="BA11" i="14"/>
  <c r="BA3" i="14"/>
  <c r="BA12" i="14"/>
  <c r="BA23" i="14"/>
  <c r="BA22" i="14"/>
  <c r="BA31" i="14"/>
  <c r="BA6" i="14"/>
  <c r="BA8" i="14"/>
  <c r="BA33" i="14"/>
  <c r="BA24" i="14"/>
  <c r="BA19" i="14"/>
  <c r="BA21" i="14"/>
  <c r="BA27" i="14"/>
  <c r="BA14" i="14"/>
  <c r="BA7" i="14"/>
  <c r="BA29" i="14"/>
  <c r="BA28" i="14"/>
  <c r="BA5" i="14"/>
  <c r="BA16" i="14"/>
  <c r="BA10" i="14"/>
  <c r="BA18" i="14"/>
  <c r="BA20" i="14"/>
  <c r="BA17" i="14"/>
  <c r="BA15" i="14"/>
  <c r="BA26" i="14"/>
  <c r="BA4" i="14"/>
  <c r="BA9" i="14"/>
  <c r="BA32" i="14"/>
  <c r="AZ9" i="14"/>
  <c r="AZ19" i="14"/>
  <c r="AZ15" i="14"/>
  <c r="AZ33" i="14"/>
  <c r="AZ23" i="14"/>
  <c r="AZ31" i="14"/>
  <c r="AZ24" i="14"/>
  <c r="AZ28" i="14"/>
  <c r="AZ18" i="14"/>
  <c r="AZ13" i="14"/>
  <c r="AZ17" i="14"/>
  <c r="AZ5" i="14"/>
  <c r="AZ27" i="14"/>
  <c r="AZ14" i="14"/>
  <c r="AZ6" i="14"/>
  <c r="AZ29" i="14"/>
  <c r="AZ4" i="14"/>
  <c r="AZ12" i="14"/>
  <c r="AZ20" i="14"/>
  <c r="AZ8" i="14"/>
  <c r="AZ16" i="14"/>
  <c r="AZ10" i="14"/>
  <c r="AZ21" i="14"/>
  <c r="AZ26" i="14"/>
  <c r="AZ30" i="14"/>
  <c r="AZ7" i="14"/>
  <c r="AZ3" i="14"/>
  <c r="AZ25" i="14"/>
  <c r="AZ32" i="14"/>
  <c r="AZ11" i="14"/>
  <c r="AZ22" i="14"/>
  <c r="AX36" i="14"/>
  <c r="AY35" i="14"/>
  <c r="AP35" i="14" s="1"/>
  <c r="AR34" i="14"/>
  <c r="AT34" i="14" s="1"/>
  <c r="AV34" i="14" s="1"/>
  <c r="BA34" i="14" s="1"/>
  <c r="AQ34" i="14"/>
  <c r="AS34" i="14" s="1"/>
  <c r="AU34" i="14" s="1"/>
  <c r="AZ34" i="14" s="1"/>
  <c r="K160" i="12"/>
  <c r="J160" i="12"/>
  <c r="N288" i="12"/>
  <c r="P288" i="12" s="1"/>
  <c r="M288" i="12"/>
  <c r="O288" i="12" s="1"/>
  <c r="M244" i="12"/>
  <c r="O244" i="12" s="1"/>
  <c r="N244" i="12"/>
  <c r="P244" i="12" s="1"/>
  <c r="M115" i="12"/>
  <c r="O115" i="12" s="1"/>
  <c r="N115" i="12"/>
  <c r="P115" i="12" s="1"/>
  <c r="G118" i="12"/>
  <c r="H118" i="12"/>
  <c r="N202" i="12"/>
  <c r="P202" i="12" s="1"/>
  <c r="M202" i="12"/>
  <c r="O202" i="12" s="1"/>
  <c r="G161" i="12"/>
  <c r="I161" i="12" s="1"/>
  <c r="H161" i="12"/>
  <c r="H204" i="12"/>
  <c r="G204" i="12"/>
  <c r="G247" i="12"/>
  <c r="H247" i="12"/>
  <c r="I117" i="12"/>
  <c r="H291" i="12"/>
  <c r="G291" i="12"/>
  <c r="I291" i="12" s="1"/>
  <c r="I203" i="12"/>
  <c r="N289" i="12"/>
  <c r="P289" i="12" s="1"/>
  <c r="M289" i="12"/>
  <c r="O289" i="12" s="1"/>
  <c r="M201" i="12"/>
  <c r="O201" i="12" s="1"/>
  <c r="N201" i="12"/>
  <c r="P201" i="12" s="1"/>
  <c r="I246" i="12"/>
  <c r="M116" i="12"/>
  <c r="O116" i="12" s="1"/>
  <c r="N116" i="12"/>
  <c r="P116" i="12" s="1"/>
  <c r="M245" i="12"/>
  <c r="O245" i="12" s="1"/>
  <c r="N245" i="12"/>
  <c r="P245" i="12" s="1"/>
  <c r="N159" i="12"/>
  <c r="P159" i="12" s="1"/>
  <c r="M159" i="12"/>
  <c r="O159" i="12" s="1"/>
  <c r="I290" i="12"/>
  <c r="C43" i="1"/>
  <c r="C51" i="1" s="1"/>
  <c r="C62" i="1" s="1"/>
  <c r="E35" i="15"/>
  <c r="G35" i="15" s="1"/>
  <c r="I35" i="15" s="1"/>
  <c r="D35" i="15"/>
  <c r="F35" i="15" s="1"/>
  <c r="H35" i="15" s="1"/>
  <c r="B36" i="15"/>
  <c r="C36" i="15" s="1"/>
  <c r="A37" i="15"/>
  <c r="R32" i="8"/>
  <c r="L34" i="8"/>
  <c r="M33" i="8"/>
  <c r="N33" i="8"/>
  <c r="S33" i="8" s="1"/>
  <c r="F292" i="12"/>
  <c r="F248" i="12"/>
  <c r="F205" i="12"/>
  <c r="F162" i="12"/>
  <c r="F119" i="12"/>
  <c r="G76" i="12"/>
  <c r="H76" i="12"/>
  <c r="J74" i="12"/>
  <c r="K74" i="12"/>
  <c r="M73" i="12"/>
  <c r="O73" i="12" s="1"/>
  <c r="N73" i="12"/>
  <c r="P73" i="12" s="1"/>
  <c r="I75" i="12"/>
  <c r="F77" i="12"/>
  <c r="F13" i="7"/>
  <c r="F15" i="7" s="1"/>
  <c r="B13" i="7"/>
  <c r="B15" i="7" s="1"/>
  <c r="C47" i="1"/>
  <c r="C60" i="1" s="1"/>
  <c r="F4" i="7"/>
  <c r="F6" i="7" s="1"/>
  <c r="O34" i="11"/>
  <c r="Q34" i="11" s="1"/>
  <c r="S34" i="11" s="1"/>
  <c r="M35" i="11"/>
  <c r="L36" i="11"/>
  <c r="N35" i="11"/>
  <c r="P35" i="11" s="1"/>
  <c r="R35" i="11" s="1"/>
  <c r="B5" i="7"/>
  <c r="B7" i="7" s="1"/>
  <c r="C57" i="1"/>
  <c r="I4" i="8"/>
  <c r="U36" i="11" l="1"/>
  <c r="Z36" i="11" s="1"/>
  <c r="W36" i="11"/>
  <c r="AB36" i="11" s="1"/>
  <c r="V35" i="11"/>
  <c r="AA35" i="11" s="1"/>
  <c r="X35" i="11"/>
  <c r="AC35" i="11" s="1"/>
  <c r="K14" i="2"/>
  <c r="K15" i="2" s="1"/>
  <c r="N18" i="2"/>
  <c r="N15" i="2"/>
  <c r="I7" i="8"/>
  <c r="I15" i="1" s="1"/>
  <c r="AQ35" i="14"/>
  <c r="AS35" i="14" s="1"/>
  <c r="AU35" i="14" s="1"/>
  <c r="AZ35" i="14" s="1"/>
  <c r="AR35" i="14"/>
  <c r="AT35" i="14" s="1"/>
  <c r="AV35" i="14" s="1"/>
  <c r="BA35" i="14" s="1"/>
  <c r="AX37" i="14"/>
  <c r="AY36" i="14"/>
  <c r="AP36" i="14" s="1"/>
  <c r="K161" i="12"/>
  <c r="J161" i="12"/>
  <c r="G292" i="12"/>
  <c r="H292" i="12"/>
  <c r="I118" i="12"/>
  <c r="J203" i="12"/>
  <c r="K203" i="12"/>
  <c r="K117" i="12"/>
  <c r="J117" i="12"/>
  <c r="J291" i="12"/>
  <c r="K291" i="12"/>
  <c r="K290" i="12"/>
  <c r="J290" i="12"/>
  <c r="I247" i="12"/>
  <c r="I204" i="12"/>
  <c r="G248" i="12"/>
  <c r="H248" i="12"/>
  <c r="J246" i="12"/>
  <c r="K246" i="12"/>
  <c r="M160" i="12"/>
  <c r="O160" i="12" s="1"/>
  <c r="N160" i="12"/>
  <c r="P160" i="12" s="1"/>
  <c r="H119" i="12"/>
  <c r="G119" i="12"/>
  <c r="I119" i="12" s="1"/>
  <c r="H162" i="12"/>
  <c r="G162" i="12"/>
  <c r="H205" i="12"/>
  <c r="G205" i="12"/>
  <c r="I205" i="12" s="1"/>
  <c r="I5" i="8"/>
  <c r="E36" i="15"/>
  <c r="G36" i="15" s="1"/>
  <c r="I36" i="15" s="1"/>
  <c r="D36" i="15"/>
  <c r="F36" i="15" s="1"/>
  <c r="H36" i="15" s="1"/>
  <c r="A38" i="15"/>
  <c r="B37" i="15"/>
  <c r="C37" i="15" s="1"/>
  <c r="R33" i="8"/>
  <c r="L35" i="8"/>
  <c r="M34" i="8"/>
  <c r="N34" i="8"/>
  <c r="S34" i="8" s="1"/>
  <c r="F293" i="12"/>
  <c r="F249" i="12"/>
  <c r="F206" i="12"/>
  <c r="F163" i="12"/>
  <c r="F120" i="12"/>
  <c r="J75" i="12"/>
  <c r="K75" i="12"/>
  <c r="N74" i="12"/>
  <c r="P74" i="12" s="1"/>
  <c r="M74" i="12"/>
  <c r="O74" i="12" s="1"/>
  <c r="G77" i="12"/>
  <c r="H77" i="12"/>
  <c r="I76" i="12"/>
  <c r="F78" i="12"/>
  <c r="L37" i="11"/>
  <c r="N36" i="11"/>
  <c r="P36" i="11" s="1"/>
  <c r="R36" i="11" s="1"/>
  <c r="O35" i="11"/>
  <c r="Q35" i="11" s="1"/>
  <c r="S35" i="11" s="1"/>
  <c r="M36" i="11"/>
  <c r="I162" i="12" l="1"/>
  <c r="J162" i="12" s="1"/>
  <c r="U37" i="11"/>
  <c r="Z37" i="11" s="1"/>
  <c r="W37" i="11"/>
  <c r="AB37" i="11" s="1"/>
  <c r="V36" i="11"/>
  <c r="AA36" i="11" s="1"/>
  <c r="X36" i="11"/>
  <c r="AC36" i="11" s="1"/>
  <c r="K18" i="2"/>
  <c r="K16" i="2"/>
  <c r="K17" i="2" s="1"/>
  <c r="I8" i="8"/>
  <c r="I16" i="1" s="1"/>
  <c r="AQ36" i="14"/>
  <c r="AS36" i="14" s="1"/>
  <c r="AU36" i="14" s="1"/>
  <c r="AZ36" i="14" s="1"/>
  <c r="AR36" i="14"/>
  <c r="AT36" i="14" s="1"/>
  <c r="AV36" i="14" s="1"/>
  <c r="BA36" i="14" s="1"/>
  <c r="AX38" i="14"/>
  <c r="AY37" i="14"/>
  <c r="AP37" i="14" s="1"/>
  <c r="K204" i="12"/>
  <c r="J204" i="12"/>
  <c r="K119" i="12"/>
  <c r="J119" i="12"/>
  <c r="J205" i="12"/>
  <c r="K205" i="12"/>
  <c r="H163" i="12"/>
  <c r="G163" i="12"/>
  <c r="I163" i="12" s="1"/>
  <c r="H206" i="12"/>
  <c r="G206" i="12"/>
  <c r="G293" i="12"/>
  <c r="H293" i="12"/>
  <c r="K162" i="12"/>
  <c r="N203" i="12"/>
  <c r="P203" i="12" s="1"/>
  <c r="M203" i="12"/>
  <c r="O203" i="12" s="1"/>
  <c r="J247" i="12"/>
  <c r="K247" i="12"/>
  <c r="G120" i="12"/>
  <c r="I120" i="12" s="1"/>
  <c r="H120" i="12"/>
  <c r="N117" i="12"/>
  <c r="P117" i="12" s="1"/>
  <c r="M117" i="12"/>
  <c r="O117" i="12" s="1"/>
  <c r="K118" i="12"/>
  <c r="J118" i="12"/>
  <c r="N290" i="12"/>
  <c r="P290" i="12" s="1"/>
  <c r="M290" i="12"/>
  <c r="O290" i="12" s="1"/>
  <c r="N291" i="12"/>
  <c r="P291" i="12" s="1"/>
  <c r="M291" i="12"/>
  <c r="O291" i="12" s="1"/>
  <c r="N246" i="12"/>
  <c r="P246" i="12" s="1"/>
  <c r="M246" i="12"/>
  <c r="O246" i="12" s="1"/>
  <c r="I292" i="12"/>
  <c r="N161" i="12"/>
  <c r="P161" i="12" s="1"/>
  <c r="M161" i="12"/>
  <c r="O161" i="12" s="1"/>
  <c r="H249" i="12"/>
  <c r="G249" i="12"/>
  <c r="I249" i="12" s="1"/>
  <c r="I248" i="12"/>
  <c r="B38" i="15"/>
  <c r="C38" i="15" s="1"/>
  <c r="D37" i="15"/>
  <c r="F37" i="15" s="1"/>
  <c r="H37" i="15" s="1"/>
  <c r="E37" i="15"/>
  <c r="G37" i="15" s="1"/>
  <c r="I37" i="15" s="1"/>
  <c r="R34" i="8"/>
  <c r="L36" i="8"/>
  <c r="M35" i="8"/>
  <c r="N35" i="8"/>
  <c r="S35" i="8" s="1"/>
  <c r="F294" i="12"/>
  <c r="F250" i="12"/>
  <c r="F207" i="12"/>
  <c r="F164" i="12"/>
  <c r="F121" i="12"/>
  <c r="H78" i="12"/>
  <c r="G78" i="12"/>
  <c r="K76" i="12"/>
  <c r="J76" i="12"/>
  <c r="I77" i="12"/>
  <c r="M75" i="12"/>
  <c r="O75" i="12" s="1"/>
  <c r="N75" i="12"/>
  <c r="P75" i="12" s="1"/>
  <c r="F79" i="12"/>
  <c r="L38" i="11"/>
  <c r="N37" i="11"/>
  <c r="P37" i="11" s="1"/>
  <c r="R37" i="11" s="1"/>
  <c r="O36" i="11"/>
  <c r="Q36" i="11" s="1"/>
  <c r="S36" i="11" s="1"/>
  <c r="M37" i="11"/>
  <c r="V37" i="11" l="1"/>
  <c r="AA37" i="11" s="1"/>
  <c r="X37" i="11"/>
  <c r="AC37" i="11" s="1"/>
  <c r="U38" i="11"/>
  <c r="Z38" i="11" s="1"/>
  <c r="W38" i="11"/>
  <c r="AB38" i="11" s="1"/>
  <c r="AR37" i="14"/>
  <c r="AT37" i="14" s="1"/>
  <c r="AV37" i="14" s="1"/>
  <c r="BA37" i="14" s="1"/>
  <c r="AQ37" i="14"/>
  <c r="AS37" i="14" s="1"/>
  <c r="AU37" i="14" s="1"/>
  <c r="AZ37" i="14" s="1"/>
  <c r="AY38" i="14"/>
  <c r="AP38" i="14" s="1"/>
  <c r="AX39" i="14"/>
  <c r="H121" i="12"/>
  <c r="G121" i="12"/>
  <c r="J292" i="12"/>
  <c r="K292" i="12"/>
  <c r="H207" i="12"/>
  <c r="G207" i="12"/>
  <c r="I207" i="12" s="1"/>
  <c r="I293" i="12"/>
  <c r="J163" i="12"/>
  <c r="K163" i="12"/>
  <c r="H250" i="12"/>
  <c r="G250" i="12"/>
  <c r="I250" i="12" s="1"/>
  <c r="N118" i="12"/>
  <c r="P118" i="12" s="1"/>
  <c r="M118" i="12"/>
  <c r="O118" i="12" s="1"/>
  <c r="H164" i="12"/>
  <c r="G164" i="12"/>
  <c r="I164" i="12" s="1"/>
  <c r="M205" i="12"/>
  <c r="O205" i="12" s="1"/>
  <c r="N205" i="12"/>
  <c r="P205" i="12" s="1"/>
  <c r="M162" i="12"/>
  <c r="O162" i="12" s="1"/>
  <c r="N162" i="12"/>
  <c r="P162" i="12" s="1"/>
  <c r="H294" i="12"/>
  <c r="G294" i="12"/>
  <c r="I294" i="12" s="1"/>
  <c r="K248" i="12"/>
  <c r="J248" i="12"/>
  <c r="N119" i="12"/>
  <c r="P119" i="12" s="1"/>
  <c r="M119" i="12"/>
  <c r="O119" i="12" s="1"/>
  <c r="K120" i="12"/>
  <c r="J120" i="12"/>
  <c r="I206" i="12"/>
  <c r="N204" i="12"/>
  <c r="P204" i="12" s="1"/>
  <c r="M204" i="12"/>
  <c r="O204" i="12" s="1"/>
  <c r="J249" i="12"/>
  <c r="K249" i="12"/>
  <c r="N247" i="12"/>
  <c r="P247" i="12" s="1"/>
  <c r="M247" i="12"/>
  <c r="O247" i="12" s="1"/>
  <c r="E38" i="15"/>
  <c r="G38" i="15" s="1"/>
  <c r="I38" i="15" s="1"/>
  <c r="D38" i="15"/>
  <c r="F38" i="15" s="1"/>
  <c r="H38" i="15" s="1"/>
  <c r="R35" i="8"/>
  <c r="L37" i="8"/>
  <c r="M36" i="8"/>
  <c r="N36" i="8"/>
  <c r="S36" i="8" s="1"/>
  <c r="F295" i="12"/>
  <c r="F251" i="12"/>
  <c r="F208" i="12"/>
  <c r="F165" i="12"/>
  <c r="F122" i="12"/>
  <c r="J77" i="12"/>
  <c r="K77" i="12"/>
  <c r="H79" i="12"/>
  <c r="G79" i="12"/>
  <c r="M76" i="12"/>
  <c r="O76" i="12" s="1"/>
  <c r="N76" i="12"/>
  <c r="P76" i="12" s="1"/>
  <c r="I78" i="12"/>
  <c r="F80" i="12"/>
  <c r="L39" i="11"/>
  <c r="N38" i="11"/>
  <c r="P38" i="11" s="1"/>
  <c r="R38" i="11" s="1"/>
  <c r="O37" i="11"/>
  <c r="Q37" i="11" s="1"/>
  <c r="S37" i="11" s="1"/>
  <c r="M38" i="11"/>
  <c r="U39" i="11" l="1"/>
  <c r="Z39" i="11" s="1"/>
  <c r="W39" i="11"/>
  <c r="AB39" i="11" s="1"/>
  <c r="V38" i="11"/>
  <c r="AA38" i="11" s="1"/>
  <c r="X38" i="11"/>
  <c r="AC38" i="11" s="1"/>
  <c r="AY39" i="14"/>
  <c r="AP39" i="14" s="1"/>
  <c r="AX40" i="14"/>
  <c r="AR38" i="14"/>
  <c r="AT38" i="14" s="1"/>
  <c r="AV38" i="14" s="1"/>
  <c r="BA38" i="14" s="1"/>
  <c r="AQ38" i="14"/>
  <c r="AS38" i="14" s="1"/>
  <c r="AU38" i="14" s="1"/>
  <c r="AZ38" i="14" s="1"/>
  <c r="K250" i="12"/>
  <c r="J250" i="12"/>
  <c r="K164" i="12"/>
  <c r="J164" i="12"/>
  <c r="G122" i="12"/>
  <c r="H122" i="12"/>
  <c r="N120" i="12"/>
  <c r="P120" i="12" s="1"/>
  <c r="M120" i="12"/>
  <c r="O120" i="12" s="1"/>
  <c r="M163" i="12"/>
  <c r="O163" i="12" s="1"/>
  <c r="N163" i="12"/>
  <c r="P163" i="12" s="1"/>
  <c r="K293" i="12"/>
  <c r="J293" i="12"/>
  <c r="G295" i="12"/>
  <c r="H295" i="12"/>
  <c r="K207" i="12"/>
  <c r="J207" i="12"/>
  <c r="H208" i="12"/>
  <c r="G208" i="12"/>
  <c r="J294" i="12"/>
  <c r="K294" i="12"/>
  <c r="G165" i="12"/>
  <c r="H165" i="12"/>
  <c r="M292" i="12"/>
  <c r="O292" i="12" s="1"/>
  <c r="N292" i="12"/>
  <c r="P292" i="12" s="1"/>
  <c r="K206" i="12"/>
  <c r="J206" i="12"/>
  <c r="G251" i="12"/>
  <c r="H251" i="12"/>
  <c r="N248" i="12"/>
  <c r="P248" i="12" s="1"/>
  <c r="M248" i="12"/>
  <c r="O248" i="12" s="1"/>
  <c r="I121" i="12"/>
  <c r="M249" i="12"/>
  <c r="O249" i="12" s="1"/>
  <c r="N249" i="12"/>
  <c r="P249" i="12" s="1"/>
  <c r="R36" i="8"/>
  <c r="I79" i="12"/>
  <c r="L38" i="8"/>
  <c r="M37" i="8"/>
  <c r="N37" i="8"/>
  <c r="S37" i="8" s="1"/>
  <c r="F296" i="12"/>
  <c r="F252" i="12"/>
  <c r="F209" i="12"/>
  <c r="F166" i="12"/>
  <c r="F123" i="12"/>
  <c r="K79" i="12"/>
  <c r="J79" i="12"/>
  <c r="G80" i="12"/>
  <c r="H80" i="12"/>
  <c r="J78" i="12"/>
  <c r="K78" i="12"/>
  <c r="M77" i="12"/>
  <c r="O77" i="12" s="1"/>
  <c r="N77" i="12"/>
  <c r="P77" i="12" s="1"/>
  <c r="F81" i="12"/>
  <c r="L40" i="11"/>
  <c r="N39" i="11"/>
  <c r="P39" i="11" s="1"/>
  <c r="R39" i="11" s="1"/>
  <c r="O38" i="11"/>
  <c r="Q38" i="11" s="1"/>
  <c r="S38" i="11" s="1"/>
  <c r="M39" i="11"/>
  <c r="I208" i="12" l="1"/>
  <c r="V39" i="11"/>
  <c r="AA39" i="11" s="1"/>
  <c r="X39" i="11"/>
  <c r="AC39" i="11" s="1"/>
  <c r="U40" i="11"/>
  <c r="Z40" i="11" s="1"/>
  <c r="W40" i="11"/>
  <c r="AB40" i="11" s="1"/>
  <c r="AX41" i="14"/>
  <c r="AY40" i="14"/>
  <c r="AP40" i="14" s="1"/>
  <c r="AR39" i="14"/>
  <c r="AT39" i="14" s="1"/>
  <c r="AV39" i="14" s="1"/>
  <c r="BA39" i="14" s="1"/>
  <c r="AQ39" i="14"/>
  <c r="AS39" i="14" s="1"/>
  <c r="AU39" i="14" s="1"/>
  <c r="AZ39" i="14" s="1"/>
  <c r="I295" i="12"/>
  <c r="H209" i="12"/>
  <c r="G209" i="12"/>
  <c r="I209" i="12" s="1"/>
  <c r="G252" i="12"/>
  <c r="H252" i="12"/>
  <c r="I122" i="12"/>
  <c r="M293" i="12"/>
  <c r="O293" i="12" s="1"/>
  <c r="N293" i="12"/>
  <c r="P293" i="12" s="1"/>
  <c r="N164" i="12"/>
  <c r="P164" i="12" s="1"/>
  <c r="M164" i="12"/>
  <c r="O164" i="12" s="1"/>
  <c r="N206" i="12"/>
  <c r="P206" i="12" s="1"/>
  <c r="M206" i="12"/>
  <c r="O206" i="12" s="1"/>
  <c r="M294" i="12"/>
  <c r="O294" i="12" s="1"/>
  <c r="N294" i="12"/>
  <c r="P294" i="12" s="1"/>
  <c r="N207" i="12"/>
  <c r="P207" i="12" s="1"/>
  <c r="M207" i="12"/>
  <c r="O207" i="12" s="1"/>
  <c r="H123" i="12"/>
  <c r="G123" i="12"/>
  <c r="I123" i="12" s="1"/>
  <c r="G166" i="12"/>
  <c r="H166" i="12"/>
  <c r="G296" i="12"/>
  <c r="H296" i="12"/>
  <c r="I165" i="12"/>
  <c r="J208" i="12"/>
  <c r="K208" i="12"/>
  <c r="N250" i="12"/>
  <c r="P250" i="12" s="1"/>
  <c r="M250" i="12"/>
  <c r="O250" i="12" s="1"/>
  <c r="J121" i="12"/>
  <c r="K121" i="12"/>
  <c r="I251" i="12"/>
  <c r="R37" i="8"/>
  <c r="L39" i="8"/>
  <c r="M38" i="8"/>
  <c r="N38" i="8"/>
  <c r="S38" i="8" s="1"/>
  <c r="F297" i="12"/>
  <c r="F253" i="12"/>
  <c r="F210" i="12"/>
  <c r="F167" i="12"/>
  <c r="F124" i="12"/>
  <c r="M78" i="12"/>
  <c r="O78" i="12" s="1"/>
  <c r="N78" i="12"/>
  <c r="P78" i="12" s="1"/>
  <c r="I80" i="12"/>
  <c r="M79" i="12"/>
  <c r="O79" i="12" s="1"/>
  <c r="N79" i="12"/>
  <c r="P79" i="12" s="1"/>
  <c r="G81" i="12"/>
  <c r="H81" i="12"/>
  <c r="F82" i="12"/>
  <c r="L41" i="11"/>
  <c r="N40" i="11"/>
  <c r="P40" i="11" s="1"/>
  <c r="R40" i="11" s="1"/>
  <c r="O39" i="11"/>
  <c r="Q39" i="11" s="1"/>
  <c r="S39" i="11" s="1"/>
  <c r="M40" i="11"/>
  <c r="U41" i="11" l="1"/>
  <c r="Z41" i="11" s="1"/>
  <c r="W41" i="11"/>
  <c r="AB41" i="11" s="1"/>
  <c r="V40" i="11"/>
  <c r="AA40" i="11" s="1"/>
  <c r="X40" i="11"/>
  <c r="AC40" i="11" s="1"/>
  <c r="AQ40" i="14"/>
  <c r="AS40" i="14" s="1"/>
  <c r="AU40" i="14" s="1"/>
  <c r="AZ40" i="14" s="1"/>
  <c r="AR40" i="14"/>
  <c r="AT40" i="14" s="1"/>
  <c r="AV40" i="14" s="1"/>
  <c r="BA40" i="14" s="1"/>
  <c r="AX42" i="14"/>
  <c r="AY41" i="14"/>
  <c r="AP41" i="14" s="1"/>
  <c r="K165" i="12"/>
  <c r="J165" i="12"/>
  <c r="K122" i="12"/>
  <c r="J122" i="12"/>
  <c r="N121" i="12"/>
  <c r="P121" i="12" s="1"/>
  <c r="M121" i="12"/>
  <c r="O121" i="12" s="1"/>
  <c r="M208" i="12"/>
  <c r="O208" i="12" s="1"/>
  <c r="N208" i="12"/>
  <c r="P208" i="12" s="1"/>
  <c r="I296" i="12"/>
  <c r="H124" i="12"/>
  <c r="G124" i="12"/>
  <c r="G210" i="12"/>
  <c r="H210" i="12"/>
  <c r="G253" i="12"/>
  <c r="H253" i="12"/>
  <c r="I252" i="12"/>
  <c r="J251" i="12"/>
  <c r="K251" i="12"/>
  <c r="H167" i="12"/>
  <c r="G167" i="12"/>
  <c r="H297" i="12"/>
  <c r="G297" i="12"/>
  <c r="I297" i="12" s="1"/>
  <c r="I166" i="12"/>
  <c r="K209" i="12"/>
  <c r="J209" i="12"/>
  <c r="K123" i="12"/>
  <c r="J123" i="12"/>
  <c r="K295" i="12"/>
  <c r="J295" i="12"/>
  <c r="R38" i="8"/>
  <c r="L40" i="8"/>
  <c r="N39" i="8"/>
  <c r="S39" i="8" s="1"/>
  <c r="M39" i="8"/>
  <c r="I81" i="12"/>
  <c r="K81" i="12" s="1"/>
  <c r="F298" i="12"/>
  <c r="F254" i="12"/>
  <c r="F211" i="12"/>
  <c r="F168" i="12"/>
  <c r="F125" i="12"/>
  <c r="G82" i="12"/>
  <c r="H82" i="12"/>
  <c r="K80" i="12"/>
  <c r="J80" i="12"/>
  <c r="F83" i="12"/>
  <c r="O40" i="11"/>
  <c r="Q40" i="11" s="1"/>
  <c r="S40" i="11" s="1"/>
  <c r="M41" i="11"/>
  <c r="L42" i="11"/>
  <c r="N41" i="11"/>
  <c r="P41" i="11" s="1"/>
  <c r="R41" i="11" s="1"/>
  <c r="U42" i="11" l="1"/>
  <c r="Z42" i="11" s="1"/>
  <c r="W42" i="11"/>
  <c r="AB42" i="11" s="1"/>
  <c r="V41" i="11"/>
  <c r="AA41" i="11" s="1"/>
  <c r="X41" i="11"/>
  <c r="AC41" i="11" s="1"/>
  <c r="AR41" i="14"/>
  <c r="AT41" i="14" s="1"/>
  <c r="AV41" i="14" s="1"/>
  <c r="BA41" i="14" s="1"/>
  <c r="AQ41" i="14"/>
  <c r="AS41" i="14" s="1"/>
  <c r="AU41" i="14" s="1"/>
  <c r="AZ41" i="14" s="1"/>
  <c r="AX43" i="14"/>
  <c r="AY42" i="14"/>
  <c r="AP42" i="14" s="1"/>
  <c r="K252" i="12"/>
  <c r="J252" i="12"/>
  <c r="N295" i="12"/>
  <c r="P295" i="12" s="1"/>
  <c r="M295" i="12"/>
  <c r="O295" i="12" s="1"/>
  <c r="J166" i="12"/>
  <c r="K166" i="12"/>
  <c r="I210" i="12"/>
  <c r="I167" i="12"/>
  <c r="M122" i="12"/>
  <c r="O122" i="12" s="1"/>
  <c r="N122" i="12"/>
  <c r="P122" i="12" s="1"/>
  <c r="H125" i="12"/>
  <c r="G125" i="12"/>
  <c r="I253" i="12"/>
  <c r="M123" i="12"/>
  <c r="O123" i="12" s="1"/>
  <c r="N123" i="12"/>
  <c r="P123" i="12" s="1"/>
  <c r="K296" i="12"/>
  <c r="J296" i="12"/>
  <c r="K297" i="12"/>
  <c r="J297" i="12"/>
  <c r="N165" i="12"/>
  <c r="P165" i="12" s="1"/>
  <c r="M165" i="12"/>
  <c r="O165" i="12" s="1"/>
  <c r="I124" i="12"/>
  <c r="M209" i="12"/>
  <c r="O209" i="12" s="1"/>
  <c r="N209" i="12"/>
  <c r="P209" i="12" s="1"/>
  <c r="G168" i="12"/>
  <c r="H168" i="12"/>
  <c r="G211" i="12"/>
  <c r="H211" i="12"/>
  <c r="G254" i="12"/>
  <c r="H254" i="12"/>
  <c r="H298" i="12"/>
  <c r="G298" i="12"/>
  <c r="I298" i="12" s="1"/>
  <c r="N251" i="12"/>
  <c r="P251" i="12" s="1"/>
  <c r="M251" i="12"/>
  <c r="O251" i="12" s="1"/>
  <c r="L41" i="8"/>
  <c r="M40" i="8"/>
  <c r="N40" i="8"/>
  <c r="S40" i="8" s="1"/>
  <c r="R39" i="8"/>
  <c r="J81" i="12"/>
  <c r="M81" i="12" s="1"/>
  <c r="O81" i="12" s="1"/>
  <c r="I82" i="12"/>
  <c r="K82" i="12" s="1"/>
  <c r="F299" i="12"/>
  <c r="F255" i="12"/>
  <c r="F212" i="12"/>
  <c r="F169" i="12"/>
  <c r="F126" i="12"/>
  <c r="H83" i="12"/>
  <c r="G83" i="12"/>
  <c r="M80" i="12"/>
  <c r="O80" i="12" s="1"/>
  <c r="N80" i="12"/>
  <c r="P80" i="12" s="1"/>
  <c r="F84" i="12"/>
  <c r="L43" i="11"/>
  <c r="N42" i="11"/>
  <c r="P42" i="11" s="1"/>
  <c r="R42" i="11" s="1"/>
  <c r="O41" i="11"/>
  <c r="Q41" i="11" s="1"/>
  <c r="S41" i="11" s="1"/>
  <c r="M42" i="11"/>
  <c r="I125" i="12" l="1"/>
  <c r="U43" i="11"/>
  <c r="Z43" i="11" s="1"/>
  <c r="W43" i="11"/>
  <c r="AB43" i="11" s="1"/>
  <c r="V42" i="11"/>
  <c r="AA42" i="11" s="1"/>
  <c r="X42" i="11"/>
  <c r="AC42" i="11" s="1"/>
  <c r="AR42" i="14"/>
  <c r="AT42" i="14" s="1"/>
  <c r="AV42" i="14" s="1"/>
  <c r="BA42" i="14" s="1"/>
  <c r="AQ42" i="14"/>
  <c r="AS42" i="14" s="1"/>
  <c r="AU42" i="14" s="1"/>
  <c r="AZ42" i="14" s="1"/>
  <c r="AY43" i="14"/>
  <c r="AP43" i="14" s="1"/>
  <c r="AX44" i="14"/>
  <c r="J125" i="12"/>
  <c r="K125" i="12"/>
  <c r="K167" i="12"/>
  <c r="J167" i="12"/>
  <c r="I211" i="12"/>
  <c r="G299" i="12"/>
  <c r="H299" i="12"/>
  <c r="K210" i="12"/>
  <c r="J210" i="12"/>
  <c r="K124" i="12"/>
  <c r="J124" i="12"/>
  <c r="K253" i="12"/>
  <c r="J253" i="12"/>
  <c r="H169" i="12"/>
  <c r="G169" i="12"/>
  <c r="I168" i="12"/>
  <c r="M166" i="12"/>
  <c r="O166" i="12" s="1"/>
  <c r="N166" i="12"/>
  <c r="P166" i="12" s="1"/>
  <c r="J298" i="12"/>
  <c r="K298" i="12"/>
  <c r="G212" i="12"/>
  <c r="H212" i="12"/>
  <c r="G255" i="12"/>
  <c r="H255" i="12"/>
  <c r="I254" i="12"/>
  <c r="N297" i="12"/>
  <c r="P297" i="12" s="1"/>
  <c r="M297" i="12"/>
  <c r="O297" i="12" s="1"/>
  <c r="G126" i="12"/>
  <c r="H126" i="12"/>
  <c r="N252" i="12"/>
  <c r="P252" i="12" s="1"/>
  <c r="M252" i="12"/>
  <c r="O252" i="12" s="1"/>
  <c r="N296" i="12"/>
  <c r="P296" i="12" s="1"/>
  <c r="M296" i="12"/>
  <c r="O296" i="12" s="1"/>
  <c r="J82" i="12"/>
  <c r="M82" i="12" s="1"/>
  <c r="O82" i="12" s="1"/>
  <c r="N81" i="12"/>
  <c r="P81" i="12" s="1"/>
  <c r="R40" i="8"/>
  <c r="L42" i="8"/>
  <c r="M41" i="8"/>
  <c r="N41" i="8"/>
  <c r="S41" i="8" s="1"/>
  <c r="I83" i="12"/>
  <c r="J83" i="12" s="1"/>
  <c r="F300" i="12"/>
  <c r="F256" i="12"/>
  <c r="F213" i="12"/>
  <c r="F170" i="12"/>
  <c r="F127" i="12"/>
  <c r="N82" i="12"/>
  <c r="P82" i="12" s="1"/>
  <c r="G84" i="12"/>
  <c r="H84" i="12"/>
  <c r="F85" i="12"/>
  <c r="O42" i="11"/>
  <c r="Q42" i="11" s="1"/>
  <c r="S42" i="11" s="1"/>
  <c r="M43" i="11"/>
  <c r="L44" i="11"/>
  <c r="N43" i="11"/>
  <c r="P43" i="11" s="1"/>
  <c r="R43" i="11" s="1"/>
  <c r="I169" i="12" l="1"/>
  <c r="J169" i="12" s="1"/>
  <c r="U44" i="11"/>
  <c r="Z44" i="11" s="1"/>
  <c r="W44" i="11"/>
  <c r="AB44" i="11" s="1"/>
  <c r="V43" i="11"/>
  <c r="AA43" i="11" s="1"/>
  <c r="X43" i="11"/>
  <c r="AC43" i="11" s="1"/>
  <c r="AX45" i="14"/>
  <c r="AY44" i="14"/>
  <c r="AP44" i="14" s="1"/>
  <c r="AR43" i="14"/>
  <c r="AT43" i="14" s="1"/>
  <c r="AV43" i="14" s="1"/>
  <c r="BA43" i="14" s="1"/>
  <c r="AQ43" i="14"/>
  <c r="AS43" i="14" s="1"/>
  <c r="AU43" i="14" s="1"/>
  <c r="AZ43" i="14" s="1"/>
  <c r="M124" i="12"/>
  <c r="O124" i="12" s="1"/>
  <c r="N124" i="12"/>
  <c r="P124" i="12" s="1"/>
  <c r="J254" i="12"/>
  <c r="K254" i="12"/>
  <c r="N210" i="12"/>
  <c r="P210" i="12" s="1"/>
  <c r="M210" i="12"/>
  <c r="O210" i="12" s="1"/>
  <c r="N253" i="12"/>
  <c r="P253" i="12" s="1"/>
  <c r="M253" i="12"/>
  <c r="O253" i="12" s="1"/>
  <c r="G213" i="12"/>
  <c r="H213" i="12"/>
  <c r="K168" i="12"/>
  <c r="J168" i="12"/>
  <c r="H127" i="12"/>
  <c r="G127" i="12"/>
  <c r="I299" i="12"/>
  <c r="I212" i="12"/>
  <c r="J211" i="12"/>
  <c r="K211" i="12"/>
  <c r="I255" i="12"/>
  <c r="N167" i="12"/>
  <c r="P167" i="12" s="1"/>
  <c r="M167" i="12"/>
  <c r="O167" i="12" s="1"/>
  <c r="I126" i="12"/>
  <c r="N298" i="12"/>
  <c r="P298" i="12" s="1"/>
  <c r="M298" i="12"/>
  <c r="O298" i="12" s="1"/>
  <c r="H170" i="12"/>
  <c r="G170" i="12"/>
  <c r="I170" i="12" s="1"/>
  <c r="G256" i="12"/>
  <c r="H256" i="12"/>
  <c r="G300" i="12"/>
  <c r="H300" i="12"/>
  <c r="N125" i="12"/>
  <c r="P125" i="12" s="1"/>
  <c r="M125" i="12"/>
  <c r="O125" i="12" s="1"/>
  <c r="K83" i="12"/>
  <c r="M42" i="8"/>
  <c r="N42" i="8"/>
  <c r="S42" i="8" s="1"/>
  <c r="R41" i="8"/>
  <c r="I84" i="12"/>
  <c r="J84" i="12" s="1"/>
  <c r="F257" i="12"/>
  <c r="F214" i="12"/>
  <c r="F171" i="12"/>
  <c r="F128" i="12"/>
  <c r="G85" i="12"/>
  <c r="H85" i="12"/>
  <c r="M83" i="12"/>
  <c r="O83" i="12" s="1"/>
  <c r="N83" i="12"/>
  <c r="P83" i="12" s="1"/>
  <c r="L45" i="11"/>
  <c r="N44" i="11"/>
  <c r="P44" i="11" s="1"/>
  <c r="R44" i="11" s="1"/>
  <c r="O43" i="11"/>
  <c r="Q43" i="11" s="1"/>
  <c r="S43" i="11" s="1"/>
  <c r="M44" i="11"/>
  <c r="I300" i="12" l="1"/>
  <c r="K169" i="12"/>
  <c r="U45" i="11"/>
  <c r="Z45" i="11" s="1"/>
  <c r="W45" i="11"/>
  <c r="AB45" i="11" s="1"/>
  <c r="V44" i="11"/>
  <c r="AA44" i="11" s="1"/>
  <c r="X44" i="11"/>
  <c r="AC44" i="11" s="1"/>
  <c r="AQ44" i="14"/>
  <c r="AS44" i="14" s="1"/>
  <c r="AU44" i="14" s="1"/>
  <c r="AZ44" i="14" s="1"/>
  <c r="AR44" i="14"/>
  <c r="AT44" i="14" s="1"/>
  <c r="AV44" i="14" s="1"/>
  <c r="BA44" i="14" s="1"/>
  <c r="AY45" i="14"/>
  <c r="AP45" i="14" s="1"/>
  <c r="AX46" i="14"/>
  <c r="K300" i="12"/>
  <c r="J300" i="12"/>
  <c r="H171" i="12"/>
  <c r="G171" i="12"/>
  <c r="I171" i="12" s="1"/>
  <c r="J126" i="12"/>
  <c r="K126" i="12"/>
  <c r="G128" i="12"/>
  <c r="H128" i="12"/>
  <c r="K170" i="12"/>
  <c r="J170" i="12"/>
  <c r="H257" i="12"/>
  <c r="G257" i="12"/>
  <c r="I257" i="12" s="1"/>
  <c r="I213" i="12"/>
  <c r="J255" i="12"/>
  <c r="K255" i="12"/>
  <c r="N254" i="12"/>
  <c r="P254" i="12" s="1"/>
  <c r="M254" i="12"/>
  <c r="O254" i="12" s="1"/>
  <c r="N168" i="12"/>
  <c r="P168" i="12" s="1"/>
  <c r="M168" i="12"/>
  <c r="O168" i="12" s="1"/>
  <c r="I127" i="12"/>
  <c r="G214" i="12"/>
  <c r="H214" i="12"/>
  <c r="N211" i="12"/>
  <c r="P211" i="12" s="1"/>
  <c r="M211" i="12"/>
  <c r="O211" i="12" s="1"/>
  <c r="N169" i="12"/>
  <c r="P169" i="12" s="1"/>
  <c r="M169" i="12"/>
  <c r="O169" i="12" s="1"/>
  <c r="K212" i="12"/>
  <c r="J212" i="12"/>
  <c r="I256" i="12"/>
  <c r="K299" i="12"/>
  <c r="J299" i="12"/>
  <c r="K84" i="12"/>
  <c r="R42" i="8"/>
  <c r="I85" i="12"/>
  <c r="K85" i="12" s="1"/>
  <c r="M84" i="12"/>
  <c r="O84" i="12" s="1"/>
  <c r="N84" i="12"/>
  <c r="P84" i="12" s="1"/>
  <c r="L46" i="11"/>
  <c r="N45" i="11"/>
  <c r="P45" i="11" s="1"/>
  <c r="R45" i="11" s="1"/>
  <c r="O44" i="11"/>
  <c r="Q44" i="11" s="1"/>
  <c r="S44" i="11" s="1"/>
  <c r="M45" i="11"/>
  <c r="V45" i="11" l="1"/>
  <c r="AA45" i="11" s="1"/>
  <c r="X45" i="11"/>
  <c r="AC45" i="11" s="1"/>
  <c r="U46" i="11"/>
  <c r="Z46" i="11" s="1"/>
  <c r="W46" i="11"/>
  <c r="AB46" i="11" s="1"/>
  <c r="AX47" i="14"/>
  <c r="AY46" i="14"/>
  <c r="AP46" i="14" s="1"/>
  <c r="AQ45" i="14"/>
  <c r="AS45" i="14" s="1"/>
  <c r="AU45" i="14" s="1"/>
  <c r="AZ45" i="14" s="1"/>
  <c r="AR45" i="14"/>
  <c r="AT45" i="14" s="1"/>
  <c r="AV45" i="14" s="1"/>
  <c r="BA45" i="14" s="1"/>
  <c r="N212" i="12"/>
  <c r="P212" i="12" s="1"/>
  <c r="M212" i="12"/>
  <c r="O212" i="12" s="1"/>
  <c r="M299" i="12"/>
  <c r="O299" i="12" s="1"/>
  <c r="N299" i="12"/>
  <c r="P299" i="12" s="1"/>
  <c r="K213" i="12"/>
  <c r="J213" i="12"/>
  <c r="N170" i="12"/>
  <c r="P170" i="12" s="1"/>
  <c r="M170" i="12"/>
  <c r="O170" i="12" s="1"/>
  <c r="I128" i="12"/>
  <c r="I214" i="12"/>
  <c r="N126" i="12"/>
  <c r="P126" i="12" s="1"/>
  <c r="M126" i="12"/>
  <c r="O126" i="12" s="1"/>
  <c r="K256" i="12"/>
  <c r="J256" i="12"/>
  <c r="J171" i="12"/>
  <c r="K171" i="12"/>
  <c r="J257" i="12"/>
  <c r="K257" i="12"/>
  <c r="M300" i="12"/>
  <c r="O300" i="12" s="1"/>
  <c r="N300" i="12"/>
  <c r="P300" i="12" s="1"/>
  <c r="N255" i="12"/>
  <c r="P255" i="12" s="1"/>
  <c r="M255" i="12"/>
  <c r="O255" i="12" s="1"/>
  <c r="J127" i="12"/>
  <c r="K127" i="12"/>
  <c r="J85" i="12"/>
  <c r="M85" i="12" s="1"/>
  <c r="O85" i="12" s="1"/>
  <c r="O45" i="11"/>
  <c r="Q45" i="11" s="1"/>
  <c r="S45" i="11" s="1"/>
  <c r="M46" i="11"/>
  <c r="L47" i="11"/>
  <c r="N46" i="11"/>
  <c r="P46" i="11" s="1"/>
  <c r="R46" i="11" s="1"/>
  <c r="U47" i="11" l="1"/>
  <c r="Z47" i="11" s="1"/>
  <c r="W47" i="11"/>
  <c r="AB47" i="11" s="1"/>
  <c r="V46" i="11"/>
  <c r="AA46" i="11" s="1"/>
  <c r="X46" i="11"/>
  <c r="AC46" i="11" s="1"/>
  <c r="AR46" i="14"/>
  <c r="AT46" i="14" s="1"/>
  <c r="AV46" i="14" s="1"/>
  <c r="BA46" i="14" s="1"/>
  <c r="AQ46" i="14"/>
  <c r="AS46" i="14" s="1"/>
  <c r="AU46" i="14" s="1"/>
  <c r="AZ46" i="14" s="1"/>
  <c r="AX48" i="14"/>
  <c r="AY47" i="14"/>
  <c r="AP47" i="14" s="1"/>
  <c r="M171" i="12"/>
  <c r="O171" i="12" s="1"/>
  <c r="N171" i="12"/>
  <c r="P171" i="12" s="1"/>
  <c r="K128" i="12"/>
  <c r="J128" i="12"/>
  <c r="J214" i="12"/>
  <c r="K214" i="12"/>
  <c r="N127" i="12"/>
  <c r="P127" i="12" s="1"/>
  <c r="M127" i="12"/>
  <c r="O127" i="12" s="1"/>
  <c r="N256" i="12"/>
  <c r="P256" i="12" s="1"/>
  <c r="M256" i="12"/>
  <c r="O256" i="12" s="1"/>
  <c r="M213" i="12"/>
  <c r="O213" i="12" s="1"/>
  <c r="N213" i="12"/>
  <c r="P213" i="12" s="1"/>
  <c r="M257" i="12"/>
  <c r="O257" i="12" s="1"/>
  <c r="N257" i="12"/>
  <c r="P257" i="12" s="1"/>
  <c r="N85" i="12"/>
  <c r="P85" i="12" s="1"/>
  <c r="O46" i="11"/>
  <c r="Q46" i="11" s="1"/>
  <c r="S46" i="11" s="1"/>
  <c r="M47" i="11"/>
  <c r="L48" i="11"/>
  <c r="N47" i="11"/>
  <c r="P47" i="11" s="1"/>
  <c r="R47" i="11" s="1"/>
  <c r="U48" i="11" l="1"/>
  <c r="Z48" i="11" s="1"/>
  <c r="W48" i="11"/>
  <c r="AB48" i="11" s="1"/>
  <c r="V47" i="11"/>
  <c r="AA47" i="11" s="1"/>
  <c r="X47" i="11"/>
  <c r="AC47" i="11" s="1"/>
  <c r="AR47" i="14"/>
  <c r="AT47" i="14" s="1"/>
  <c r="AV47" i="14" s="1"/>
  <c r="BA47" i="14" s="1"/>
  <c r="AQ47" i="14"/>
  <c r="AS47" i="14" s="1"/>
  <c r="AU47" i="14" s="1"/>
  <c r="AZ47" i="14" s="1"/>
  <c r="AY48" i="14"/>
  <c r="AP48" i="14" s="1"/>
  <c r="AX49" i="14"/>
  <c r="M214" i="12"/>
  <c r="O214" i="12" s="1"/>
  <c r="N214" i="12"/>
  <c r="P214" i="12" s="1"/>
  <c r="M128" i="12"/>
  <c r="O128" i="12" s="1"/>
  <c r="N128" i="12"/>
  <c r="P128" i="12" s="1"/>
  <c r="O47" i="11"/>
  <c r="Q47" i="11" s="1"/>
  <c r="S47" i="11" s="1"/>
  <c r="M48" i="11"/>
  <c r="N48" i="11"/>
  <c r="P48" i="11" s="1"/>
  <c r="R48" i="11" s="1"/>
  <c r="L49" i="11"/>
  <c r="U49" i="11" l="1"/>
  <c r="Z49" i="11" s="1"/>
  <c r="W49" i="11"/>
  <c r="AB49" i="11" s="1"/>
  <c r="V48" i="11"/>
  <c r="AA48" i="11" s="1"/>
  <c r="X48" i="11"/>
  <c r="AC48" i="11" s="1"/>
  <c r="AY49" i="14"/>
  <c r="AP49" i="14" s="1"/>
  <c r="AX50" i="14"/>
  <c r="AR48" i="14"/>
  <c r="AT48" i="14" s="1"/>
  <c r="AV48" i="14" s="1"/>
  <c r="BA48" i="14" s="1"/>
  <c r="AQ48" i="14"/>
  <c r="AS48" i="14" s="1"/>
  <c r="AU48" i="14" s="1"/>
  <c r="AZ48" i="14" s="1"/>
  <c r="N49" i="11"/>
  <c r="P49" i="11" s="1"/>
  <c r="R49" i="11" s="1"/>
  <c r="L50" i="11"/>
  <c r="O48" i="11"/>
  <c r="Q48" i="11" s="1"/>
  <c r="S48" i="11" s="1"/>
  <c r="M49" i="11"/>
  <c r="V49" i="11" l="1"/>
  <c r="AA49" i="11" s="1"/>
  <c r="X49" i="11"/>
  <c r="AC49" i="11" s="1"/>
  <c r="U50" i="11"/>
  <c r="Z50" i="11" s="1"/>
  <c r="W50" i="11"/>
  <c r="AB50" i="11" s="1"/>
  <c r="AY50" i="14"/>
  <c r="AP50" i="14" s="1"/>
  <c r="AX51" i="14"/>
  <c r="AR49" i="14"/>
  <c r="AT49" i="14" s="1"/>
  <c r="AV49" i="14" s="1"/>
  <c r="BA49" i="14" s="1"/>
  <c r="AQ49" i="14"/>
  <c r="AS49" i="14" s="1"/>
  <c r="AU49" i="14" s="1"/>
  <c r="AZ49" i="14" s="1"/>
  <c r="O49" i="11"/>
  <c r="Q49" i="11" s="1"/>
  <c r="S49" i="11" s="1"/>
  <c r="M50" i="11"/>
  <c r="N50" i="11"/>
  <c r="P50" i="11" s="1"/>
  <c r="R50" i="11" s="1"/>
  <c r="L51" i="11"/>
  <c r="U51" i="11" l="1"/>
  <c r="Z51" i="11" s="1"/>
  <c r="W51" i="11"/>
  <c r="AB51" i="11" s="1"/>
  <c r="V50" i="11"/>
  <c r="AA50" i="11" s="1"/>
  <c r="X50" i="11"/>
  <c r="AC50" i="11" s="1"/>
  <c r="AX52" i="14"/>
  <c r="AY51" i="14"/>
  <c r="AP51" i="14" s="1"/>
  <c r="AR50" i="14"/>
  <c r="AT50" i="14" s="1"/>
  <c r="AV50" i="14" s="1"/>
  <c r="BA50" i="14" s="1"/>
  <c r="AQ50" i="14"/>
  <c r="AS50" i="14" s="1"/>
  <c r="AU50" i="14" s="1"/>
  <c r="AZ50" i="14" s="1"/>
  <c r="N51" i="11"/>
  <c r="P51" i="11" s="1"/>
  <c r="R51" i="11" s="1"/>
  <c r="L52" i="11"/>
  <c r="O50" i="11"/>
  <c r="Q50" i="11" s="1"/>
  <c r="S50" i="11" s="1"/>
  <c r="M51" i="11"/>
  <c r="V51" i="11" l="1"/>
  <c r="AA51" i="11" s="1"/>
  <c r="X51" i="11"/>
  <c r="AC51" i="11" s="1"/>
  <c r="U52" i="11"/>
  <c r="Z52" i="11" s="1"/>
  <c r="W52" i="11"/>
  <c r="AB52" i="11" s="1"/>
  <c r="AQ51" i="14"/>
  <c r="AS51" i="14" s="1"/>
  <c r="AU51" i="14" s="1"/>
  <c r="AZ51" i="14" s="1"/>
  <c r="AR51" i="14"/>
  <c r="AT51" i="14" s="1"/>
  <c r="AV51" i="14" s="1"/>
  <c r="BA51" i="14" s="1"/>
  <c r="AX53" i="14"/>
  <c r="AY52" i="14"/>
  <c r="AP52" i="14" s="1"/>
  <c r="O51" i="11"/>
  <c r="Q51" i="11" s="1"/>
  <c r="S51" i="11" s="1"/>
  <c r="M52" i="11"/>
  <c r="N52" i="11"/>
  <c r="P52" i="11" s="1"/>
  <c r="R52" i="11" s="1"/>
  <c r="L53" i="11"/>
  <c r="U53" i="11" l="1"/>
  <c r="Z53" i="11" s="1"/>
  <c r="W53" i="11"/>
  <c r="AB53" i="11" s="1"/>
  <c r="V52" i="11"/>
  <c r="AA52" i="11" s="1"/>
  <c r="X52" i="11"/>
  <c r="AC52" i="11" s="1"/>
  <c r="AQ52" i="14"/>
  <c r="AS52" i="14" s="1"/>
  <c r="AU52" i="14" s="1"/>
  <c r="AZ52" i="14" s="1"/>
  <c r="AR52" i="14"/>
  <c r="AT52" i="14" s="1"/>
  <c r="AV52" i="14" s="1"/>
  <c r="BA52" i="14" s="1"/>
  <c r="AX54" i="14"/>
  <c r="AY53" i="14"/>
  <c r="AP53" i="14" s="1"/>
  <c r="N53" i="11"/>
  <c r="P53" i="11" s="1"/>
  <c r="R53" i="11" s="1"/>
  <c r="L54" i="11"/>
  <c r="O52" i="11"/>
  <c r="Q52" i="11" s="1"/>
  <c r="S52" i="11" s="1"/>
  <c r="M53" i="11"/>
  <c r="V53" i="11" l="1"/>
  <c r="AA53" i="11" s="1"/>
  <c r="X53" i="11"/>
  <c r="AC53" i="11" s="1"/>
  <c r="U54" i="11"/>
  <c r="Z54" i="11" s="1"/>
  <c r="W54" i="11"/>
  <c r="AB54" i="11" s="1"/>
  <c r="AQ53" i="14"/>
  <c r="AS53" i="14" s="1"/>
  <c r="AU53" i="14" s="1"/>
  <c r="AZ53" i="14" s="1"/>
  <c r="AR53" i="14"/>
  <c r="AT53" i="14" s="1"/>
  <c r="AV53" i="14" s="1"/>
  <c r="BA53" i="14" s="1"/>
  <c r="AY54" i="14"/>
  <c r="AP54" i="14" s="1"/>
  <c r="AX55" i="14"/>
  <c r="O53" i="11"/>
  <c r="Q53" i="11" s="1"/>
  <c r="S53" i="11" s="1"/>
  <c r="M54" i="11"/>
  <c r="N54" i="11"/>
  <c r="P54" i="11" s="1"/>
  <c r="R54" i="11" s="1"/>
  <c r="L55" i="11"/>
  <c r="U55" i="11" l="1"/>
  <c r="Z55" i="11" s="1"/>
  <c r="W55" i="11"/>
  <c r="AB55" i="11" s="1"/>
  <c r="V54" i="11"/>
  <c r="AA54" i="11" s="1"/>
  <c r="X54" i="11"/>
  <c r="AC54" i="11" s="1"/>
  <c r="AR54" i="14"/>
  <c r="AT54" i="14" s="1"/>
  <c r="AV54" i="14" s="1"/>
  <c r="BA54" i="14" s="1"/>
  <c r="AQ54" i="14"/>
  <c r="AS54" i="14" s="1"/>
  <c r="AU54" i="14" s="1"/>
  <c r="AZ54" i="14" s="1"/>
  <c r="AX56" i="14"/>
  <c r="AY55" i="14"/>
  <c r="AP55" i="14" s="1"/>
  <c r="N55" i="11"/>
  <c r="P55" i="11" s="1"/>
  <c r="R55" i="11" s="1"/>
  <c r="L56" i="11"/>
  <c r="O54" i="11"/>
  <c r="Q54" i="11" s="1"/>
  <c r="S54" i="11" s="1"/>
  <c r="M55" i="11"/>
  <c r="V55" i="11" l="1"/>
  <c r="AA55" i="11" s="1"/>
  <c r="X55" i="11"/>
  <c r="AC55" i="11" s="1"/>
  <c r="U56" i="11"/>
  <c r="Z56" i="11" s="1"/>
  <c r="W56" i="11"/>
  <c r="AB56" i="11" s="1"/>
  <c r="AQ55" i="14"/>
  <c r="AS55" i="14" s="1"/>
  <c r="AU55" i="14" s="1"/>
  <c r="AZ55" i="14" s="1"/>
  <c r="AR55" i="14"/>
  <c r="AT55" i="14" s="1"/>
  <c r="AV55" i="14" s="1"/>
  <c r="BA55" i="14" s="1"/>
  <c r="AY56" i="14"/>
  <c r="AP56" i="14" s="1"/>
  <c r="AX57" i="14"/>
  <c r="O55" i="11"/>
  <c r="Q55" i="11" s="1"/>
  <c r="S55" i="11" s="1"/>
  <c r="M56" i="11"/>
  <c r="N56" i="11"/>
  <c r="P56" i="11" s="1"/>
  <c r="R56" i="11" s="1"/>
  <c r="L57" i="11"/>
  <c r="U57" i="11" l="1"/>
  <c r="Z57" i="11" s="1"/>
  <c r="W57" i="11"/>
  <c r="AB57" i="11" s="1"/>
  <c r="V56" i="11"/>
  <c r="AA56" i="11" s="1"/>
  <c r="X56" i="11"/>
  <c r="AC56" i="11" s="1"/>
  <c r="AX58" i="14"/>
  <c r="AY57" i="14"/>
  <c r="AP57" i="14" s="1"/>
  <c r="AR56" i="14"/>
  <c r="AT56" i="14" s="1"/>
  <c r="AV56" i="14" s="1"/>
  <c r="BA56" i="14" s="1"/>
  <c r="AQ56" i="14"/>
  <c r="AS56" i="14" s="1"/>
  <c r="AU56" i="14" s="1"/>
  <c r="AZ56" i="14" s="1"/>
  <c r="N57" i="11"/>
  <c r="P57" i="11" s="1"/>
  <c r="R57" i="11" s="1"/>
  <c r="L58" i="11"/>
  <c r="O56" i="11"/>
  <c r="Q56" i="11" s="1"/>
  <c r="S56" i="11" s="1"/>
  <c r="M57" i="11"/>
  <c r="V57" i="11" l="1"/>
  <c r="AA57" i="11" s="1"/>
  <c r="X57" i="11"/>
  <c r="AC57" i="11" s="1"/>
  <c r="U58" i="11"/>
  <c r="Z58" i="11" s="1"/>
  <c r="W58" i="11"/>
  <c r="AB58" i="11" s="1"/>
  <c r="AR57" i="14"/>
  <c r="AT57" i="14" s="1"/>
  <c r="AV57" i="14" s="1"/>
  <c r="BA57" i="14" s="1"/>
  <c r="AQ57" i="14"/>
  <c r="AS57" i="14" s="1"/>
  <c r="AU57" i="14" s="1"/>
  <c r="AZ57" i="14" s="1"/>
  <c r="AX59" i="14"/>
  <c r="AY58" i="14"/>
  <c r="AP58" i="14" s="1"/>
  <c r="O57" i="11"/>
  <c r="Q57" i="11" s="1"/>
  <c r="S57" i="11" s="1"/>
  <c r="M58" i="11"/>
  <c r="N58" i="11"/>
  <c r="P58" i="11" s="1"/>
  <c r="R58" i="11" s="1"/>
  <c r="L59" i="11"/>
  <c r="U59" i="11" l="1"/>
  <c r="Z59" i="11" s="1"/>
  <c r="W59" i="11"/>
  <c r="AB59" i="11" s="1"/>
  <c r="V58" i="11"/>
  <c r="AA58" i="11" s="1"/>
  <c r="X58" i="11"/>
  <c r="AC58" i="11" s="1"/>
  <c r="AR58" i="14"/>
  <c r="AT58" i="14" s="1"/>
  <c r="AV58" i="14" s="1"/>
  <c r="BA58" i="14" s="1"/>
  <c r="AQ58" i="14"/>
  <c r="AS58" i="14" s="1"/>
  <c r="AU58" i="14" s="1"/>
  <c r="AZ58" i="14" s="1"/>
  <c r="AY59" i="14"/>
  <c r="AP59" i="14" s="1"/>
  <c r="AX60" i="14"/>
  <c r="N59" i="11"/>
  <c r="P59" i="11" s="1"/>
  <c r="R59" i="11" s="1"/>
  <c r="L60" i="11"/>
  <c r="O58" i="11"/>
  <c r="Q58" i="11" s="1"/>
  <c r="S58" i="11" s="1"/>
  <c r="M59" i="11"/>
  <c r="V59" i="11" l="1"/>
  <c r="AA59" i="11" s="1"/>
  <c r="X59" i="11"/>
  <c r="AC59" i="11" s="1"/>
  <c r="U60" i="11"/>
  <c r="Z60" i="11" s="1"/>
  <c r="W60" i="11"/>
  <c r="AB60" i="11" s="1"/>
  <c r="AX61" i="14"/>
  <c r="AY60" i="14"/>
  <c r="AP60" i="14" s="1"/>
  <c r="AR59" i="14"/>
  <c r="AT59" i="14" s="1"/>
  <c r="AV59" i="14" s="1"/>
  <c r="BA59" i="14" s="1"/>
  <c r="AQ59" i="14"/>
  <c r="AS59" i="14" s="1"/>
  <c r="AU59" i="14" s="1"/>
  <c r="AZ59" i="14" s="1"/>
  <c r="O59" i="11"/>
  <c r="Q59" i="11" s="1"/>
  <c r="S59" i="11" s="1"/>
  <c r="M60" i="11"/>
  <c r="N60" i="11"/>
  <c r="P60" i="11" s="1"/>
  <c r="R60" i="11" s="1"/>
  <c r="L61" i="11"/>
  <c r="U61" i="11" l="1"/>
  <c r="Z61" i="11" s="1"/>
  <c r="W61" i="11"/>
  <c r="AB61" i="11" s="1"/>
  <c r="V60" i="11"/>
  <c r="AA60" i="11" s="1"/>
  <c r="X60" i="11"/>
  <c r="AC60" i="11" s="1"/>
  <c r="AR60" i="14"/>
  <c r="AT60" i="14" s="1"/>
  <c r="AV60" i="14" s="1"/>
  <c r="BA60" i="14" s="1"/>
  <c r="AQ60" i="14"/>
  <c r="AS60" i="14" s="1"/>
  <c r="AU60" i="14" s="1"/>
  <c r="AZ60" i="14" s="1"/>
  <c r="AX62" i="14"/>
  <c r="AY61" i="14"/>
  <c r="AP61" i="14" s="1"/>
  <c r="N61" i="11"/>
  <c r="P61" i="11" s="1"/>
  <c r="R61" i="11" s="1"/>
  <c r="L62" i="11"/>
  <c r="O60" i="11"/>
  <c r="Q60" i="11" s="1"/>
  <c r="S60" i="11" s="1"/>
  <c r="M61" i="11"/>
  <c r="V61" i="11" l="1"/>
  <c r="AA61" i="11" s="1"/>
  <c r="X61" i="11"/>
  <c r="AC61" i="11" s="1"/>
  <c r="U62" i="11"/>
  <c r="Z62" i="11" s="1"/>
  <c r="W62" i="11"/>
  <c r="AB62" i="11" s="1"/>
  <c r="AR61" i="14"/>
  <c r="AT61" i="14" s="1"/>
  <c r="AV61" i="14" s="1"/>
  <c r="BA61" i="14" s="1"/>
  <c r="AQ61" i="14"/>
  <c r="AS61" i="14" s="1"/>
  <c r="AU61" i="14" s="1"/>
  <c r="AZ61" i="14" s="1"/>
  <c r="AY62" i="14"/>
  <c r="AP62" i="14" s="1"/>
  <c r="AX63" i="14"/>
  <c r="O61" i="11"/>
  <c r="Q61" i="11" s="1"/>
  <c r="S61" i="11" s="1"/>
  <c r="M62" i="11"/>
  <c r="N62" i="11"/>
  <c r="P62" i="11" s="1"/>
  <c r="R62" i="11" s="1"/>
  <c r="L63" i="11"/>
  <c r="U63" i="11" l="1"/>
  <c r="Z63" i="11" s="1"/>
  <c r="W63" i="11"/>
  <c r="AB63" i="11" s="1"/>
  <c r="V62" i="11"/>
  <c r="AA62" i="11" s="1"/>
  <c r="X62" i="11"/>
  <c r="AC62" i="11" s="1"/>
  <c r="AR62" i="14"/>
  <c r="AT62" i="14" s="1"/>
  <c r="AV62" i="14" s="1"/>
  <c r="BA62" i="14" s="1"/>
  <c r="AQ62" i="14"/>
  <c r="AS62" i="14" s="1"/>
  <c r="AU62" i="14" s="1"/>
  <c r="AZ62" i="14" s="1"/>
  <c r="AX64" i="14"/>
  <c r="AY63" i="14"/>
  <c r="AP63" i="14" s="1"/>
  <c r="N63" i="11"/>
  <c r="P63" i="11" s="1"/>
  <c r="R63" i="11" s="1"/>
  <c r="L64" i="11"/>
  <c r="O62" i="11"/>
  <c r="Q62" i="11" s="1"/>
  <c r="S62" i="11" s="1"/>
  <c r="M63" i="11"/>
  <c r="V63" i="11" l="1"/>
  <c r="AA63" i="11" s="1"/>
  <c r="X63" i="11"/>
  <c r="AC63" i="11" s="1"/>
  <c r="U64" i="11"/>
  <c r="Z64" i="11" s="1"/>
  <c r="W64" i="11"/>
  <c r="AB64" i="11" s="1"/>
  <c r="AR63" i="14"/>
  <c r="AT63" i="14" s="1"/>
  <c r="AV63" i="14" s="1"/>
  <c r="BA63" i="14" s="1"/>
  <c r="AQ63" i="14"/>
  <c r="AS63" i="14" s="1"/>
  <c r="AU63" i="14" s="1"/>
  <c r="AZ63" i="14" s="1"/>
  <c r="AY64" i="14"/>
  <c r="AP64" i="14" s="1"/>
  <c r="AX65" i="14"/>
  <c r="O63" i="11"/>
  <c r="Q63" i="11" s="1"/>
  <c r="S63" i="11" s="1"/>
  <c r="M64" i="11"/>
  <c r="N64" i="11"/>
  <c r="P64" i="11" s="1"/>
  <c r="R64" i="11" s="1"/>
  <c r="L65" i="11"/>
  <c r="U65" i="11" l="1"/>
  <c r="Z65" i="11" s="1"/>
  <c r="W65" i="11"/>
  <c r="AB65" i="11" s="1"/>
  <c r="V64" i="11"/>
  <c r="AA64" i="11" s="1"/>
  <c r="X64" i="11"/>
  <c r="AC64" i="11" s="1"/>
  <c r="AQ64" i="14"/>
  <c r="AS64" i="14" s="1"/>
  <c r="AU64" i="14" s="1"/>
  <c r="AZ64" i="14" s="1"/>
  <c r="AR64" i="14"/>
  <c r="AT64" i="14" s="1"/>
  <c r="AV64" i="14" s="1"/>
  <c r="BA64" i="14" s="1"/>
  <c r="AY65" i="14"/>
  <c r="AP65" i="14" s="1"/>
  <c r="AX66" i="14"/>
  <c r="O64" i="11"/>
  <c r="Q64" i="11" s="1"/>
  <c r="S64" i="11" s="1"/>
  <c r="M65" i="11"/>
  <c r="N65" i="11"/>
  <c r="P65" i="11" s="1"/>
  <c r="R65" i="11" s="1"/>
  <c r="L66" i="11"/>
  <c r="U66" i="11" l="1"/>
  <c r="Z66" i="11" s="1"/>
  <c r="W66" i="11"/>
  <c r="AB66" i="11" s="1"/>
  <c r="V65" i="11"/>
  <c r="AA65" i="11" s="1"/>
  <c r="X65" i="11"/>
  <c r="AC65" i="11" s="1"/>
  <c r="AX67" i="14"/>
  <c r="AY66" i="14"/>
  <c r="AP66" i="14" s="1"/>
  <c r="AQ65" i="14"/>
  <c r="AS65" i="14" s="1"/>
  <c r="AU65" i="14" s="1"/>
  <c r="AZ65" i="14" s="1"/>
  <c r="AR65" i="14"/>
  <c r="AT65" i="14" s="1"/>
  <c r="AV65" i="14" s="1"/>
  <c r="BA65" i="14" s="1"/>
  <c r="N66" i="11"/>
  <c r="P66" i="11" s="1"/>
  <c r="R66" i="11" s="1"/>
  <c r="L67" i="11"/>
  <c r="O65" i="11"/>
  <c r="Q65" i="11" s="1"/>
  <c r="S65" i="11" s="1"/>
  <c r="M66" i="11"/>
  <c r="V66" i="11" l="1"/>
  <c r="AA66" i="11" s="1"/>
  <c r="X66" i="11"/>
  <c r="AC66" i="11" s="1"/>
  <c r="U67" i="11"/>
  <c r="Z67" i="11" s="1"/>
  <c r="W67" i="11"/>
  <c r="AB67" i="11" s="1"/>
  <c r="AR66" i="14"/>
  <c r="AT66" i="14" s="1"/>
  <c r="AV66" i="14" s="1"/>
  <c r="BA66" i="14" s="1"/>
  <c r="AQ66" i="14"/>
  <c r="AS66" i="14" s="1"/>
  <c r="AU66" i="14" s="1"/>
  <c r="AZ66" i="14" s="1"/>
  <c r="AY67" i="14"/>
  <c r="AP67" i="14" s="1"/>
  <c r="AX68" i="14"/>
  <c r="O66" i="11"/>
  <c r="Q66" i="11" s="1"/>
  <c r="S66" i="11" s="1"/>
  <c r="M67" i="11"/>
  <c r="N67" i="11"/>
  <c r="P67" i="11" s="1"/>
  <c r="R67" i="11" s="1"/>
  <c r="L68" i="11"/>
  <c r="U68" i="11" l="1"/>
  <c r="Z68" i="11" s="1"/>
  <c r="W68" i="11"/>
  <c r="AB68" i="11" s="1"/>
  <c r="V67" i="11"/>
  <c r="AA67" i="11" s="1"/>
  <c r="X67" i="11"/>
  <c r="AC67" i="11" s="1"/>
  <c r="AQ67" i="14"/>
  <c r="AS67" i="14" s="1"/>
  <c r="AU67" i="14" s="1"/>
  <c r="AZ67" i="14" s="1"/>
  <c r="AR67" i="14"/>
  <c r="AT67" i="14" s="1"/>
  <c r="AV67" i="14" s="1"/>
  <c r="BA67" i="14" s="1"/>
  <c r="AX69" i="14"/>
  <c r="AY68" i="14"/>
  <c r="AP68" i="14" s="1"/>
  <c r="N68" i="11"/>
  <c r="P68" i="11" s="1"/>
  <c r="R68" i="11" s="1"/>
  <c r="L69" i="11"/>
  <c r="O67" i="11"/>
  <c r="Q67" i="11" s="1"/>
  <c r="S67" i="11" s="1"/>
  <c r="M68" i="11"/>
  <c r="V68" i="11" l="1"/>
  <c r="AA68" i="11" s="1"/>
  <c r="X68" i="11"/>
  <c r="AC68" i="11" s="1"/>
  <c r="U69" i="11"/>
  <c r="Z69" i="11" s="1"/>
  <c r="W69" i="11"/>
  <c r="AB69" i="11" s="1"/>
  <c r="AR68" i="14"/>
  <c r="AT68" i="14" s="1"/>
  <c r="AV68" i="14" s="1"/>
  <c r="BA68" i="14" s="1"/>
  <c r="AQ68" i="14"/>
  <c r="AS68" i="14" s="1"/>
  <c r="AU68" i="14" s="1"/>
  <c r="AZ68" i="14" s="1"/>
  <c r="AX70" i="14"/>
  <c r="AY69" i="14"/>
  <c r="AP69" i="14" s="1"/>
  <c r="O68" i="11"/>
  <c r="Q68" i="11" s="1"/>
  <c r="S68" i="11" s="1"/>
  <c r="M69" i="11"/>
  <c r="N69" i="11"/>
  <c r="P69" i="11" s="1"/>
  <c r="R69" i="11" s="1"/>
  <c r="L70" i="11"/>
  <c r="U70" i="11" l="1"/>
  <c r="Z70" i="11" s="1"/>
  <c r="W70" i="11"/>
  <c r="AB70" i="11" s="1"/>
  <c r="V69" i="11"/>
  <c r="AA69" i="11" s="1"/>
  <c r="X69" i="11"/>
  <c r="AC69" i="11" s="1"/>
  <c r="AR69" i="14"/>
  <c r="AT69" i="14" s="1"/>
  <c r="AV69" i="14" s="1"/>
  <c r="BA69" i="14" s="1"/>
  <c r="AQ69" i="14"/>
  <c r="AS69" i="14" s="1"/>
  <c r="AU69" i="14" s="1"/>
  <c r="AZ69" i="14" s="1"/>
  <c r="AY70" i="14"/>
  <c r="AP70" i="14" s="1"/>
  <c r="AX71" i="14"/>
  <c r="N70" i="11"/>
  <c r="P70" i="11" s="1"/>
  <c r="R70" i="11" s="1"/>
  <c r="L71" i="11"/>
  <c r="O69" i="11"/>
  <c r="Q69" i="11" s="1"/>
  <c r="S69" i="11" s="1"/>
  <c r="M70" i="11"/>
  <c r="V70" i="11" l="1"/>
  <c r="AA70" i="11" s="1"/>
  <c r="X70" i="11"/>
  <c r="AC70" i="11" s="1"/>
  <c r="U71" i="11"/>
  <c r="Z71" i="11" s="1"/>
  <c r="W71" i="11"/>
  <c r="AB71" i="11" s="1"/>
  <c r="AY71" i="14"/>
  <c r="AP71" i="14" s="1"/>
  <c r="AX72" i="14"/>
  <c r="AQ70" i="14"/>
  <c r="AS70" i="14" s="1"/>
  <c r="AU70" i="14" s="1"/>
  <c r="AZ70" i="14" s="1"/>
  <c r="AR70" i="14"/>
  <c r="AT70" i="14" s="1"/>
  <c r="AV70" i="14" s="1"/>
  <c r="BA70" i="14" s="1"/>
  <c r="O70" i="11"/>
  <c r="Q70" i="11" s="1"/>
  <c r="S70" i="11" s="1"/>
  <c r="M71" i="11"/>
  <c r="N71" i="11"/>
  <c r="P71" i="11" s="1"/>
  <c r="R71" i="11" s="1"/>
  <c r="L72" i="11"/>
  <c r="N72" i="11" l="1"/>
  <c r="P72" i="11" s="1"/>
  <c r="R72" i="11" s="1"/>
  <c r="U72" i="11"/>
  <c r="Z72" i="11" s="1"/>
  <c r="W72" i="11"/>
  <c r="AB72" i="11" s="1"/>
  <c r="V71" i="11"/>
  <c r="AA71" i="11" s="1"/>
  <c r="X71" i="11"/>
  <c r="AC71" i="11" s="1"/>
  <c r="AX73" i="14"/>
  <c r="AY72" i="14"/>
  <c r="AP72" i="14" s="1"/>
  <c r="AQ71" i="14"/>
  <c r="AS71" i="14" s="1"/>
  <c r="AU71" i="14" s="1"/>
  <c r="AZ71" i="14" s="1"/>
  <c r="AR71" i="14"/>
  <c r="AT71" i="14" s="1"/>
  <c r="AV71" i="14" s="1"/>
  <c r="BA71" i="14" s="1"/>
  <c r="O71" i="11"/>
  <c r="Q71" i="11" s="1"/>
  <c r="S71" i="11" s="1"/>
  <c r="M72" i="11"/>
  <c r="O72" i="11" l="1"/>
  <c r="Q72" i="11" s="1"/>
  <c r="S72" i="11" s="1"/>
  <c r="V72" i="11"/>
  <c r="AA72" i="11" s="1"/>
  <c r="X72" i="11"/>
  <c r="AC72" i="11" s="1"/>
  <c r="AQ72" i="14"/>
  <c r="AS72" i="14" s="1"/>
  <c r="AU72" i="14" s="1"/>
  <c r="AZ72" i="14" s="1"/>
  <c r="AR72" i="14"/>
  <c r="AT72" i="14" s="1"/>
  <c r="AV72" i="14" s="1"/>
  <c r="BA72" i="14" s="1"/>
  <c r="AY73" i="14"/>
  <c r="AP73" i="14" s="1"/>
  <c r="AX74" i="14"/>
  <c r="AR73" i="14" l="1"/>
  <c r="AT73" i="14" s="1"/>
  <c r="AV73" i="14" s="1"/>
  <c r="BA73" i="14" s="1"/>
  <c r="AQ73" i="14"/>
  <c r="AS73" i="14" s="1"/>
  <c r="AU73" i="14" s="1"/>
  <c r="AZ73" i="14" s="1"/>
  <c r="AX75" i="14"/>
  <c r="AY74" i="14"/>
  <c r="AP74" i="14" s="1"/>
  <c r="AQ74" i="14" l="1"/>
  <c r="AS74" i="14" s="1"/>
  <c r="AU74" i="14" s="1"/>
  <c r="AZ74" i="14" s="1"/>
  <c r="AR74" i="14"/>
  <c r="AT74" i="14" s="1"/>
  <c r="AV74" i="14" s="1"/>
  <c r="BA74" i="14" s="1"/>
  <c r="AY75" i="14"/>
  <c r="AP75" i="14" s="1"/>
  <c r="AX76" i="14"/>
  <c r="AQ75" i="14" l="1"/>
  <c r="AS75" i="14" s="1"/>
  <c r="AU75" i="14" s="1"/>
  <c r="AZ75" i="14" s="1"/>
  <c r="AR75" i="14"/>
  <c r="AT75" i="14" s="1"/>
  <c r="AV75" i="14" s="1"/>
  <c r="BA75" i="14" s="1"/>
  <c r="AY76" i="14"/>
  <c r="AP76" i="14" s="1"/>
  <c r="AX77" i="14"/>
  <c r="AR76" i="14" l="1"/>
  <c r="AT76" i="14" s="1"/>
  <c r="AV76" i="14" s="1"/>
  <c r="BA76" i="14" s="1"/>
  <c r="AQ76" i="14"/>
  <c r="AS76" i="14" s="1"/>
  <c r="AU76" i="14" s="1"/>
  <c r="AZ76" i="14" s="1"/>
  <c r="AX78" i="14"/>
  <c r="AY77" i="14"/>
  <c r="AP77" i="14" s="1"/>
  <c r="AR77" i="14" l="1"/>
  <c r="AT77" i="14" s="1"/>
  <c r="AV77" i="14" s="1"/>
  <c r="BA77" i="14" s="1"/>
  <c r="AQ77" i="14"/>
  <c r="AS77" i="14" s="1"/>
  <c r="AU77" i="14" s="1"/>
  <c r="AZ77" i="14" s="1"/>
  <c r="AY78" i="14"/>
  <c r="AP78" i="14" s="1"/>
  <c r="AX79" i="14"/>
  <c r="AX80" i="14" l="1"/>
  <c r="AY79" i="14"/>
  <c r="AP79" i="14" s="1"/>
  <c r="AR78" i="14"/>
  <c r="AT78" i="14" s="1"/>
  <c r="AV78" i="14" s="1"/>
  <c r="BA78" i="14" s="1"/>
  <c r="AQ78" i="14"/>
  <c r="AS78" i="14" s="1"/>
  <c r="AU78" i="14" s="1"/>
  <c r="AZ78" i="14" s="1"/>
  <c r="AR79" i="14" l="1"/>
  <c r="AT79" i="14" s="1"/>
  <c r="AV79" i="14" s="1"/>
  <c r="BA79" i="14" s="1"/>
  <c r="AQ79" i="14"/>
  <c r="AS79" i="14" s="1"/>
  <c r="AU79" i="14" s="1"/>
  <c r="AZ79" i="14" s="1"/>
  <c r="AY80" i="14"/>
  <c r="AP80" i="14" s="1"/>
  <c r="AX81" i="14"/>
  <c r="AR80" i="14" l="1"/>
  <c r="AT80" i="14" s="1"/>
  <c r="AV80" i="14" s="1"/>
  <c r="BA80" i="14" s="1"/>
  <c r="AQ80" i="14"/>
  <c r="AS80" i="14" s="1"/>
  <c r="AU80" i="14" s="1"/>
  <c r="AZ80" i="14" s="1"/>
  <c r="AY81" i="14"/>
  <c r="AP81" i="14" s="1"/>
  <c r="AX82" i="14"/>
  <c r="AY82" i="14" l="1"/>
  <c r="AP82" i="14" s="1"/>
  <c r="AX83" i="14"/>
  <c r="AQ81" i="14"/>
  <c r="AS81" i="14" s="1"/>
  <c r="AU81" i="14" s="1"/>
  <c r="AZ81" i="14" s="1"/>
  <c r="AR81" i="14"/>
  <c r="AT81" i="14" s="1"/>
  <c r="AV81" i="14" s="1"/>
  <c r="BA81" i="14" s="1"/>
  <c r="AX84" i="14" l="1"/>
  <c r="AY83" i="14"/>
  <c r="AP83" i="14" s="1"/>
  <c r="AR82" i="14"/>
  <c r="AT82" i="14" s="1"/>
  <c r="AV82" i="14" s="1"/>
  <c r="BA82" i="14" s="1"/>
  <c r="AQ82" i="14"/>
  <c r="AS82" i="14" s="1"/>
  <c r="AU82" i="14" s="1"/>
  <c r="AZ82" i="14" s="1"/>
  <c r="AQ83" i="14" l="1"/>
  <c r="AS83" i="14" s="1"/>
  <c r="AU83" i="14" s="1"/>
  <c r="AZ83" i="14" s="1"/>
  <c r="AR83" i="14"/>
  <c r="AT83" i="14" s="1"/>
  <c r="AV83" i="14" s="1"/>
  <c r="BA83" i="14" s="1"/>
  <c r="AX85" i="14"/>
  <c r="AY84" i="14"/>
  <c r="AP84" i="14" s="1"/>
  <c r="AQ84" i="14" l="1"/>
  <c r="AS84" i="14" s="1"/>
  <c r="AU84" i="14" s="1"/>
  <c r="AZ84" i="14" s="1"/>
  <c r="AR84" i="14"/>
  <c r="AT84" i="14" s="1"/>
  <c r="AV84" i="14" s="1"/>
  <c r="BA84" i="14" s="1"/>
  <c r="AX86" i="14"/>
  <c r="AY85" i="14"/>
  <c r="AP85" i="14" s="1"/>
  <c r="AQ85" i="14" l="1"/>
  <c r="AS85" i="14" s="1"/>
  <c r="AU85" i="14" s="1"/>
  <c r="AZ85" i="14" s="1"/>
  <c r="AR85" i="14"/>
  <c r="AT85" i="14" s="1"/>
  <c r="AV85" i="14" s="1"/>
  <c r="BA85" i="14" s="1"/>
  <c r="AY86" i="14"/>
  <c r="AP86" i="14" s="1"/>
  <c r="AX87" i="14"/>
  <c r="AR86" i="14" l="1"/>
  <c r="AT86" i="14" s="1"/>
  <c r="AV86" i="14" s="1"/>
  <c r="BA86" i="14" s="1"/>
  <c r="AQ86" i="14"/>
  <c r="AS86" i="14" s="1"/>
  <c r="AU86" i="14" s="1"/>
  <c r="AZ86" i="14" s="1"/>
  <c r="AX88" i="14"/>
  <c r="AY87" i="14"/>
  <c r="AP87" i="14" s="1"/>
  <c r="AQ87" i="14" l="1"/>
  <c r="AS87" i="14" s="1"/>
  <c r="AU87" i="14" s="1"/>
  <c r="AZ87" i="14" s="1"/>
  <c r="AR87" i="14"/>
  <c r="AT87" i="14" s="1"/>
  <c r="AV87" i="14" s="1"/>
  <c r="BA87" i="14" s="1"/>
  <c r="AX89" i="14"/>
  <c r="AY88" i="14"/>
  <c r="AP88" i="14" s="1"/>
  <c r="AR88" i="14" l="1"/>
  <c r="AT88" i="14" s="1"/>
  <c r="AV88" i="14" s="1"/>
  <c r="BA88" i="14" s="1"/>
  <c r="AQ88" i="14"/>
  <c r="AS88" i="14" s="1"/>
  <c r="AU88" i="14" s="1"/>
  <c r="AZ88" i="14" s="1"/>
  <c r="AY89" i="14"/>
  <c r="AP89" i="14" s="1"/>
  <c r="AX90" i="14"/>
  <c r="AR89" i="14" l="1"/>
  <c r="AT89" i="14" s="1"/>
  <c r="AV89" i="14" s="1"/>
  <c r="BA89" i="14" s="1"/>
  <c r="AQ89" i="14"/>
  <c r="AS89" i="14" s="1"/>
  <c r="AU89" i="14" s="1"/>
  <c r="AZ89" i="14" s="1"/>
  <c r="AX91" i="14"/>
  <c r="AY90" i="14"/>
  <c r="AP90" i="14" s="1"/>
  <c r="AR90" i="14" l="1"/>
  <c r="AT90" i="14" s="1"/>
  <c r="AV90" i="14" s="1"/>
  <c r="BA90" i="14" s="1"/>
  <c r="AQ90" i="14"/>
  <c r="AS90" i="14" s="1"/>
  <c r="AU90" i="14" s="1"/>
  <c r="AZ90" i="14" s="1"/>
  <c r="AY91" i="14"/>
  <c r="AP91" i="14" s="1"/>
  <c r="AX92" i="14"/>
  <c r="AY92" i="14" l="1"/>
  <c r="AP92" i="14" s="1"/>
  <c r="AR91" i="14"/>
  <c r="AT91" i="14" s="1"/>
  <c r="AV91" i="14" s="1"/>
  <c r="BA91" i="14" s="1"/>
  <c r="AQ91" i="14"/>
  <c r="AS91" i="14" s="1"/>
  <c r="AU91" i="14" s="1"/>
  <c r="AZ91" i="14" s="1"/>
  <c r="AR92" i="14" l="1"/>
  <c r="AT92" i="14" s="1"/>
  <c r="AV92" i="14" s="1"/>
  <c r="BA92" i="14" s="1"/>
  <c r="AQ92" i="14"/>
  <c r="AS92" i="14" s="1"/>
  <c r="AU92" i="14" s="1"/>
  <c r="AZ92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<sst xmlns="http://schemas.openxmlformats.org/spreadsheetml/2006/main" count="1285" uniqueCount="487">
  <si>
    <t>Total Weight (lb)</t>
  </si>
  <si>
    <t>Front %</t>
  </si>
  <si>
    <t>Rear %</t>
  </si>
  <si>
    <t>Wheelbase (in)</t>
  </si>
  <si>
    <t>CoG Height (in)</t>
  </si>
  <si>
    <t>Static Weight F (lb)</t>
  </si>
  <si>
    <t>Static Weight R (lb)</t>
  </si>
  <si>
    <t>Front Axle to CoG (in)</t>
  </si>
  <si>
    <t>CoG to Rear Axle (in)</t>
  </si>
  <si>
    <t>Linear Acceleration</t>
  </si>
  <si>
    <t>mu_long</t>
  </si>
  <si>
    <t>mu_lat</t>
  </si>
  <si>
    <t>F_x</t>
  </si>
  <si>
    <t>F_y</t>
  </si>
  <si>
    <t>F_z</t>
  </si>
  <si>
    <t>F</t>
  </si>
  <si>
    <t>R</t>
  </si>
  <si>
    <t>Left Side</t>
  </si>
  <si>
    <t>Right Side</t>
  </si>
  <si>
    <t>Linear Deceleration</t>
  </si>
  <si>
    <t>Steady-State Cornering</t>
  </si>
  <si>
    <t>g_long</t>
  </si>
  <si>
    <t>g_lat</t>
  </si>
  <si>
    <t>Static Weight FL (lb)</t>
  </si>
  <si>
    <t>Static Weight FR (lb)</t>
  </si>
  <si>
    <t>Static Weight RL (lb)</t>
  </si>
  <si>
    <t>Static Weight RR (lb)</t>
  </si>
  <si>
    <t>Longitudinal</t>
  </si>
  <si>
    <t>Lateral F</t>
  </si>
  <si>
    <t>Lateral R</t>
  </si>
  <si>
    <t>R_c (in)</t>
  </si>
  <si>
    <t>&gt;(in/s)</t>
  </si>
  <si>
    <t>Velocity (mph)</t>
  </si>
  <si>
    <t>g (ft/s^2)</t>
  </si>
  <si>
    <t>&gt;(in/s^2)</t>
  </si>
  <si>
    <t>Angle</t>
  </si>
  <si>
    <t>Moment F</t>
  </si>
  <si>
    <t>Moment R</t>
  </si>
  <si>
    <t>Roll Axis F (in)</t>
  </si>
  <si>
    <t>Roll Axis R (in)</t>
  </si>
  <si>
    <t>h_CoG-&gt;RA_F</t>
  </si>
  <si>
    <t>h_CoG-&gt;RA_R</t>
  </si>
  <si>
    <t>at CoG loc</t>
  </si>
  <si>
    <t>Rise/Run</t>
  </si>
  <si>
    <t>h_CoG-&gt;RA</t>
  </si>
  <si>
    <t>MRs F</t>
  </si>
  <si>
    <t>MRs R</t>
  </si>
  <si>
    <t>K_s F (lb/in)</t>
  </si>
  <si>
    <t>K_s R (lb/in)</t>
  </si>
  <si>
    <t>K_t F (lb/in)</t>
  </si>
  <si>
    <t>K_t R (lb/in)</t>
  </si>
  <si>
    <t>K_w F (lb/in)</t>
  </si>
  <si>
    <t>K_w R (lb/in)</t>
  </si>
  <si>
    <t>K_r F (lb/in)</t>
  </si>
  <si>
    <t>K_r R (lb/in)</t>
  </si>
  <si>
    <t>K_ARB F (lb/in)</t>
  </si>
  <si>
    <t>K_ARB R (lb/in)</t>
  </si>
  <si>
    <t>MR_ARB F</t>
  </si>
  <si>
    <t>MR_ARB R</t>
  </si>
  <si>
    <t>K_roll F (lb-ft/deg)</t>
  </si>
  <si>
    <t>K_roll R (lb-ft/deg)</t>
  </si>
  <si>
    <t>&gt;(lb-in/deg)</t>
  </si>
  <si>
    <t>Front Axle h (in)</t>
  </si>
  <si>
    <t>Rear Axle h (in)</t>
  </si>
  <si>
    <t>Fy_max</t>
  </si>
  <si>
    <t>Fx_max</t>
  </si>
  <si>
    <t>TOTAL</t>
  </si>
  <si>
    <t>FL</t>
  </si>
  <si>
    <t>FR</t>
  </si>
  <si>
    <t>RL</t>
  </si>
  <si>
    <t>RR</t>
  </si>
  <si>
    <t>Front Track Width (in)</t>
  </si>
  <si>
    <t>Rear Track Width (in)</t>
  </si>
  <si>
    <t>Velocity Calculations</t>
  </si>
  <si>
    <t>&gt; (in/s)</t>
  </si>
  <si>
    <t>Radius (in)</t>
  </si>
  <si>
    <t>&gt; (ft)</t>
  </si>
  <si>
    <t>Acceleration (in/s^2)</t>
  </si>
  <si>
    <t>&gt; (ft/s^2)</t>
  </si>
  <si>
    <t>&gt; (g)</t>
  </si>
  <si>
    <t>&gt; (mph)</t>
  </si>
  <si>
    <t>*g (ft/s^2)</t>
  </si>
  <si>
    <t>Car Parameters</t>
  </si>
  <si>
    <t>Steering Parameters</t>
  </si>
  <si>
    <t>Tire Parameters</t>
  </si>
  <si>
    <t>Front Axle to CoG (a)</t>
  </si>
  <si>
    <t>SteerRF</t>
  </si>
  <si>
    <t>C_stiffF (lb/deg)</t>
  </si>
  <si>
    <t>CoG to Rear Axle (b)</t>
  </si>
  <si>
    <t>SteerLF</t>
  </si>
  <si>
    <t>C_stiffR (lb/deg)</t>
  </si>
  <si>
    <t>Slip Angle Calculations</t>
  </si>
  <si>
    <t>RF</t>
  </si>
  <si>
    <t>LF</t>
  </si>
  <si>
    <t>LR</t>
  </si>
  <si>
    <t>Claude Rouelle (The OG)</t>
  </si>
  <si>
    <t>&gt; (in/s^2)</t>
  </si>
  <si>
    <t>Beta (deg)</t>
  </si>
  <si>
    <t>Cornering</t>
  </si>
  <si>
    <t>Ackermann (-1 to 1)</t>
  </si>
  <si>
    <t>Front Toe</t>
  </si>
  <si>
    <t>Steering Input Angle (deg)</t>
  </si>
  <si>
    <t>&gt; (rad)</t>
  </si>
  <si>
    <t>Calculations</t>
  </si>
  <si>
    <t>Turning Radius (ft)</t>
  </si>
  <si>
    <t>&gt; (in)</t>
  </si>
  <si>
    <t>*Right and Left Tire Steering Angles for 100 % Ackermann</t>
  </si>
  <si>
    <t>Right</t>
  </si>
  <si>
    <t>Left</t>
  </si>
  <si>
    <t>*Differences between Right/Left Tire Steering Angles and Ackermann Steering Angle</t>
  </si>
  <si>
    <t>*Final Tire Steering Angles</t>
  </si>
  <si>
    <t>Credits:</t>
  </si>
  <si>
    <t>CAPT Hamilton</t>
  </si>
  <si>
    <t>Vatsal Jain</t>
  </si>
  <si>
    <t>Curve Radius (in)</t>
  </si>
  <si>
    <t>a_c (in/s^2)</t>
  </si>
  <si>
    <t>Gs Pulled</t>
  </si>
  <si>
    <t>Max Lateral Acceleration</t>
  </si>
  <si>
    <t>Weight (lb)</t>
  </si>
  <si>
    <t>*smallest value of K</t>
  </si>
  <si>
    <t>Lateral CoF</t>
  </si>
  <si>
    <t>K_u</t>
  </si>
  <si>
    <t>K_FT-h</t>
  </si>
  <si>
    <t>K_RT-h</t>
  </si>
  <si>
    <t>Aero</t>
  </si>
  <si>
    <t>atmospheric air density (lb/ft^3)</t>
  </si>
  <si>
    <t>gravitational acceleration (ft/s^2)</t>
  </si>
  <si>
    <t>C_LA (Lift Factor)</t>
  </si>
  <si>
    <t>Vehicle Speed (mph)</t>
  </si>
  <si>
    <t>&gt; ft/s</t>
  </si>
  <si>
    <t>No Aero</t>
  </si>
  <si>
    <t>Front Gmax</t>
  </si>
  <si>
    <t>Rear Gmax</t>
  </si>
  <si>
    <t>&gt; a (ft/s^2)</t>
  </si>
  <si>
    <t>&gt; a (in/s^2)</t>
  </si>
  <si>
    <t>Vmax (in/s)</t>
  </si>
  <si>
    <t>Aero Parameters</t>
  </si>
  <si>
    <t>&gt; (deg)</t>
  </si>
  <si>
    <t>Natural Frequency</t>
  </si>
  <si>
    <t>Hz</t>
  </si>
  <si>
    <t>Critical Damping</t>
  </si>
  <si>
    <t>lb-in/s</t>
  </si>
  <si>
    <t>Damping Ratio - Low</t>
  </si>
  <si>
    <t>Damping Ratio - High</t>
  </si>
  <si>
    <t>Damped Natural Frequency - Low</t>
  </si>
  <si>
    <t>Damped Natural Frequency - High</t>
  </si>
  <si>
    <t>Natural Frequency Ratio Range</t>
  </si>
  <si>
    <t>*Rear</t>
  </si>
  <si>
    <t>Damping Coefficient (lb-s/in)</t>
  </si>
  <si>
    <t>Low</t>
  </si>
  <si>
    <t>High</t>
  </si>
  <si>
    <t>Givens:</t>
  </si>
  <si>
    <t>Weight of Car w/ driver (lb):</t>
  </si>
  <si>
    <t>Coefficient of Friction (tires to road):</t>
  </si>
  <si>
    <t>Tire Radius (in)</t>
  </si>
  <si>
    <t>Front Calipers (CP4227-2S0)</t>
  </si>
  <si>
    <t>Area of brake pad (in^2)</t>
  </si>
  <si>
    <t>Piston Diameter (in)</t>
  </si>
  <si>
    <t>Piston Area (in^2)</t>
  </si>
  <si>
    <t># of Pistons</t>
  </si>
  <si>
    <t>Rear Calipers (CP4226-2S0)</t>
  </si>
  <si>
    <t>Piston Area</t>
  </si>
  <si>
    <t>Pad COF</t>
  </si>
  <si>
    <t>Master Cylinder:</t>
  </si>
  <si>
    <t>Bore (in)</t>
  </si>
  <si>
    <t>Area (in^2)</t>
  </si>
  <si>
    <t>Rotor Diameter (in):</t>
  </si>
  <si>
    <t>Brake Pedal Ratio</t>
  </si>
  <si>
    <t>Brake Bias</t>
  </si>
  <si>
    <t>*finding Right and Left Tire Steering Angles</t>
  </si>
  <si>
    <t>Yaw Velocity (rad/s)</t>
  </si>
  <si>
    <t>&gt; (deg/s)</t>
  </si>
  <si>
    <t>From Bias</t>
  </si>
  <si>
    <t>Driver Force</t>
  </si>
  <si>
    <t>lbf</t>
  </si>
  <si>
    <t>ma</t>
  </si>
  <si>
    <t>Starting Velocity</t>
  </si>
  <si>
    <t>mph</t>
  </si>
  <si>
    <t>Fzf</t>
  </si>
  <si>
    <t>Fzr</t>
  </si>
  <si>
    <t>Acceleration</t>
  </si>
  <si>
    <t>mg (lb)</t>
  </si>
  <si>
    <t>Front Brake Force (lb)</t>
  </si>
  <si>
    <t>Rear Brake Force (lb)</t>
  </si>
  <si>
    <t>Vlatmax (mph)</t>
  </si>
  <si>
    <t>Driving Parameters</t>
  </si>
  <si>
    <t>Deceleration</t>
  </si>
  <si>
    <t>Input</t>
  </si>
  <si>
    <t>(g's)</t>
  </si>
  <si>
    <t>No</t>
  </si>
  <si>
    <t>Steering Input Parameters</t>
  </si>
  <si>
    <t>Angle (deg)</t>
  </si>
  <si>
    <t>Steady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</si>
  <si>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</si>
  <si>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</si>
  <si>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</si>
  <si>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</si>
  <si>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</si>
  <si>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</si>
  <si>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</si>
  <si>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</si>
  <si>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OI_x</t>
  </si>
  <si>
    <t>OI_y</t>
  </si>
  <si>
    <t>OI_z</t>
  </si>
  <si>
    <t>u_x</t>
  </si>
  <si>
    <t>u_y</t>
  </si>
  <si>
    <t>u_z</t>
  </si>
  <si>
    <t>[A]</t>
  </si>
  <si>
    <t>[A]^-1</t>
  </si>
  <si>
    <t>Point 2: Lower wishbone rear pivot</t>
  </si>
  <si>
    <t>TR</t>
  </si>
  <si>
    <t>Point 3: Lower wishbone outer ball joint</t>
  </si>
  <si>
    <t>LAA-F</t>
  </si>
  <si>
    <t>Point 5: Upper wishbone front pivot</t>
  </si>
  <si>
    <t>LAA-A</t>
  </si>
  <si>
    <t>Point 6: Upper wishbone rear pivot</t>
  </si>
  <si>
    <t>UAA-F</t>
  </si>
  <si>
    <t>Point 7: Upper wishbone outer ball joint</t>
  </si>
  <si>
    <t>UAA-A</t>
  </si>
  <si>
    <t>Point 8: Push rod wishbone end</t>
  </si>
  <si>
    <t>PR</t>
  </si>
  <si>
    <t>Point 9: Push rod rocker end</t>
  </si>
  <si>
    <t>Point 11: Outer track rod ball joint</t>
  </si>
  <si>
    <t>*oi</t>
  </si>
  <si>
    <t>{x}</t>
  </si>
  <si>
    <t>[B]</t>
  </si>
  <si>
    <t>Point 12: Inner track rod ball joint</t>
  </si>
  <si>
    <t>F_TR</t>
  </si>
  <si>
    <t>Point 16: Damper to body point</t>
  </si>
  <si>
    <t>F_LAA-F</t>
  </si>
  <si>
    <t>Point 17: Damper to rocker point</t>
  </si>
  <si>
    <t>F_LAA-A</t>
  </si>
  <si>
    <t>Point 18: Wheel spindle point</t>
  </si>
  <si>
    <t>F_UAA-F</t>
  </si>
  <si>
    <t>Point 19: Wheel centre point</t>
  </si>
  <si>
    <t>F_UAA-A</t>
  </si>
  <si>
    <t>Point 20: Rocker axis 1st point</t>
  </si>
  <si>
    <t>F_PR</t>
  </si>
  <si>
    <t>Point 21: Rocker axis 2nd point</t>
  </si>
  <si>
    <t>Point 99: Tyre Contact Patch, x,y,z (mm)</t>
  </si>
  <si>
    <t>Rear Suspension Points</t>
  </si>
  <si>
    <t>x</t>
  </si>
  <si>
    <t>y</t>
  </si>
  <si>
    <t>z</t>
  </si>
  <si>
    <t>CP-&gt;WC</t>
  </si>
  <si>
    <t>M1</t>
  </si>
  <si>
    <t>M2</t>
  </si>
  <si>
    <t>M3</t>
  </si>
  <si>
    <t>Input Parameters:</t>
  </si>
  <si>
    <t>Roll Stiffness - Cantilever</t>
  </si>
  <si>
    <t>Vehicle Roll Gradient</t>
  </si>
  <si>
    <t>CoG height for Roll Center Axis</t>
  </si>
  <si>
    <t>A stiffer roll gradient will produce a car that is faster responding in transient conditions, but at the expense of mechanical grip over bumps in a corner.</t>
  </si>
  <si>
    <t>Chennai Express</t>
  </si>
  <si>
    <t>Testing Parameters</t>
  </si>
  <si>
    <t>Front Desired Roll Gradient (deg/g)</t>
  </si>
  <si>
    <t>Rear Desired Roll Gradient (deg/g)</t>
  </si>
  <si>
    <t>Front Desired Roll Rate (lb-in/deg)</t>
  </si>
  <si>
    <t>Shear Modulii</t>
  </si>
  <si>
    <t>Rear Desired Roll Rate (lb-in/deg)</t>
  </si>
  <si>
    <t>6061 Aluminum</t>
  </si>
  <si>
    <t>7075 Aluminum</t>
  </si>
  <si>
    <t>Front K_ Roll ARB Rate</t>
  </si>
  <si>
    <t>ARB Design - Cantilever</t>
  </si>
  <si>
    <t>4130 Steel</t>
  </si>
  <si>
    <t>Rear K_ Roll ARB Rate</t>
  </si>
  <si>
    <t>Front</t>
  </si>
  <si>
    <t>Outer</t>
  </si>
  <si>
    <t>Inner</t>
  </si>
  <si>
    <t>Rear</t>
  </si>
  <si>
    <t>4340 Steel</t>
  </si>
  <si>
    <t>Torsion Bar Diameter (in)</t>
  </si>
  <si>
    <t>Necessary K_ARB</t>
  </si>
  <si>
    <t>Torsion Bar Length (in)</t>
  </si>
  <si>
    <t>Young's Modulii</t>
  </si>
  <si>
    <t>Front K_ARB</t>
  </si>
  <si>
    <t>Lever Arm Diameter (in)</t>
  </si>
  <si>
    <t>Rear K_ARB</t>
  </si>
  <si>
    <t>Lever Arm Length (in)</t>
  </si>
  <si>
    <t>Shear Modulus (psi)</t>
  </si>
  <si>
    <t>Young's Modulus (psi)</t>
  </si>
  <si>
    <t>K_Torsion Bar</t>
  </si>
  <si>
    <t>K_Lever Arm</t>
  </si>
  <si>
    <t>Roll Stiffness - Blade</t>
  </si>
  <si>
    <t>ARB Design - Blade</t>
  </si>
  <si>
    <t>Lever Arm Base (in)</t>
  </si>
  <si>
    <t>Roll Stiffness - NO ARB</t>
  </si>
  <si>
    <t>Front Roll Gradient (deg/g)</t>
  </si>
  <si>
    <t>Rear Roll Gradient (deg/g)</t>
  </si>
  <si>
    <t>Front Lock-Up?</t>
  </si>
  <si>
    <t>Rear Lock-Up?</t>
  </si>
  <si>
    <t>AVG</t>
  </si>
  <si>
    <t>Max Lateral Gs - Aero</t>
  </si>
  <si>
    <t>Max Lateral Gs - No Aero</t>
  </si>
  <si>
    <t>(in)</t>
  </si>
  <si>
    <t>R_c</t>
  </si>
  <si>
    <t>Driver Force (lbf)</t>
  </si>
  <si>
    <t>Braking Parameters</t>
  </si>
  <si>
    <t>Alignment + Tuning Parameters</t>
  </si>
  <si>
    <t>Load Transfer Calculations</t>
  </si>
  <si>
    <t>Weight Calculations</t>
  </si>
  <si>
    <t>Roll Calculations</t>
  </si>
  <si>
    <t>Roll Axis Calculations</t>
  </si>
  <si>
    <t>Roll Stiffness Calculations</t>
  </si>
  <si>
    <t>Car Travel</t>
  </si>
  <si>
    <t>Lateral</t>
  </si>
  <si>
    <t>Ending Velocity</t>
  </si>
  <si>
    <t>Time Elapsed (s)</t>
  </si>
  <si>
    <t>Distance Traveled (ft)</t>
  </si>
  <si>
    <t>&gt; (mi)</t>
  </si>
  <si>
    <t>Cornering Velocity (mph)</t>
  </si>
  <si>
    <t>Corner Angle (deg)</t>
  </si>
  <si>
    <t>Corner Angle</t>
  </si>
  <si>
    <t>deg</t>
  </si>
  <si>
    <t>Ending Velo</t>
  </si>
  <si>
    <t>Ackermann (-1 = Anti, 1 = Ack)</t>
  </si>
  <si>
    <t>?</t>
  </si>
  <si>
    <t>Deceleration (g's)</t>
  </si>
  <si>
    <t>Longitudinal WT (lb)</t>
  </si>
  <si>
    <t>mg</t>
  </si>
  <si>
    <t>Front Tire Limit</t>
  </si>
  <si>
    <t>Rear Tire Limit</t>
  </si>
  <si>
    <t>Tire Limit</t>
  </si>
  <si>
    <t>and down for tables</t>
  </si>
  <si>
    <t>*scroll -&gt; for graphs</t>
  </si>
  <si>
    <t>Driver Force (lb)</t>
  </si>
  <si>
    <t>Steady-&gt;Braking</t>
  </si>
  <si>
    <t>Lateral Velocity (in-rad/s)</t>
  </si>
  <si>
    <t>Front Axle to CoG (a) (in)</t>
  </si>
  <si>
    <t>CoG to Rear Axle (b) (in)</t>
  </si>
  <si>
    <t>R100AckSA</t>
  </si>
  <si>
    <t>L100AckSA</t>
  </si>
  <si>
    <t>D_R100AckSA</t>
  </si>
  <si>
    <t>D_L100AckSA</t>
  </si>
  <si>
    <t>Right Steering Angle</t>
  </si>
  <si>
    <t>Left Steering Angle</t>
  </si>
  <si>
    <t>*Graph and Parameters Below</t>
  </si>
  <si>
    <t>Velo Calcs</t>
  </si>
  <si>
    <t>Velocity (in/s)</t>
  </si>
  <si>
    <t>Slip Angle Calcs</t>
  </si>
  <si>
    <t>20°</t>
  </si>
  <si>
    <t>10°</t>
  </si>
  <si>
    <t>0°</t>
  </si>
  <si>
    <t>-10°</t>
  </si>
  <si>
    <t>-20°</t>
  </si>
  <si>
    <t>*Steer Angle</t>
  </si>
  <si>
    <t>*Beta Angle</t>
  </si>
  <si>
    <t>-2°</t>
  </si>
  <si>
    <t>-4°</t>
  </si>
  <si>
    <t>-6°</t>
  </si>
  <si>
    <t>-8°</t>
  </si>
  <si>
    <t>-12°</t>
  </si>
  <si>
    <t>-14°</t>
  </si>
  <si>
    <t>-16°</t>
  </si>
  <si>
    <t>-18°</t>
  </si>
  <si>
    <t>2°</t>
  </si>
  <si>
    <t>4°</t>
  </si>
  <si>
    <t>6°</t>
  </si>
  <si>
    <t>8°</t>
  </si>
  <si>
    <t>12°</t>
  </si>
  <si>
    <t>14°</t>
  </si>
  <si>
    <t>16°</t>
  </si>
  <si>
    <t>18°</t>
  </si>
  <si>
    <t>90° (YM)</t>
  </si>
  <si>
    <t>(Ay)</t>
  </si>
  <si>
    <t>80° (YM)</t>
  </si>
  <si>
    <t>70° (YM)</t>
  </si>
  <si>
    <t>60° (YM)</t>
  </si>
  <si>
    <t>50° (YM)</t>
  </si>
  <si>
    <t>40° (YM)</t>
  </si>
  <si>
    <t>30° (YM)</t>
  </si>
  <si>
    <t>20° (YM)</t>
  </si>
  <si>
    <t>10° (YM)</t>
  </si>
  <si>
    <t>0° (YM)</t>
  </si>
  <si>
    <t>-10° (YM)</t>
  </si>
  <si>
    <t>-20° (YM)</t>
  </si>
  <si>
    <t>-30° (YM)</t>
  </si>
  <si>
    <t>-40° (YM)</t>
  </si>
  <si>
    <t>-50° (YM)</t>
  </si>
  <si>
    <t>-60° (YM)</t>
  </si>
  <si>
    <t>-70° (YM)</t>
  </si>
  <si>
    <t>-80° (YM)</t>
  </si>
  <si>
    <t>-90° (YM)</t>
  </si>
  <si>
    <t>Slip Angle Guide</t>
  </si>
  <si>
    <t>Beta _max</t>
  </si>
  <si>
    <t>Steer Calcs</t>
  </si>
  <si>
    <t>Steer Angle (deg)</t>
  </si>
  <si>
    <t>*by averaging double green angles (RF &amp; LF)</t>
  </si>
  <si>
    <t>*Entry Calcs</t>
  </si>
  <si>
    <t>*Apex Calcs</t>
  </si>
  <si>
    <t>Optimal Entry Steer Angle (deg)</t>
  </si>
  <si>
    <t>Optimal Apex Steer Angle (deg)</t>
  </si>
  <si>
    <t>*if no 1st case=&gt; LF Green &amp; RF Positive Slip</t>
  </si>
  <si>
    <t>*Calculations &amp; Graph -&gt;</t>
  </si>
  <si>
    <t>manual inputs</t>
  </si>
  <si>
    <t>Suspension Secrets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</si>
  <si>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</si>
  <si>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</si>
  <si>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</si>
  <si>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</si>
  <si>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</si>
  <si>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</si>
  <si>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</si>
  <si>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</si>
  <si>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Setting C11/R11</t>
  </si>
  <si>
    <t>Note: low speed clicks from fully closed (clockwise)</t>
  </si>
  <si>
    <t>Note: high speed clicks from fully open (counter clockwise)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</si>
  <si>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</si>
  <si>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</si>
  <si>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</si>
  <si>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</si>
  <si>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</si>
  <si>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</si>
  <si>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</si>
  <si>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</si>
  <si>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</si>
  <si>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</si>
  <si>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*Calspan Data</t>
  </si>
  <si>
    <t>TTX25 Data - Dampers</t>
  </si>
  <si>
    <t>TTX25 Data - Springs</t>
  </si>
  <si>
    <t>lb/in</t>
  </si>
  <si>
    <t>N/mm</t>
  </si>
  <si>
    <t>*Magic Number</t>
  </si>
  <si>
    <t>Front K_ Roll ARB Rate (lb-in/deg)</t>
  </si>
  <si>
    <t>Rear K_ Roll ARB Rate (lb-in/deg)</t>
  </si>
  <si>
    <t>Front Desired Roll Rate (lb-in/deg/g)</t>
  </si>
  <si>
    <t>Rear Desired Roll Rate (lb-in/deg/g)</t>
  </si>
  <si>
    <t>Front ARB Roll Rate (lb-in/deg) *MR_ARB = 1</t>
  </si>
  <si>
    <t>Rear ARB Roll Rate (lb-in/deg) *MR_ARB = 1</t>
  </si>
  <si>
    <t>Front Necessary K_ARB -&gt; No Aero</t>
  </si>
  <si>
    <t>Front Necessary K_ARB*MR_ARB^2 -&gt; No Aero</t>
  </si>
  <si>
    <t>Rear Necessary K_ARB*MR_ARB^2 -&gt; No Aero</t>
  </si>
  <si>
    <t>Front Necessary K_ARB*MR_ARB^2 -&gt; Aero</t>
  </si>
  <si>
    <t>Rear Necessary K_ARB*MR_ARB^2 -&gt; Aero</t>
  </si>
  <si>
    <t>Desired MR_ARB F</t>
  </si>
  <si>
    <t>Desired MR_ARB R</t>
  </si>
  <si>
    <t>Rear Necessary K_ARB -&gt; Aero</t>
  </si>
  <si>
    <t>*graphs based on desried MR, adjust axes for desired roll gradient range</t>
  </si>
  <si>
    <t>Rear -&gt; No Aero</t>
  </si>
  <si>
    <t>Front -&gt; No Aero</t>
  </si>
  <si>
    <t>Front -&gt; Aero</t>
  </si>
  <si>
    <t>Rear -&gt; Aero</t>
  </si>
  <si>
    <t>Necessary K_ARB*MR_ARB^2</t>
  </si>
  <si>
    <t>Vdecel (mph)</t>
  </si>
  <si>
    <t>ORDER:</t>
  </si>
  <si>
    <t>Tires</t>
  </si>
  <si>
    <t>Steering</t>
  </si>
  <si>
    <t>Kinematics</t>
  </si>
  <si>
    <t>Geo</t>
  </si>
  <si>
    <t>Springs &amp; Dampers</t>
  </si>
  <si>
    <t>Load Case per Wheel</t>
  </si>
  <si>
    <t>*KPI vs Cstiff</t>
  </si>
  <si>
    <t>*based on TTC Data</t>
  </si>
  <si>
    <t>*from Shark (right side of vehicle)</t>
  </si>
  <si>
    <t>r - FL</t>
  </si>
  <si>
    <t>r - FR</t>
  </si>
  <si>
    <t>r - RR</t>
  </si>
  <si>
    <t>Inputs</t>
  </si>
  <si>
    <t>Rear Bias</t>
  </si>
  <si>
    <t>Wheel Radius (in)</t>
  </si>
  <si>
    <t>CG Height (in)</t>
  </si>
  <si>
    <t>Friction Coefficient</t>
  </si>
  <si>
    <t>Rolling Resistance Coefficient</t>
  </si>
  <si>
    <t>*Engineering Toolbox</t>
  </si>
  <si>
    <t>Max Motor Torque</t>
  </si>
  <si>
    <t>Weight on Rear Wheels (lbs)</t>
  </si>
  <si>
    <t>FxMax (lbs)</t>
  </si>
  <si>
    <t>Gear Ratio</t>
  </si>
  <si>
    <t>Vehicle Weight (lb)</t>
  </si>
  <si>
    <t>*From Motor Data (PWTR)</t>
  </si>
  <si>
    <t>From Static</t>
  </si>
  <si>
    <t>Limiting Torque (lb-in)</t>
  </si>
  <si>
    <t>*at mu_long</t>
  </si>
  <si>
    <t>Test</t>
  </si>
  <si>
    <t>FxMax - From Motor (lbs)</t>
  </si>
  <si>
    <t>*need to map motor torque to rpm</t>
  </si>
  <si>
    <t>*convert motor rpm to wheel</t>
  </si>
  <si>
    <t>LT</t>
  </si>
  <si>
    <t>FxMax - Static Tire (lbs)</t>
  </si>
  <si>
    <t>FxMax - LT Tire (lbs)</t>
  </si>
  <si>
    <t>G's - LT</t>
  </si>
  <si>
    <t>G's - Static</t>
  </si>
  <si>
    <t>Motor Torque Input (lb-in)</t>
  </si>
  <si>
    <t>Acceleration (g's)</t>
  </si>
  <si>
    <t>Front Necessary K_ARB -&gt; Aero</t>
  </si>
  <si>
    <t>Rear Necessary K_ARB -&gt; No Aero</t>
  </si>
  <si>
    <t>*if rotating blade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</si>
</sst>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2" borderId="4" xfId="0" applyFont="1" applyFill="1" applyBorder="1"/>
    <xf numFmtId="0" fontId="1" fillId="2" borderId="0" xfId="0" applyFont="1" applyFill="1"/>
    <xf numFmtId="0" fontId="1" fillId="3" borderId="4" xfId="0" applyFont="1" applyFill="1" applyBorder="1"/>
    <xf numFmtId="0" fontId="1" fillId="3" borderId="0" xfId="0" applyFont="1" applyFill="1"/>
    <xf numFmtId="0" fontId="1" fillId="3" borderId="6" xfId="0" applyFont="1" applyFill="1" applyBorder="1"/>
    <xf numFmtId="0" fontId="0" fillId="0" borderId="7" xfId="0" applyBorder="1"/>
    <xf numFmtId="0" fontId="1" fillId="3" borderId="7" xfId="0" applyFont="1" applyFill="1" applyBorder="1"/>
    <xf numFmtId="0" fontId="0" fillId="0" borderId="8" xfId="0" applyBorder="1"/>
    <xf numFmtId="0" fontId="2" fillId="4" borderId="0" xfId="0" applyFont="1" applyFill="1"/>
    <xf numFmtId="0" fontId="0" fillId="4" borderId="0" xfId="0" applyFill="1"/>
    <xf numFmtId="0" fontId="0" fillId="4" borderId="4" xfId="0" applyFill="1" applyBorder="1"/>
    <xf numFmtId="0" fontId="0" fillId="4" borderId="5" xfId="0" applyFill="1" applyBorder="1"/>
    <xf numFmtId="0" fontId="0" fillId="5" borderId="0" xfId="0" applyFill="1"/>
    <xf numFmtId="0" fontId="0" fillId="2" borderId="0" xfId="0" applyFill="1"/>
    <xf numFmtId="0" fontId="0" fillId="2" borderId="7" xfId="0" applyFill="1" applyBorder="1"/>
    <xf numFmtId="0" fontId="0" fillId="6" borderId="0" xfId="0" applyFill="1"/>
    <xf numFmtId="0" fontId="0" fillId="5" borderId="7" xfId="0" applyFill="1" applyBorder="1"/>
    <xf numFmtId="0" fontId="0" fillId="2" borderId="6" xfId="0" applyFill="1" applyBorder="1"/>
    <xf numFmtId="0" fontId="0" fillId="2" borderId="8" xfId="0" applyFill="1" applyBorder="1"/>
    <xf numFmtId="0" fontId="0" fillId="7" borderId="0" xfId="0" applyFill="1"/>
    <xf numFmtId="11" fontId="0" fillId="0" borderId="0" xfId="0" applyNumberFormat="1"/>
    <xf numFmtId="0" fontId="1" fillId="4" borderId="0" xfId="0" applyFont="1" applyFill="1"/>
    <xf numFmtId="0" fontId="1" fillId="6" borderId="0" xfId="0" applyFont="1" applyFill="1"/>
    <xf numFmtId="0" fontId="0" fillId="6" borderId="1" xfId="0" applyFill="1" applyBorder="1"/>
    <xf numFmtId="0" fontId="0" fillId="5" borderId="6" xfId="0" applyFill="1" applyBorder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6" borderId="3" xfId="0" applyFill="1" applyBorder="1"/>
    <xf numFmtId="0" fontId="0" fillId="5" borderId="8" xfId="0" applyFill="1" applyBorder="1"/>
    <xf numFmtId="0" fontId="0" fillId="0" borderId="4" xfId="0" applyBorder="1"/>
    <xf numFmtId="0" fontId="0" fillId="0" borderId="6" xfId="0" applyBorder="1"/>
    <xf numFmtId="0" fontId="0" fillId="0" borderId="10" xfId="0" applyBorder="1"/>
    <xf numFmtId="0" fontId="0" fillId="0" borderId="11" xfId="0" applyBorder="1"/>
    <xf numFmtId="0" fontId="0" fillId="8" borderId="4" xfId="0" applyFill="1" applyBorder="1"/>
    <xf numFmtId="0" fontId="0" fillId="8" borderId="0" xfId="0" applyFill="1"/>
    <xf numFmtId="0" fontId="0" fillId="8" borderId="10" xfId="0" applyFill="1" applyBorder="1"/>
    <xf numFmtId="0" fontId="0" fillId="8" borderId="5" xfId="0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6" borderId="4" xfId="0" applyFont="1" applyFill="1" applyBorder="1"/>
    <xf numFmtId="0" fontId="1" fillId="6" borderId="10" xfId="0" applyFont="1" applyFill="1" applyBorder="1"/>
    <xf numFmtId="0" fontId="3" fillId="0" borderId="0" xfId="0" applyFont="1"/>
    <xf numFmtId="0" fontId="0" fillId="0" borderId="0" xfId="0" applyAlignment="1">
      <alignment horizontal="right"/>
    </xf>
    <xf numFmtId="0" fontId="1" fillId="7" borderId="0" xfId="0" applyFont="1" applyFill="1"/>
    <xf numFmtId="0" fontId="0" fillId="0" borderId="0" xfId="0" applyAlignment="1">
      <alignment horizontal="center"/>
    </xf>
    <xf numFmtId="9" fontId="0" fillId="0" borderId="0" xfId="0" applyNumberFormat="1"/>
    <xf numFmtId="0" fontId="5" fillId="0" borderId="0" xfId="0" applyFont="1"/>
    <xf numFmtId="0" fontId="6" fillId="2" borderId="0" xfId="0" applyFont="1" applyFill="1"/>
    <xf numFmtId="0" fontId="7" fillId="10" borderId="12" xfId="0" applyFont="1" applyFill="1" applyBorder="1" applyAlignment="1">
      <alignment horizontal="center" vertical="center" wrapText="1"/>
    </xf>
    <xf numFmtId="0" fontId="7" fillId="10" borderId="13" xfId="0" applyFont="1" applyFill="1" applyBorder="1" applyAlignment="1">
      <alignment horizontal="center" vertical="center" wrapText="1"/>
    </xf>
    <xf numFmtId="0" fontId="7" fillId="10" borderId="14" xfId="0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8" borderId="0" xfId="0" applyFont="1" applyFill="1"/>
    <xf numFmtId="0" fontId="0" fillId="9" borderId="0" xfId="0" applyFill="1"/>
    <xf numFmtId="11" fontId="0" fillId="8" borderId="0" xfId="0" applyNumberFormat="1" applyFill="1"/>
    <xf numFmtId="0" fontId="4" fillId="0" borderId="0" xfId="0" applyFont="1"/>
    <xf numFmtId="11" fontId="0" fillId="4" borderId="0" xfId="0" applyNumberFormat="1" applyFill="1"/>
    <xf numFmtId="0" fontId="3" fillId="8" borderId="0" xfId="0" applyFont="1" applyFill="1"/>
    <xf numFmtId="0" fontId="1" fillId="11" borderId="0" xfId="0" applyFont="1" applyFill="1"/>
    <xf numFmtId="0" fontId="0" fillId="11" borderId="0" xfId="0" applyFill="1"/>
    <xf numFmtId="11" fontId="0" fillId="11" borderId="0" xfId="0" applyNumberFormat="1" applyFill="1"/>
    <xf numFmtId="0" fontId="3" fillId="11" borderId="0" xfId="0" applyFont="1" applyFill="1"/>
    <xf numFmtId="0" fontId="8" fillId="0" borderId="0" xfId="0" applyFont="1"/>
    <xf numFmtId="0" fontId="0" fillId="12" borderId="0" xfId="0" applyFill="1"/>
    <xf numFmtId="0" fontId="0" fillId="7" borderId="12" xfId="0" applyFill="1" applyBorder="1"/>
    <xf numFmtId="0" fontId="0" fillId="7" borderId="19" xfId="0" applyFill="1" applyBorder="1"/>
    <xf numFmtId="0" fontId="0" fillId="0" borderId="19" xfId="0" applyBorder="1"/>
    <xf numFmtId="0" fontId="0" fillId="0" borderId="20" xfId="0" applyBorder="1"/>
    <xf numFmtId="0" fontId="0" fillId="7" borderId="18" xfId="0" applyFill="1" applyBorder="1"/>
    <xf numFmtId="0" fontId="0" fillId="7" borderId="16" xfId="0" applyFill="1" applyBorder="1"/>
    <xf numFmtId="0" fontId="0" fillId="0" borderId="21" xfId="0" applyBorder="1"/>
    <xf numFmtId="0" fontId="0" fillId="7" borderId="22" xfId="0" applyFill="1" applyBorder="1"/>
    <xf numFmtId="0" fontId="0" fillId="7" borderId="23" xfId="0" applyFill="1" applyBorder="1"/>
    <xf numFmtId="0" fontId="0" fillId="0" borderId="23" xfId="0" applyBorder="1"/>
    <xf numFmtId="0" fontId="0" fillId="0" borderId="24" xfId="0" applyBorder="1"/>
    <xf numFmtId="0" fontId="0" fillId="7" borderId="10" xfId="0" applyFill="1" applyBorder="1"/>
    <xf numFmtId="0" fontId="0" fillId="0" borderId="25" xfId="0" applyBorder="1"/>
    <xf numFmtId="0" fontId="0" fillId="13" borderId="0" xfId="0" applyFill="1"/>
    <xf numFmtId="0" fontId="8" fillId="14" borderId="0" xfId="0" applyFont="1" applyFill="1"/>
    <xf numFmtId="0" fontId="1" fillId="0" borderId="0" xfId="0" applyFont="1" applyAlignment="1">
      <alignment horizontal="right"/>
    </xf>
    <xf numFmtId="0" fontId="1" fillId="15" borderId="0" xfId="0" applyFont="1" applyFill="1"/>
    <xf numFmtId="0" fontId="0" fillId="15" borderId="0" xfId="0" applyFill="1"/>
    <xf numFmtId="0" fontId="0" fillId="7" borderId="0" xfId="0" quotePrefix="1" applyFill="1"/>
    <xf numFmtId="0" fontId="0" fillId="16" borderId="0" xfId="0" applyFill="1"/>
    <xf numFmtId="0" fontId="0" fillId="16" borderId="0" xfId="0" quotePrefix="1" applyFill="1"/>
    <xf numFmtId="0" fontId="0" fillId="14" borderId="0" xfId="0" applyFill="1"/>
    <xf numFmtId="0" fontId="0" fillId="17" borderId="0" xfId="0" applyFill="1"/>
    <xf numFmtId="0" fontId="1" fillId="12" borderId="0" xfId="0" applyFont="1" applyFill="1"/>
    <xf numFmtId="0" fontId="0" fillId="16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0" fillId="18" borderId="0" xfId="0" applyFill="1"/>
    <xf numFmtId="0" fontId="1" fillId="16" borderId="0" xfId="0" applyFont="1" applyFill="1"/>
    <xf numFmtId="0" fontId="0" fillId="19" borderId="0" xfId="0" applyFill="1"/>
    <xf numFmtId="0" fontId="0" fillId="19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0" fillId="0" borderId="0" xfId="0" applyFont="1"/>
    <xf numFmtId="0" fontId="10" fillId="7" borderId="0" xfId="0" applyFont="1" applyFill="1"/>
    <xf numFmtId="0" fontId="11" fillId="0" borderId="0" xfId="0" applyFont="1"/>
    <xf numFmtId="0" fontId="10" fillId="16" borderId="0" xfId="0" applyFont="1" applyFill="1"/>
    <xf numFmtId="0" fontId="0" fillId="20" borderId="0" xfId="0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5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AF1D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Sweep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80664916885392E-2"/>
          <c:y val="0.17171296296296296"/>
          <c:w val="0.86376377952755901"/>
          <c:h val="0.70696741032370958"/>
        </c:manualLayout>
      </c:layout>
      <c:scatterChart>
        <c:scatterStyle val="smoothMarker"/>
        <c:varyColors val="0"/>
        <c:ser>
          <c:idx val="0"/>
          <c:order val="0"/>
          <c:tx>
            <c:v>Left Steering Sweep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Sweep'!$I$2:$I$38</c:f>
              <c:numCache>
                <c:formatCode>General</c:formatCode>
                <c:ptCount val="37"/>
                <c:pt idx="0">
                  <c:v>-119.72310169133618</c:v>
                </c:pt>
                <c:pt idx="1">
                  <c:v>-114.62280651188192</c:v>
                </c:pt>
                <c:pt idx="2">
                  <c:v>-109.57818287599484</c:v>
                </c:pt>
                <c:pt idx="3">
                  <c:v>-104.59634040063315</c:v>
                </c:pt>
                <c:pt idx="4">
                  <c:v>-99.683470973562066</c:v>
                </c:pt>
                <c:pt idx="5">
                  <c:v>-61.093905105194729</c:v>
                </c:pt>
                <c:pt idx="6">
                  <c:v>-56.328879420520821</c:v>
                </c:pt>
                <c:pt idx="7">
                  <c:v>-51.635158031784592</c:v>
                </c:pt>
                <c:pt idx="8">
                  <c:v>-47.003839603772931</c:v>
                </c:pt>
                <c:pt idx="9">
                  <c:v>-42.419852791539142</c:v>
                </c:pt>
                <c:pt idx="10">
                  <c:v>-37.862640791958775</c:v>
                </c:pt>
                <c:pt idx="11">
                  <c:v>-33.308221785213668</c:v>
                </c:pt>
                <c:pt idx="12">
                  <c:v>-28.732242948747558</c:v>
                </c:pt>
                <c:pt idx="13">
                  <c:v>-24.113147917400038</c:v>
                </c:pt>
                <c:pt idx="14">
                  <c:v>-19.4345169886764</c:v>
                </c:pt>
                <c:pt idx="15">
                  <c:v>-14.686063891437277</c:v>
                </c:pt>
                <c:pt idx="16">
                  <c:v>-9.8633617481830118</c:v>
                </c:pt>
                <c:pt idx="17">
                  <c:v>-4.9667577135310124</c:v>
                </c:pt>
                <c:pt idx="18">
                  <c:v>0</c:v>
                </c:pt>
                <c:pt idx="19">
                  <c:v>5.0310461862245317</c:v>
                </c:pt>
                <c:pt idx="20">
                  <c:v>10.119412127163052</c:v>
                </c:pt>
                <c:pt idx="21">
                  <c:v>15.257732669763501</c:v>
                </c:pt>
                <c:pt idx="22">
                  <c:v>20.438687505507431</c:v>
                </c:pt>
                <c:pt idx="23">
                  <c:v>25.655242018153523</c:v>
                </c:pt>
                <c:pt idx="24">
                  <c:v>30.900750204157209</c:v>
                </c:pt>
                <c:pt idx="25">
                  <c:v>36.168968951068528</c:v>
                </c:pt>
                <c:pt idx="26">
                  <c:v>41.454018534052921</c:v>
                </c:pt>
                <c:pt idx="27">
                  <c:v>46.75031221183842</c:v>
                </c:pt>
                <c:pt idx="28">
                  <c:v>52.052469079834999</c:v>
                </c:pt>
                <c:pt idx="29">
                  <c:v>57.355218537289566</c:v>
                </c:pt>
                <c:pt idx="30">
                  <c:v>62.65330124034702</c:v>
                </c:pt>
                <c:pt idx="31">
                  <c:v>67.941369732029472</c:v>
                </c:pt>
                <c:pt idx="32">
                  <c:v>73.213891775665175</c:v>
                </c:pt>
                <c:pt idx="33">
                  <c:v>78.465060740558968</c:v>
                </c:pt>
                <c:pt idx="34">
                  <c:v>83.688720428463029</c:v>
                </c:pt>
                <c:pt idx="35">
                  <c:v>88.878316954126262</c:v>
                </c:pt>
                <c:pt idx="36">
                  <c:v>94.026898308663817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0-44E4-8870-A31B5089370D}"/>
            </c:ext>
          </c:extLst>
        </c:ser>
        <c:ser>
          <c:idx val="1"/>
          <c:order val="1"/>
          <c:tx>
            <c:v>Right Steering Sweep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Sweep'!$H$2:$H$38</c:f>
              <c:numCache>
                <c:formatCode>General</c:formatCode>
                <c:ptCount val="37"/>
                <c:pt idx="0">
                  <c:v>-94.026898308663817</c:v>
                </c:pt>
                <c:pt idx="1">
                  <c:v>-88.878316954126262</c:v>
                </c:pt>
                <c:pt idx="2">
                  <c:v>-83.688720428463029</c:v>
                </c:pt>
                <c:pt idx="3">
                  <c:v>-78.465060740558968</c:v>
                </c:pt>
                <c:pt idx="4">
                  <c:v>-73.213891775665175</c:v>
                </c:pt>
                <c:pt idx="5">
                  <c:v>-67.941369732029472</c:v>
                </c:pt>
                <c:pt idx="6">
                  <c:v>-62.65330124034702</c:v>
                </c:pt>
                <c:pt idx="7">
                  <c:v>-57.355218537289566</c:v>
                </c:pt>
                <c:pt idx="8">
                  <c:v>-52.052469079834999</c:v>
                </c:pt>
                <c:pt idx="9">
                  <c:v>-46.75031221183842</c:v>
                </c:pt>
                <c:pt idx="10">
                  <c:v>-41.454018534052921</c:v>
                </c:pt>
                <c:pt idx="11">
                  <c:v>-36.168968951068528</c:v>
                </c:pt>
                <c:pt idx="12">
                  <c:v>-30.900750204157209</c:v>
                </c:pt>
                <c:pt idx="13">
                  <c:v>-25.655242018153523</c:v>
                </c:pt>
                <c:pt idx="14">
                  <c:v>-20.438687505507431</c:v>
                </c:pt>
                <c:pt idx="15">
                  <c:v>-15.257732669763501</c:v>
                </c:pt>
                <c:pt idx="16">
                  <c:v>-10.119412127163052</c:v>
                </c:pt>
                <c:pt idx="17">
                  <c:v>-5.0310461862245317</c:v>
                </c:pt>
                <c:pt idx="18">
                  <c:v>0</c:v>
                </c:pt>
                <c:pt idx="19">
                  <c:v>4.9667577135310124</c:v>
                </c:pt>
                <c:pt idx="20">
                  <c:v>9.8633617481830118</c:v>
                </c:pt>
                <c:pt idx="21">
                  <c:v>14.686063891437277</c:v>
                </c:pt>
                <c:pt idx="22">
                  <c:v>19.4345169886764</c:v>
                </c:pt>
                <c:pt idx="23">
                  <c:v>24.113147917400038</c:v>
                </c:pt>
                <c:pt idx="24">
                  <c:v>28.732242948747558</c:v>
                </c:pt>
                <c:pt idx="25">
                  <c:v>33.308221785213668</c:v>
                </c:pt>
                <c:pt idx="26">
                  <c:v>37.862640791958775</c:v>
                </c:pt>
                <c:pt idx="27">
                  <c:v>42.419852791539142</c:v>
                </c:pt>
                <c:pt idx="28">
                  <c:v>47.003839603772931</c:v>
                </c:pt>
                <c:pt idx="29">
                  <c:v>51.635158031784592</c:v>
                </c:pt>
                <c:pt idx="30">
                  <c:v>56.328879420520821</c:v>
                </c:pt>
                <c:pt idx="31">
                  <c:v>61.093905105194729</c:v>
                </c:pt>
                <c:pt idx="32">
                  <c:v>99.683470973562066</c:v>
                </c:pt>
                <c:pt idx="33">
                  <c:v>104.59634040063315</c:v>
                </c:pt>
                <c:pt idx="34">
                  <c:v>109.57818287599484</c:v>
                </c:pt>
                <c:pt idx="35">
                  <c:v>114.62280651188192</c:v>
                </c:pt>
                <c:pt idx="36">
                  <c:v>119.72310169133618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B0-44E4-8870-A31B5089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127247"/>
        <c:axId val="2066125167"/>
      </c:scatterChart>
      <c:valAx>
        <c:axId val="2066127247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</a:t>
                </a:r>
                <a:r>
                  <a:rPr lang="en-US" baseline="0"/>
                  <a:t> Angle (deg)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611111111111108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5167"/>
        <c:crosses val="autoZero"/>
        <c:crossBetween val="midCat"/>
      </c:valAx>
      <c:valAx>
        <c:axId val="2066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Tire</a:t>
                </a:r>
                <a:r>
                  <a:rPr lang="en-US" baseline="0"/>
                  <a:t> Steering Angle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29223352289297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7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Sweep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80664916885392E-2"/>
          <c:y val="0.17171296296296296"/>
          <c:w val="0.86376377952755901"/>
          <c:h val="0.70696741032370958"/>
        </c:manualLayout>
      </c:layout>
      <c:scatterChart>
        <c:scatterStyle val="smoothMarker"/>
        <c:varyColors val="0"/>
        <c:ser>
          <c:idx val="0"/>
          <c:order val="0"/>
          <c:tx>
            <c:v>Left Steering Sweep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4129985411449398E-2"/>
                  <c:y val="-0.163587828897420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Sweep'!$I$2:$I$38</c:f>
              <c:numCache>
                <c:formatCode>General</c:formatCode>
                <c:ptCount val="37"/>
                <c:pt idx="0">
                  <c:v>-119.72310169133618</c:v>
                </c:pt>
                <c:pt idx="1">
                  <c:v>-114.62280651188192</c:v>
                </c:pt>
                <c:pt idx="2">
                  <c:v>-109.57818287599484</c:v>
                </c:pt>
                <c:pt idx="3">
                  <c:v>-104.59634040063315</c:v>
                </c:pt>
                <c:pt idx="4">
                  <c:v>-99.683470973562066</c:v>
                </c:pt>
                <c:pt idx="5">
                  <c:v>-61.093905105194729</c:v>
                </c:pt>
                <c:pt idx="6">
                  <c:v>-56.328879420520821</c:v>
                </c:pt>
                <c:pt idx="7">
                  <c:v>-51.635158031784592</c:v>
                </c:pt>
                <c:pt idx="8">
                  <c:v>-47.003839603772931</c:v>
                </c:pt>
                <c:pt idx="9">
                  <c:v>-42.419852791539142</c:v>
                </c:pt>
                <c:pt idx="10">
                  <c:v>-37.862640791958775</c:v>
                </c:pt>
                <c:pt idx="11">
                  <c:v>-33.308221785213668</c:v>
                </c:pt>
                <c:pt idx="12">
                  <c:v>-28.732242948747558</c:v>
                </c:pt>
                <c:pt idx="13">
                  <c:v>-24.113147917400038</c:v>
                </c:pt>
                <c:pt idx="14">
                  <c:v>-19.4345169886764</c:v>
                </c:pt>
                <c:pt idx="15">
                  <c:v>-14.686063891437277</c:v>
                </c:pt>
                <c:pt idx="16">
                  <c:v>-9.8633617481830118</c:v>
                </c:pt>
                <c:pt idx="17">
                  <c:v>-4.9667577135310124</c:v>
                </c:pt>
                <c:pt idx="18">
                  <c:v>0</c:v>
                </c:pt>
                <c:pt idx="19">
                  <c:v>5.0310461862245317</c:v>
                </c:pt>
                <c:pt idx="20">
                  <c:v>10.119412127163052</c:v>
                </c:pt>
                <c:pt idx="21">
                  <c:v>15.257732669763501</c:v>
                </c:pt>
                <c:pt idx="22">
                  <c:v>20.438687505507431</c:v>
                </c:pt>
                <c:pt idx="23">
                  <c:v>25.655242018153523</c:v>
                </c:pt>
                <c:pt idx="24">
                  <c:v>30.900750204157209</c:v>
                </c:pt>
                <c:pt idx="25">
                  <c:v>36.168968951068528</c:v>
                </c:pt>
                <c:pt idx="26">
                  <c:v>41.454018534052921</c:v>
                </c:pt>
                <c:pt idx="27">
                  <c:v>46.75031221183842</c:v>
                </c:pt>
                <c:pt idx="28">
                  <c:v>52.052469079834999</c:v>
                </c:pt>
                <c:pt idx="29">
                  <c:v>57.355218537289566</c:v>
                </c:pt>
                <c:pt idx="30">
                  <c:v>62.65330124034702</c:v>
                </c:pt>
                <c:pt idx="31">
                  <c:v>67.941369732029472</c:v>
                </c:pt>
                <c:pt idx="32">
                  <c:v>73.213891775665175</c:v>
                </c:pt>
                <c:pt idx="33">
                  <c:v>78.465060740558968</c:v>
                </c:pt>
                <c:pt idx="34">
                  <c:v>83.688720428463029</c:v>
                </c:pt>
                <c:pt idx="35">
                  <c:v>88.878316954126262</c:v>
                </c:pt>
                <c:pt idx="36">
                  <c:v>94.026898308663817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40-4290-9C49-C89FC5AFE2F0}"/>
            </c:ext>
          </c:extLst>
        </c:ser>
        <c:ser>
          <c:idx val="1"/>
          <c:order val="1"/>
          <c:tx>
            <c:v>Right Steering Sweep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lgDash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53448901265133"/>
                  <c:y val="-0.148730775905077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Sweep'!$H$2:$H$38</c:f>
              <c:numCache>
                <c:formatCode>General</c:formatCode>
                <c:ptCount val="37"/>
                <c:pt idx="0">
                  <c:v>-94.026898308663817</c:v>
                </c:pt>
                <c:pt idx="1">
                  <c:v>-88.878316954126262</c:v>
                </c:pt>
                <c:pt idx="2">
                  <c:v>-83.688720428463029</c:v>
                </c:pt>
                <c:pt idx="3">
                  <c:v>-78.465060740558968</c:v>
                </c:pt>
                <c:pt idx="4">
                  <c:v>-73.213891775665175</c:v>
                </c:pt>
                <c:pt idx="5">
                  <c:v>-67.941369732029472</c:v>
                </c:pt>
                <c:pt idx="6">
                  <c:v>-62.65330124034702</c:v>
                </c:pt>
                <c:pt idx="7">
                  <c:v>-57.355218537289566</c:v>
                </c:pt>
                <c:pt idx="8">
                  <c:v>-52.052469079834999</c:v>
                </c:pt>
                <c:pt idx="9">
                  <c:v>-46.75031221183842</c:v>
                </c:pt>
                <c:pt idx="10">
                  <c:v>-41.454018534052921</c:v>
                </c:pt>
                <c:pt idx="11">
                  <c:v>-36.168968951068528</c:v>
                </c:pt>
                <c:pt idx="12">
                  <c:v>-30.900750204157209</c:v>
                </c:pt>
                <c:pt idx="13">
                  <c:v>-25.655242018153523</c:v>
                </c:pt>
                <c:pt idx="14">
                  <c:v>-20.438687505507431</c:v>
                </c:pt>
                <c:pt idx="15">
                  <c:v>-15.257732669763501</c:v>
                </c:pt>
                <c:pt idx="16">
                  <c:v>-10.119412127163052</c:v>
                </c:pt>
                <c:pt idx="17">
                  <c:v>-5.0310461862245317</c:v>
                </c:pt>
                <c:pt idx="18">
                  <c:v>0</c:v>
                </c:pt>
                <c:pt idx="19">
                  <c:v>4.9667577135310124</c:v>
                </c:pt>
                <c:pt idx="20">
                  <c:v>9.8633617481830118</c:v>
                </c:pt>
                <c:pt idx="21">
                  <c:v>14.686063891437277</c:v>
                </c:pt>
                <c:pt idx="22">
                  <c:v>19.4345169886764</c:v>
                </c:pt>
                <c:pt idx="23">
                  <c:v>24.113147917400038</c:v>
                </c:pt>
                <c:pt idx="24">
                  <c:v>28.732242948747558</c:v>
                </c:pt>
                <c:pt idx="25">
                  <c:v>33.308221785213668</c:v>
                </c:pt>
                <c:pt idx="26">
                  <c:v>37.862640791958775</c:v>
                </c:pt>
                <c:pt idx="27">
                  <c:v>42.419852791539142</c:v>
                </c:pt>
                <c:pt idx="28">
                  <c:v>47.003839603772931</c:v>
                </c:pt>
                <c:pt idx="29">
                  <c:v>51.635158031784592</c:v>
                </c:pt>
                <c:pt idx="30">
                  <c:v>56.328879420520821</c:v>
                </c:pt>
                <c:pt idx="31">
                  <c:v>61.093905105194729</c:v>
                </c:pt>
                <c:pt idx="32">
                  <c:v>99.683470973562066</c:v>
                </c:pt>
                <c:pt idx="33">
                  <c:v>104.59634040063315</c:v>
                </c:pt>
                <c:pt idx="34">
                  <c:v>109.57818287599484</c:v>
                </c:pt>
                <c:pt idx="35">
                  <c:v>114.62280651188192</c:v>
                </c:pt>
                <c:pt idx="36">
                  <c:v>119.72310169133618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40-4290-9C49-C89FC5AFE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127247"/>
        <c:axId val="2066125167"/>
      </c:scatterChart>
      <c:valAx>
        <c:axId val="2066127247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</a:t>
                </a:r>
                <a:r>
                  <a:rPr lang="en-US" baseline="0"/>
                  <a:t> Angle (deg)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611111111111108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5167"/>
        <c:crosses val="autoZero"/>
        <c:crossBetween val="midCat"/>
      </c:valAx>
      <c:valAx>
        <c:axId val="2066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Tire</a:t>
                </a:r>
                <a:r>
                  <a:rPr lang="en-US" baseline="0"/>
                  <a:t> Steering Angle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29223352289297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7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4134800741941"/>
          <c:y val="0.72140056614823977"/>
          <c:w val="0.29178352555055542"/>
          <c:h val="0.232439643391683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Front/Rear G's per Driver Force (Steady -&gt; Braking)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 G's per Driver Force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'Braking + Initial DF Sim'!$L$2:$L$42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'Braking + Initial DF Sim'!$R$2:$R$42</c:f>
              <c:numCache>
                <c:formatCode>General</c:formatCode>
                <c:ptCount val="41"/>
                <c:pt idx="0">
                  <c:v>0</c:v>
                </c:pt>
                <c:pt idx="1">
                  <c:v>7.6522521424112616E-2</c:v>
                </c:pt>
                <c:pt idx="2">
                  <c:v>0.15304504284822523</c:v>
                </c:pt>
                <c:pt idx="3">
                  <c:v>0.22956756427233785</c:v>
                </c:pt>
                <c:pt idx="4">
                  <c:v>0.30609008569645046</c:v>
                </c:pt>
                <c:pt idx="5">
                  <c:v>0.38261260712056311</c:v>
                </c:pt>
                <c:pt idx="6">
                  <c:v>0.4591351285446757</c:v>
                </c:pt>
                <c:pt idx="7">
                  <c:v>0.53565764996878817</c:v>
                </c:pt>
                <c:pt idx="8">
                  <c:v>0.61218017139290093</c:v>
                </c:pt>
                <c:pt idx="9">
                  <c:v>0.68870269281701357</c:v>
                </c:pt>
                <c:pt idx="10">
                  <c:v>0.76522521424112622</c:v>
                </c:pt>
                <c:pt idx="11">
                  <c:v>0.84174773566523886</c:v>
                </c:pt>
                <c:pt idx="12">
                  <c:v>0.91827025708935139</c:v>
                </c:pt>
                <c:pt idx="13">
                  <c:v>0.99479277851346415</c:v>
                </c:pt>
                <c:pt idx="14">
                  <c:v>1.0713152999375763</c:v>
                </c:pt>
                <c:pt idx="15">
                  <c:v>1.1478378213616893</c:v>
                </c:pt>
                <c:pt idx="16">
                  <c:v>1.2243603427858019</c:v>
                </c:pt>
                <c:pt idx="17">
                  <c:v>1.3008828642099146</c:v>
                </c:pt>
                <c:pt idx="18">
                  <c:v>1.3774053856340271</c:v>
                </c:pt>
                <c:pt idx="19">
                  <c:v>1.4539279070581399</c:v>
                </c:pt>
                <c:pt idx="20">
                  <c:v>1.5304504284822524</c:v>
                </c:pt>
                <c:pt idx="21">
                  <c:v>1.6069729499063647</c:v>
                </c:pt>
                <c:pt idx="22">
                  <c:v>1.6834954713304777</c:v>
                </c:pt>
                <c:pt idx="23">
                  <c:v>1.7600179927545903</c:v>
                </c:pt>
                <c:pt idx="24">
                  <c:v>1.8365405141787028</c:v>
                </c:pt>
                <c:pt idx="25">
                  <c:v>1.9130630356028153</c:v>
                </c:pt>
                <c:pt idx="26">
                  <c:v>1.9895855570269283</c:v>
                </c:pt>
                <c:pt idx="27">
                  <c:v>2.0661080784510406</c:v>
                </c:pt>
                <c:pt idx="28">
                  <c:v>2.1426305998751527</c:v>
                </c:pt>
                <c:pt idx="29">
                  <c:v>2.2191531212992661</c:v>
                </c:pt>
                <c:pt idx="30">
                  <c:v>2.2956756427233787</c:v>
                </c:pt>
                <c:pt idx="31">
                  <c:v>2.3721981641474912</c:v>
                </c:pt>
                <c:pt idx="32">
                  <c:v>2.4487206855716037</c:v>
                </c:pt>
                <c:pt idx="33">
                  <c:v>2.5252432069957162</c:v>
                </c:pt>
                <c:pt idx="34">
                  <c:v>2.6017657284198292</c:v>
                </c:pt>
                <c:pt idx="35">
                  <c:v>2.6782882498439418</c:v>
                </c:pt>
                <c:pt idx="36">
                  <c:v>2.7548107712680543</c:v>
                </c:pt>
                <c:pt idx="37">
                  <c:v>2.8313332926921668</c:v>
                </c:pt>
                <c:pt idx="38">
                  <c:v>2.9078558141162798</c:v>
                </c:pt>
                <c:pt idx="39">
                  <c:v>2.9843783355403923</c:v>
                </c:pt>
                <c:pt idx="40">
                  <c:v>3.0609008569645049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2-4D12-B95E-5589F69ED385}"/>
            </c:ext>
          </c:extLst>
        </c:ser>
        <c:ser>
          <c:idx val="1"/>
          <c:order val="1"/>
          <c:tx>
            <c:v>Rear G's per Driver Force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'Braking + Initial DF Sim'!$L$2:$L$42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'Braking + Initial DF Sim'!$S$2:$S$42</c:f>
              <c:numCache>
                <c:formatCode>General</c:formatCode>
                <c:ptCount val="41"/>
                <c:pt idx="0">
                  <c:v>0</c:v>
                </c:pt>
                <c:pt idx="1">
                  <c:v>1.7718786659963133E-2</c:v>
                </c:pt>
                <c:pt idx="2">
                  <c:v>3.5437573319926266E-2</c:v>
                </c:pt>
                <c:pt idx="3">
                  <c:v>5.3156359979889392E-2</c:v>
                </c:pt>
                <c:pt idx="4">
                  <c:v>7.0875146639852532E-2</c:v>
                </c:pt>
                <c:pt idx="5">
                  <c:v>8.8593933299815672E-2</c:v>
                </c:pt>
                <c:pt idx="6">
                  <c:v>0.10631271995977878</c:v>
                </c:pt>
                <c:pt idx="7">
                  <c:v>0.12403150661974191</c:v>
                </c:pt>
                <c:pt idx="8">
                  <c:v>0.14175029327970506</c:v>
                </c:pt>
                <c:pt idx="9">
                  <c:v>0.15946907993966819</c:v>
                </c:pt>
                <c:pt idx="10">
                  <c:v>0.17718786659963134</c:v>
                </c:pt>
                <c:pt idx="11">
                  <c:v>0.19490665325959444</c:v>
                </c:pt>
                <c:pt idx="12">
                  <c:v>0.21262543991955757</c:v>
                </c:pt>
                <c:pt idx="13">
                  <c:v>0.23034422657952069</c:v>
                </c:pt>
                <c:pt idx="14">
                  <c:v>0.24806301323948382</c:v>
                </c:pt>
                <c:pt idx="15">
                  <c:v>0.265781799899447</c:v>
                </c:pt>
                <c:pt idx="16">
                  <c:v>0.28350058655941013</c:v>
                </c:pt>
                <c:pt idx="17">
                  <c:v>0.3012193732193732</c:v>
                </c:pt>
                <c:pt idx="18">
                  <c:v>0.31893815987933638</c:v>
                </c:pt>
                <c:pt idx="19">
                  <c:v>0.33665694653929945</c:v>
                </c:pt>
                <c:pt idx="20">
                  <c:v>0.35437573319926269</c:v>
                </c:pt>
                <c:pt idx="21">
                  <c:v>0.3720945198592257</c:v>
                </c:pt>
                <c:pt idx="22">
                  <c:v>0.38981330651918888</c:v>
                </c:pt>
                <c:pt idx="23">
                  <c:v>0.40753209317915201</c:v>
                </c:pt>
                <c:pt idx="24">
                  <c:v>0.42525087983911514</c:v>
                </c:pt>
                <c:pt idx="25">
                  <c:v>0.44296966649907832</c:v>
                </c:pt>
                <c:pt idx="26">
                  <c:v>0.46068845315904139</c:v>
                </c:pt>
                <c:pt idx="27">
                  <c:v>0.47840723981900452</c:v>
                </c:pt>
                <c:pt idx="28">
                  <c:v>0.49612602647896764</c:v>
                </c:pt>
                <c:pt idx="29">
                  <c:v>0.51384481313893093</c:v>
                </c:pt>
                <c:pt idx="30">
                  <c:v>0.531563599798894</c:v>
                </c:pt>
                <c:pt idx="31">
                  <c:v>0.54928238645885707</c:v>
                </c:pt>
                <c:pt idx="32">
                  <c:v>0.56700117311882026</c:v>
                </c:pt>
                <c:pt idx="33">
                  <c:v>0.58471995977878322</c:v>
                </c:pt>
                <c:pt idx="34">
                  <c:v>0.6024387464387464</c:v>
                </c:pt>
                <c:pt idx="35">
                  <c:v>0.62015753309870958</c:v>
                </c:pt>
                <c:pt idx="36">
                  <c:v>0.63787631975867276</c:v>
                </c:pt>
                <c:pt idx="37">
                  <c:v>0.65559510641863594</c:v>
                </c:pt>
                <c:pt idx="38">
                  <c:v>0.6733138930785989</c:v>
                </c:pt>
                <c:pt idx="39">
                  <c:v>0.69103267973856208</c:v>
                </c:pt>
                <c:pt idx="40">
                  <c:v>0.70875146639852538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D2-4D12-B95E-5589F69E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751551"/>
        <c:axId val="1192895871"/>
      </c:scatterChart>
      <c:valAx>
        <c:axId val="1306751551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95871"/>
        <c:crosses val="autoZero"/>
        <c:crossBetween val="midCat"/>
      </c:valAx>
      <c:valAx>
        <c:axId val="1192895871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51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Gs by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Curve Radius - 100 in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Gs'!$L$7:$W$7</c:f>
              <c:numCache>
                <c:formatCode>General</c:formatCode>
                <c:ptCount val="12"/>
                <c:pt idx="0">
                  <c:v>0.2004140786749482</c:v>
                </c:pt>
                <c:pt idx="1">
                  <c:v>0.80165631469979282</c:v>
                </c:pt>
                <c:pt idx="2">
                  <c:v>1.8037267080745343</c:v>
                </c:pt>
                <c:pt idx="3">
                  <c:v>3.2066252587991713</c:v>
                </c:pt>
                <c:pt idx="4">
                  <c:v>5.0103519668737073</c:v>
                </c:pt>
                <c:pt idx="5">
                  <c:v>7.2149068322981371</c:v>
                </c:pt>
                <c:pt idx="6">
                  <c:v>9.8202898550724615</c:v>
                </c:pt>
                <c:pt idx="7">
                  <c:v>12.826501035196685</c:v>
                </c:pt>
                <c:pt idx="8">
                  <c:v>16.233540372670809</c:v>
                </c:pt>
                <c:pt idx="9">
                  <c:v>20.041407867494829</c:v>
                </c:pt>
                <c:pt idx="10">
                  <c:v>24.250103519668738</c:v>
                </c:pt>
                <c:pt idx="11">
                  <c:v>28.859627329192548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B-4318-B8B7-01C75C023D38}"/>
            </c:ext>
          </c:extLst>
        </c:ser>
        <c:ser>
          <c:idx val="1"/>
          <c:order val="1"/>
          <c:tx>
            <c:v>Curve Radius - 120 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Gs'!$L$8:$W$8</c:f>
              <c:numCache>
                <c:formatCode>General</c:formatCode>
                <c:ptCount val="12"/>
                <c:pt idx="0">
                  <c:v>0.16701173222912349</c:v>
                </c:pt>
                <c:pt idx="1">
                  <c:v>0.66804692891649398</c:v>
                </c:pt>
                <c:pt idx="2">
                  <c:v>1.5031055900621115</c:v>
                </c:pt>
                <c:pt idx="3">
                  <c:v>2.6721877156659759</c:v>
                </c:pt>
                <c:pt idx="4">
                  <c:v>4.175293305728089</c:v>
                </c:pt>
                <c:pt idx="5">
                  <c:v>6.0124223602484461</c:v>
                </c:pt>
                <c:pt idx="6">
                  <c:v>8.1835748792270522</c:v>
                </c:pt>
                <c:pt idx="7">
                  <c:v>10.688750862663904</c:v>
                </c:pt>
                <c:pt idx="8">
                  <c:v>13.527950310559008</c:v>
                </c:pt>
                <c:pt idx="9">
                  <c:v>16.701173222912356</c:v>
                </c:pt>
                <c:pt idx="10">
                  <c:v>20.208419599723953</c:v>
                </c:pt>
                <c:pt idx="11">
                  <c:v>24.049689440993784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B-4318-B8B7-01C75C023D38}"/>
            </c:ext>
          </c:extLst>
        </c:ser>
        <c:ser>
          <c:idx val="2"/>
          <c:order val="2"/>
          <c:tx>
            <c:v>Curve Radius - 200 in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Gs'!$L$9:$W$9</c:f>
              <c:numCache>
                <c:formatCode>General</c:formatCode>
                <c:ptCount val="12"/>
                <c:pt idx="0">
                  <c:v>0.1002070393374741</c:v>
                </c:pt>
                <c:pt idx="1">
                  <c:v>0.40082815734989641</c:v>
                </c:pt>
                <c:pt idx="2">
                  <c:v>0.90186335403726714</c:v>
                </c:pt>
                <c:pt idx="3">
                  <c:v>1.6033126293995856</c:v>
                </c:pt>
                <c:pt idx="4">
                  <c:v>2.5051759834368537</c:v>
                </c:pt>
                <c:pt idx="5">
                  <c:v>3.6074534161490686</c:v>
                </c:pt>
                <c:pt idx="6">
                  <c:v>4.9101449275362308</c:v>
                </c:pt>
                <c:pt idx="7">
                  <c:v>6.4132505175983425</c:v>
                </c:pt>
                <c:pt idx="8">
                  <c:v>8.1167701863354047</c:v>
                </c:pt>
                <c:pt idx="9">
                  <c:v>10.020703933747415</c:v>
                </c:pt>
                <c:pt idx="10">
                  <c:v>12.125051759834369</c:v>
                </c:pt>
                <c:pt idx="11">
                  <c:v>14.429813664596274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BB-4318-B8B7-01C75C023D38}"/>
            </c:ext>
          </c:extLst>
        </c:ser>
        <c:ser>
          <c:idx val="3"/>
          <c:order val="3"/>
          <c:tx>
            <c:v>Curve Radius - 348 in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Gs'!$L$10:$W$10</c:f>
              <c:numCache>
                <c:formatCode>General</c:formatCode>
                <c:ptCount val="12"/>
                <c:pt idx="0">
                  <c:v>6.6804692891649406E-2</c:v>
                </c:pt>
                <c:pt idx="1">
                  <c:v>0.26721877156659762</c:v>
                </c:pt>
                <c:pt idx="2">
                  <c:v>0.60124223602484461</c:v>
                </c:pt>
                <c:pt idx="3">
                  <c:v>1.0688750862663905</c:v>
                </c:pt>
                <c:pt idx="4">
                  <c:v>1.6701173222912356</c:v>
                </c:pt>
                <c:pt idx="5">
                  <c:v>2.4049689440993784</c:v>
                </c:pt>
                <c:pt idx="6">
                  <c:v>3.2734299516908205</c:v>
                </c:pt>
                <c:pt idx="7">
                  <c:v>4.275500345065562</c:v>
                </c:pt>
                <c:pt idx="8">
                  <c:v>5.4111801242236028</c:v>
                </c:pt>
                <c:pt idx="9">
                  <c:v>6.6804692891649422</c:v>
                </c:pt>
                <c:pt idx="10">
                  <c:v>8.083367839889581</c:v>
                </c:pt>
                <c:pt idx="11">
                  <c:v>9.6198757763975138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BB-4318-B8B7-01C75C023D38}"/>
            </c:ext>
          </c:extLst>
        </c:ser>
        <c:ser>
          <c:idx val="4"/>
          <c:order val="4"/>
          <c:tx>
            <c:v>Curve Radius - 400 in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Gs'!$L$12:$W$12</c:f>
              <c:numCache>
                <c:formatCode>General</c:formatCode>
                <c:ptCount val="12"/>
                <c:pt idx="0">
                  <c:v>5.0103519668737051E-2</c:v>
                </c:pt>
                <c:pt idx="1">
                  <c:v>0.2004140786749482</c:v>
                </c:pt>
                <c:pt idx="2">
                  <c:v>0.45093167701863357</c:v>
                </c:pt>
                <c:pt idx="3">
                  <c:v>0.80165631469979282</c:v>
                </c:pt>
                <c:pt idx="4">
                  <c:v>1.2525879917184268</c:v>
                </c:pt>
                <c:pt idx="5">
                  <c:v>1.8037267080745343</c:v>
                </c:pt>
                <c:pt idx="6">
                  <c:v>2.4550724637681154</c:v>
                </c:pt>
                <c:pt idx="7">
                  <c:v>3.2066252587991713</c:v>
                </c:pt>
                <c:pt idx="8">
                  <c:v>4.0583850931677024</c:v>
                </c:pt>
                <c:pt idx="9">
                  <c:v>5.0103519668737073</c:v>
                </c:pt>
                <c:pt idx="10">
                  <c:v>6.0625258799171844</c:v>
                </c:pt>
                <c:pt idx="11">
                  <c:v>7.2149068322981371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BB-4318-B8B7-01C75C023D38}"/>
            </c:ext>
          </c:extLst>
        </c:ser>
        <c:ser>
          <c:idx val="5"/>
          <c:order val="5"/>
          <c:tx>
            <c:v>Curve Radius - 500 in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Gs'!$L$13:$W$13</c:f>
              <c:numCache>
                <c:formatCode>General</c:formatCode>
                <c:ptCount val="12"/>
                <c:pt idx="0">
                  <c:v>4.0082815734989646E-2</c:v>
                </c:pt>
                <c:pt idx="1">
                  <c:v>0.16033126293995859</c:v>
                </c:pt>
                <c:pt idx="2">
                  <c:v>0.36074534161490679</c:v>
                </c:pt>
                <c:pt idx="3">
                  <c:v>0.64132505175983434</c:v>
                </c:pt>
                <c:pt idx="4">
                  <c:v>1.0020703933747412</c:v>
                </c:pt>
                <c:pt idx="5">
                  <c:v>1.4429813664596272</c:v>
                </c:pt>
                <c:pt idx="6">
                  <c:v>1.9640579710144928</c:v>
                </c:pt>
                <c:pt idx="7">
                  <c:v>2.5653002070393374</c:v>
                </c:pt>
                <c:pt idx="8">
                  <c:v>3.2467080745341623</c:v>
                </c:pt>
                <c:pt idx="9">
                  <c:v>4.008281573498965</c:v>
                </c:pt>
                <c:pt idx="10">
                  <c:v>4.8500207039337484</c:v>
                </c:pt>
                <c:pt idx="11">
                  <c:v>5.7719254658385086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BB-4318-B8B7-01C75C023D38}"/>
            </c:ext>
          </c:extLst>
        </c:ser>
        <c:ser>
          <c:idx val="6"/>
          <c:order val="6"/>
          <c:tx>
            <c:v>Curve Radius - 600 in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Gs'!$L$14:$W$14</c:f>
              <c:numCache>
                <c:formatCode>General</c:formatCode>
                <c:ptCount val="12"/>
                <c:pt idx="0">
                  <c:v>3.3402346445824703E-2</c:v>
                </c:pt>
                <c:pt idx="1">
                  <c:v>0.13360938578329881</c:v>
                </c:pt>
                <c:pt idx="2">
                  <c:v>0.30062111801242231</c:v>
                </c:pt>
                <c:pt idx="3">
                  <c:v>0.53443754313319525</c:v>
                </c:pt>
                <c:pt idx="4">
                  <c:v>0.83505866114561778</c:v>
                </c:pt>
                <c:pt idx="5">
                  <c:v>1.2024844720496892</c:v>
                </c:pt>
                <c:pt idx="6">
                  <c:v>1.6367149758454103</c:v>
                </c:pt>
                <c:pt idx="7">
                  <c:v>2.137750172532781</c:v>
                </c:pt>
                <c:pt idx="8">
                  <c:v>2.7055900621118014</c:v>
                </c:pt>
                <c:pt idx="9">
                  <c:v>3.3402346445824711</c:v>
                </c:pt>
                <c:pt idx="10">
                  <c:v>4.0416839199447905</c:v>
                </c:pt>
                <c:pt idx="11">
                  <c:v>4.8099378881987569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BB-4318-B8B7-01C75C023D38}"/>
            </c:ext>
          </c:extLst>
        </c:ser>
        <c:ser>
          <c:idx val="7"/>
          <c:order val="7"/>
          <c:tx>
            <c:v>Curve Radius - 700 in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Gs'!$L$15:$W$15</c:f>
              <c:numCache>
                <c:formatCode>General</c:formatCode>
                <c:ptCount val="12"/>
                <c:pt idx="0">
                  <c:v>2.8630582667849746E-2</c:v>
                </c:pt>
                <c:pt idx="1">
                  <c:v>0.11452233067139898</c:v>
                </c:pt>
                <c:pt idx="2">
                  <c:v>0.25767524401064773</c:v>
                </c:pt>
                <c:pt idx="3">
                  <c:v>0.45808932268559593</c:v>
                </c:pt>
                <c:pt idx="4">
                  <c:v>0.71576456669624389</c:v>
                </c:pt>
                <c:pt idx="5">
                  <c:v>1.0307009760425909</c:v>
                </c:pt>
                <c:pt idx="6">
                  <c:v>1.4028985507246376</c:v>
                </c:pt>
                <c:pt idx="7">
                  <c:v>1.8323572907423837</c:v>
                </c:pt>
                <c:pt idx="8">
                  <c:v>2.3190771960958303</c:v>
                </c:pt>
                <c:pt idx="9">
                  <c:v>2.8630582667849755</c:v>
                </c:pt>
                <c:pt idx="10">
                  <c:v>3.4643005028098202</c:v>
                </c:pt>
                <c:pt idx="11">
                  <c:v>4.1228039041703637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BB-4318-B8B7-01C75C023D38}"/>
            </c:ext>
          </c:extLst>
        </c:ser>
        <c:ser>
          <c:idx val="8"/>
          <c:order val="8"/>
          <c:tx>
            <c:v>Curve Radius - 800 in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Gs'!$L$16:$W$16</c:f>
              <c:numCache>
                <c:formatCode>General</c:formatCode>
                <c:ptCount val="12"/>
                <c:pt idx="0">
                  <c:v>2.5051759834368525E-2</c:v>
                </c:pt>
                <c:pt idx="1">
                  <c:v>0.1002070393374741</c:v>
                </c:pt>
                <c:pt idx="2">
                  <c:v>0.22546583850931678</c:v>
                </c:pt>
                <c:pt idx="3">
                  <c:v>0.40082815734989641</c:v>
                </c:pt>
                <c:pt idx="4">
                  <c:v>0.62629399585921341</c:v>
                </c:pt>
                <c:pt idx="5">
                  <c:v>0.90186335403726714</c:v>
                </c:pt>
                <c:pt idx="6">
                  <c:v>1.2275362318840577</c:v>
                </c:pt>
                <c:pt idx="7">
                  <c:v>1.6033126293995856</c:v>
                </c:pt>
                <c:pt idx="8">
                  <c:v>2.0291925465838512</c:v>
                </c:pt>
                <c:pt idx="9">
                  <c:v>2.5051759834368537</c:v>
                </c:pt>
                <c:pt idx="10">
                  <c:v>3.0312629399585922</c:v>
                </c:pt>
                <c:pt idx="11">
                  <c:v>3.6074534161490686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BB-4318-B8B7-01C75C023D38}"/>
            </c:ext>
          </c:extLst>
        </c:ser>
        <c:ser>
          <c:idx val="9"/>
          <c:order val="9"/>
          <c:tx>
            <c:v>Curve Radius - 900 in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Gs'!$L$17:$W$17</c:f>
              <c:numCache>
                <c:formatCode>General</c:formatCode>
                <c:ptCount val="12"/>
                <c:pt idx="0">
                  <c:v>2.2268230963883136E-2</c:v>
                </c:pt>
                <c:pt idx="1">
                  <c:v>8.9072923855532546E-2</c:v>
                </c:pt>
                <c:pt idx="2">
                  <c:v>0.2004140786749482</c:v>
                </c:pt>
                <c:pt idx="3">
                  <c:v>0.35629169542213018</c:v>
                </c:pt>
                <c:pt idx="4">
                  <c:v>0.55670577409707855</c:v>
                </c:pt>
                <c:pt idx="5">
                  <c:v>0.80165631469979282</c:v>
                </c:pt>
                <c:pt idx="6">
                  <c:v>1.0911433172302738</c:v>
                </c:pt>
                <c:pt idx="7">
                  <c:v>1.4251667816885207</c:v>
                </c:pt>
                <c:pt idx="8">
                  <c:v>1.8037267080745345</c:v>
                </c:pt>
                <c:pt idx="9">
                  <c:v>2.2268230963883142</c:v>
                </c:pt>
                <c:pt idx="10">
                  <c:v>2.6944559466298599</c:v>
                </c:pt>
                <c:pt idx="11">
                  <c:v>3.2066252587991713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BB-4318-B8B7-01C75C023D38}"/>
            </c:ext>
          </c:extLst>
        </c:ser>
        <c:ser>
          <c:idx val="10"/>
          <c:order val="10"/>
          <c:tx>
            <c:v>Curve Radius - 1000 in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Gs'!$L$18:$W$18</c:f>
              <c:numCache>
                <c:formatCode>General</c:formatCode>
                <c:ptCount val="12"/>
                <c:pt idx="0">
                  <c:v>2.0041407867494823E-2</c:v>
                </c:pt>
                <c:pt idx="1">
                  <c:v>8.0165631469979293E-2</c:v>
                </c:pt>
                <c:pt idx="2">
                  <c:v>0.18037267080745339</c:v>
                </c:pt>
                <c:pt idx="3">
                  <c:v>0.32066252587991717</c:v>
                </c:pt>
                <c:pt idx="4">
                  <c:v>0.50103519668737062</c:v>
                </c:pt>
                <c:pt idx="5">
                  <c:v>0.72149068322981358</c:v>
                </c:pt>
                <c:pt idx="6">
                  <c:v>0.98202898550724638</c:v>
                </c:pt>
                <c:pt idx="7">
                  <c:v>1.2826501035196687</c:v>
                </c:pt>
                <c:pt idx="8">
                  <c:v>1.6233540372670812</c:v>
                </c:pt>
                <c:pt idx="9">
                  <c:v>2.0041407867494825</c:v>
                </c:pt>
                <c:pt idx="10">
                  <c:v>2.4250103519668742</c:v>
                </c:pt>
                <c:pt idx="11">
                  <c:v>2.8859627329192543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BB-4318-B8B7-01C75C023D38}"/>
            </c:ext>
          </c:extLst>
        </c:ser>
        <c:ser>
          <c:idx val="11"/>
          <c:order val="11"/>
          <c:tx>
            <c:v>Curve Radius - 1100 in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Gs'!$L$19:$W$19</c:f>
              <c:numCache>
                <c:formatCode>General</c:formatCode>
                <c:ptCount val="12"/>
                <c:pt idx="0">
                  <c:v>1.8219461697722567E-2</c:v>
                </c:pt>
                <c:pt idx="1">
                  <c:v>7.2877846790890266E-2</c:v>
                </c:pt>
                <c:pt idx="2">
                  <c:v>0.1639751552795031</c:v>
                </c:pt>
                <c:pt idx="3">
                  <c:v>0.29151138716356106</c:v>
                </c:pt>
                <c:pt idx="4">
                  <c:v>0.4554865424430643</c:v>
                </c:pt>
                <c:pt idx="5">
                  <c:v>0.65590062111801239</c:v>
                </c:pt>
                <c:pt idx="6">
                  <c:v>0.89275362318840568</c:v>
                </c:pt>
                <c:pt idx="7">
                  <c:v>1.1660455486542443</c:v>
                </c:pt>
                <c:pt idx="8">
                  <c:v>1.4757763975155282</c:v>
                </c:pt>
                <c:pt idx="9">
                  <c:v>1.8219461697722572</c:v>
                </c:pt>
                <c:pt idx="10">
                  <c:v>2.2045548654244311</c:v>
                </c:pt>
                <c:pt idx="11">
                  <c:v>2.6236024844720496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BB-4318-B8B7-01C75C023D38}"/>
            </c:ext>
          </c:extLst>
        </c:ser>
        <c:ser>
          <c:idx val="12"/>
          <c:order val="12"/>
          <c:tx>
            <c:v>Curve Radius - 1200 in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Gs'!$L$20:$W$20</c:f>
              <c:numCache>
                <c:formatCode>General</c:formatCode>
                <c:ptCount val="12"/>
                <c:pt idx="0">
                  <c:v>1.6701173222912351E-2</c:v>
                </c:pt>
                <c:pt idx="1">
                  <c:v>6.6804692891649406E-2</c:v>
                </c:pt>
                <c:pt idx="2">
                  <c:v>0.15031055900621115</c:v>
                </c:pt>
                <c:pt idx="3">
                  <c:v>0.26721877156659762</c:v>
                </c:pt>
                <c:pt idx="4">
                  <c:v>0.41752933057280889</c:v>
                </c:pt>
                <c:pt idx="5">
                  <c:v>0.60124223602484461</c:v>
                </c:pt>
                <c:pt idx="6">
                  <c:v>0.81835748792270513</c:v>
                </c:pt>
                <c:pt idx="7">
                  <c:v>1.0688750862663905</c:v>
                </c:pt>
                <c:pt idx="8">
                  <c:v>1.3527950310559007</c:v>
                </c:pt>
                <c:pt idx="9">
                  <c:v>1.6701173222912356</c:v>
                </c:pt>
                <c:pt idx="10">
                  <c:v>2.0208419599723952</c:v>
                </c:pt>
                <c:pt idx="11">
                  <c:v>2.4049689440993784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CBB-4318-B8B7-01C75C02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600127"/>
        <c:axId val="1555600543"/>
      </c:lineChart>
      <c:catAx>
        <c:axId val="155560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00543"/>
        <c:crosses val="autoZero"/>
        <c:auto val="1"/>
        <c:lblAlgn val="ctr"/>
        <c:lblOffset val="100"/>
        <c:noMultiLvlLbl val="0"/>
      </c:catAx>
      <c:valAx>
        <c:axId val="1555600543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0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</a:t>
            </a:r>
            <a:r>
              <a:rPr lang="en-US" baseline="0"/>
              <a:t> Steer Angle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Entry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23512210169422956"/>
                  <c:y val="-0.632500806574904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'Optimal Steer Angle Sim'!$A$15:$A$28</c:f>
              <c:numCache>
                <c:formatCode>General</c:formatCode>
                <c:ptCount val="14"/>
                <c:pt idx="0">
                  <c:v>100</c:v>
                </c:pt>
                <c:pt idx="1">
                  <c:v>120</c:v>
                </c:pt>
                <c:pt idx="2">
                  <c:v>200</c:v>
                </c:pt>
                <c:pt idx="3">
                  <c:v>300</c:v>
                </c:pt>
                <c:pt idx="4">
                  <c:v>348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700</c:v>
                </c:pt>
                <c:pt idx="9">
                  <c:v>800</c:v>
                </c:pt>
                <c:pt idx="10">
                  <c:v>900</c:v>
                </c:pt>
                <c:pt idx="11">
                  <c:v>1000</c:v>
                </c:pt>
                <c:pt idx="12">
                  <c:v>1100</c:v>
                </c:pt>
                <c:pt idx="13">
                  <c:v>1200</c:v>
                </c:pt>
              </c:numCache>
            </c:numRef>
          </c:xVal>
          <c:yVal>
            <c:numRef>
              <c:f>'Optimal Steer Angle Sim'!$B$15:$B$28</c:f>
              <c:numCache>
                <c:formatCode>General</c:formatCode>
                <c:ptCount val="14"/>
                <c:pt idx="0">
                  <c:v>14.5</c:v>
                </c:pt>
                <c:pt idx="1">
                  <c:v>11</c:v>
                </c:pt>
                <c:pt idx="2">
                  <c:v>4.5</c:v>
                </c:pt>
                <c:pt idx="3">
                  <c:v>2.5</c:v>
                </c:pt>
                <c:pt idx="4">
                  <c:v>2</c:v>
                </c:pt>
                <c:pt idx="5">
                  <c:v>2</c:v>
                </c:pt>
                <c:pt idx="6">
                  <c:v>1.5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5-4B7B-B632-88844E22A5B9}"/>
            </c:ext>
          </c:extLst>
        </c:ser>
        <c:ser>
          <c:idx val="1"/>
          <c:order val="1"/>
          <c:tx>
            <c:v>Apex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23502329692079202"/>
                  <c:y val="-0.501218159333499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'Optimal Steer Angle Sim'!$A$32:$A$45</c:f>
              <c:numCache>
                <c:formatCode>General</c:formatCode>
                <c:ptCount val="14"/>
                <c:pt idx="0">
                  <c:v>100</c:v>
                </c:pt>
                <c:pt idx="1">
                  <c:v>120</c:v>
                </c:pt>
                <c:pt idx="2">
                  <c:v>200</c:v>
                </c:pt>
                <c:pt idx="3">
                  <c:v>300</c:v>
                </c:pt>
                <c:pt idx="4">
                  <c:v>348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700</c:v>
                </c:pt>
                <c:pt idx="9">
                  <c:v>800</c:v>
                </c:pt>
                <c:pt idx="10">
                  <c:v>900</c:v>
                </c:pt>
                <c:pt idx="11">
                  <c:v>1000</c:v>
                </c:pt>
                <c:pt idx="12">
                  <c:v>1100</c:v>
                </c:pt>
                <c:pt idx="13">
                  <c:v>1200</c:v>
                </c:pt>
              </c:numCache>
            </c:numRef>
          </c:xVal>
          <c:yVal>
            <c:numRef>
              <c:f>'Optimal Steer Angle Sim'!$B$32:$B$45</c:f>
              <c:numCache>
                <c:formatCode>General</c:formatCode>
                <c:ptCount val="14"/>
                <c:pt idx="0">
                  <c:v>22.5</c:v>
                </c:pt>
                <c:pt idx="1">
                  <c:v>18.5</c:v>
                </c:pt>
                <c:pt idx="2">
                  <c:v>12.5</c:v>
                </c:pt>
                <c:pt idx="3">
                  <c:v>6.5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2.5</c:v>
                </c:pt>
                <c:pt idx="8">
                  <c:v>2</c:v>
                </c:pt>
                <c:pt idx="9">
                  <c:v>2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7-4A4F-A007-2A2F7E201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586463"/>
        <c:axId val="332586879"/>
      </c:scatterChart>
      <c:valAx>
        <c:axId val="332586463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Curve</a:t>
                </a:r>
                <a:r>
                  <a:rPr lang="en-US" baseline="0"/>
                  <a:t> Radius (in)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86879"/>
        <c:crosses val="autoZero"/>
        <c:crossBetween val="midCat"/>
      </c:valAx>
      <c:valAx>
        <c:axId val="3325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 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86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Front</a:t>
            </a:r>
            <a:r>
              <a:rPr lang="en-US" baseline="0"/>
              <a:t> -&gt; No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Front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'K_ARB vs. Roll Gradient Sim'!$L$2:$L$72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Sim'!$Z$2:$Z$72</c:f>
              <c:numCache>
                <c:formatCode>General</c:formatCode>
                <c:ptCount val="71"/>
                <c:pt idx="0">
                  <c:v>174610.06787193369</c:v>
                </c:pt>
                <c:pt idx="1">
                  <c:v>17281.006787193368</c:v>
                </c:pt>
                <c:pt idx="2">
                  <c:v>8540.503393596684</c:v>
                </c:pt>
                <c:pt idx="3">
                  <c:v>5627.0022623977893</c:v>
                </c:pt>
                <c:pt idx="4">
                  <c:v>4170.251696798342</c:v>
                </c:pt>
                <c:pt idx="5">
                  <c:v>3296.2013574386738</c:v>
                </c:pt>
                <c:pt idx="6">
                  <c:v>2713.5011311988951</c:v>
                </c:pt>
                <c:pt idx="7">
                  <c:v>2297.2866838847672</c:v>
                </c:pt>
                <c:pt idx="8">
                  <c:v>1985.125848399171</c:v>
                </c:pt>
                <c:pt idx="9">
                  <c:v>1742.33408746593</c:v>
                </c:pt>
                <c:pt idx="10">
                  <c:v>1548.1006787193369</c:v>
                </c:pt>
                <c:pt idx="11">
                  <c:v>1389.1824351993973</c:v>
                </c:pt>
                <c:pt idx="12">
                  <c:v>1256.7505655994476</c:v>
                </c:pt>
                <c:pt idx="13">
                  <c:v>1144.6928297841052</c:v>
                </c:pt>
                <c:pt idx="14">
                  <c:v>1048.6433419423834</c:v>
                </c:pt>
                <c:pt idx="15">
                  <c:v>965.40045247955777</c:v>
                </c:pt>
                <c:pt idx="16">
                  <c:v>892.56292419958527</c:v>
                </c:pt>
                <c:pt idx="17">
                  <c:v>828.2945168937274</c:v>
                </c:pt>
                <c:pt idx="18">
                  <c:v>771.16704373296454</c:v>
                </c:pt>
                <c:pt idx="19">
                  <c:v>720.05298879965073</c:v>
                </c:pt>
                <c:pt idx="20">
                  <c:v>674.05033935966821</c:v>
                </c:pt>
                <c:pt idx="21">
                  <c:v>632.42889462825542</c:v>
                </c:pt>
                <c:pt idx="22">
                  <c:v>594.59121759969833</c:v>
                </c:pt>
                <c:pt idx="23">
                  <c:v>560.04377335623326</c:v>
                </c:pt>
                <c:pt idx="24">
                  <c:v>528.37528279972344</c:v>
                </c:pt>
                <c:pt idx="25">
                  <c:v>499.2402714877345</c:v>
                </c:pt>
                <c:pt idx="26">
                  <c:v>472.34641489205239</c:v>
                </c:pt>
                <c:pt idx="27">
                  <c:v>447.44469582197644</c:v>
                </c:pt>
                <c:pt idx="28">
                  <c:v>424.32167097119145</c:v>
                </c:pt>
                <c:pt idx="29">
                  <c:v>402.79333748942622</c:v>
                </c:pt>
                <c:pt idx="30">
                  <c:v>382.70022623977877</c:v>
                </c:pt>
                <c:pt idx="31">
                  <c:v>363.90344474817289</c:v>
                </c:pt>
                <c:pt idx="32">
                  <c:v>346.28146209979252</c:v>
                </c:pt>
                <c:pt idx="33">
                  <c:v>329.72747839979877</c:v>
                </c:pt>
                <c:pt idx="34">
                  <c:v>314.14725844686348</c:v>
                </c:pt>
                <c:pt idx="35">
                  <c:v>299.45733677695318</c:v>
                </c:pt>
                <c:pt idx="36">
                  <c:v>285.58352186648222</c:v>
                </c:pt>
                <c:pt idx="37">
                  <c:v>272.45964289711782</c:v>
                </c:pt>
                <c:pt idx="38">
                  <c:v>260.02649439982525</c:v>
                </c:pt>
                <c:pt idx="39">
                  <c:v>248.23094326136822</c:v>
                </c:pt>
                <c:pt idx="40">
                  <c:v>237.02516967983405</c:v>
                </c:pt>
                <c:pt idx="41">
                  <c:v>226.36601919983809</c:v>
                </c:pt>
                <c:pt idx="42">
                  <c:v>216.21444731412771</c:v>
                </c:pt>
                <c:pt idx="43">
                  <c:v>206.53504156263642</c:v>
                </c:pt>
                <c:pt idx="44">
                  <c:v>197.29560879984928</c:v>
                </c:pt>
                <c:pt idx="45">
                  <c:v>188.46681749318594</c:v>
                </c:pt>
                <c:pt idx="46">
                  <c:v>180.02188667811674</c:v>
                </c:pt>
                <c:pt idx="47">
                  <c:v>171.93631462113558</c:v>
                </c:pt>
                <c:pt idx="48">
                  <c:v>164.18764139986189</c:v>
                </c:pt>
                <c:pt idx="49">
                  <c:v>156.7552405549668</c:v>
                </c:pt>
                <c:pt idx="50">
                  <c:v>149.62013574386748</c:v>
                </c:pt>
                <c:pt idx="51">
                  <c:v>142.76483896457597</c:v>
                </c:pt>
                <c:pt idx="52">
                  <c:v>136.17320744602648</c:v>
                </c:pt>
                <c:pt idx="53">
                  <c:v>129.83031673949768</c:v>
                </c:pt>
                <c:pt idx="54">
                  <c:v>123.7223479109885</c:v>
                </c:pt>
                <c:pt idx="55">
                  <c:v>117.83648703987961</c:v>
                </c:pt>
                <c:pt idx="56">
                  <c:v>112.16083548559607</c:v>
                </c:pt>
                <c:pt idx="57">
                  <c:v>106.68432959988388</c:v>
                </c:pt>
                <c:pt idx="58">
                  <c:v>101.39666874471351</c:v>
                </c:pt>
                <c:pt idx="59">
                  <c:v>96.288250630396305</c:v>
                </c:pt>
                <c:pt idx="60">
                  <c:v>91.350113119889784</c:v>
                </c:pt>
                <c:pt idx="61">
                  <c:v>86.573881757268623</c:v>
                </c:pt>
                <c:pt idx="62">
                  <c:v>81.951722374086899</c:v>
                </c:pt>
                <c:pt idx="63">
                  <c:v>77.476298209418815</c:v>
                </c:pt>
                <c:pt idx="64">
                  <c:v>73.140731049896658</c:v>
                </c:pt>
                <c:pt idx="65">
                  <c:v>68.938565956821378</c:v>
                </c:pt>
                <c:pt idx="66">
                  <c:v>64.86373919989984</c:v>
                </c:pt>
                <c:pt idx="67">
                  <c:v>60.910549062587904</c:v>
                </c:pt>
                <c:pt idx="68">
                  <c:v>57.073629223432192</c:v>
                </c:pt>
                <c:pt idx="69">
                  <c:v>53.347924452078104</c:v>
                </c:pt>
                <c:pt idx="70">
                  <c:v>49.728668388477018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6B-4313-B3B1-3313F2B3E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</a:t>
                </a:r>
                <a:r>
                  <a:rPr lang="en-US" baseline="0"/>
                  <a:t>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Rear -&gt; No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Rear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'K_ARB vs. Roll Gradient Sim'!$M$2:$M$72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Sim'!$AA$2:$AA$72</c:f>
              <c:numCache>
                <c:formatCode>General</c:formatCode>
                <c:ptCount val="71"/>
                <c:pt idx="0">
                  <c:v>174560.06787193369</c:v>
                </c:pt>
                <c:pt idx="1">
                  <c:v>17231.006787193368</c:v>
                </c:pt>
                <c:pt idx="2">
                  <c:v>8490.503393596684</c:v>
                </c:pt>
                <c:pt idx="3">
                  <c:v>5577.0022623977893</c:v>
                </c:pt>
                <c:pt idx="4">
                  <c:v>4120.251696798342</c:v>
                </c:pt>
                <c:pt idx="5">
                  <c:v>3246.2013574386738</c:v>
                </c:pt>
                <c:pt idx="6">
                  <c:v>2663.5011311988951</c:v>
                </c:pt>
                <c:pt idx="7">
                  <c:v>2247.2866838847672</c:v>
                </c:pt>
                <c:pt idx="8">
                  <c:v>1935.125848399171</c:v>
                </c:pt>
                <c:pt idx="9">
                  <c:v>1692.33408746593</c:v>
                </c:pt>
                <c:pt idx="10">
                  <c:v>1498.1006787193369</c:v>
                </c:pt>
                <c:pt idx="11">
                  <c:v>1339.1824351993973</c:v>
                </c:pt>
                <c:pt idx="12">
                  <c:v>1206.7505655994476</c:v>
                </c:pt>
                <c:pt idx="13">
                  <c:v>1094.6928297841052</c:v>
                </c:pt>
                <c:pt idx="14">
                  <c:v>998.64334194238336</c:v>
                </c:pt>
                <c:pt idx="15">
                  <c:v>915.40045247955777</c:v>
                </c:pt>
                <c:pt idx="16">
                  <c:v>842.56292419958527</c:v>
                </c:pt>
                <c:pt idx="17">
                  <c:v>778.2945168937274</c:v>
                </c:pt>
                <c:pt idx="18">
                  <c:v>721.16704373296454</c:v>
                </c:pt>
                <c:pt idx="19">
                  <c:v>670.05298879965073</c:v>
                </c:pt>
                <c:pt idx="20">
                  <c:v>624.05033935966821</c:v>
                </c:pt>
                <c:pt idx="21">
                  <c:v>582.42889462825542</c:v>
                </c:pt>
                <c:pt idx="22">
                  <c:v>544.59121759969833</c:v>
                </c:pt>
                <c:pt idx="23">
                  <c:v>510.04377335623326</c:v>
                </c:pt>
                <c:pt idx="24">
                  <c:v>478.37528279972344</c:v>
                </c:pt>
                <c:pt idx="25">
                  <c:v>449.2402714877345</c:v>
                </c:pt>
                <c:pt idx="26">
                  <c:v>422.34641489205239</c:v>
                </c:pt>
                <c:pt idx="27">
                  <c:v>397.44469582197644</c:v>
                </c:pt>
                <c:pt idx="28">
                  <c:v>374.32167097119145</c:v>
                </c:pt>
                <c:pt idx="29">
                  <c:v>352.79333748942622</c:v>
                </c:pt>
                <c:pt idx="30">
                  <c:v>332.70022623977877</c:v>
                </c:pt>
                <c:pt idx="31">
                  <c:v>313.90344474817289</c:v>
                </c:pt>
                <c:pt idx="32">
                  <c:v>296.28146209979252</c:v>
                </c:pt>
                <c:pt idx="33">
                  <c:v>279.72747839979877</c:v>
                </c:pt>
                <c:pt idx="34">
                  <c:v>264.14725844686348</c:v>
                </c:pt>
                <c:pt idx="35">
                  <c:v>249.45733677695318</c:v>
                </c:pt>
                <c:pt idx="36">
                  <c:v>235.58352186648222</c:v>
                </c:pt>
                <c:pt idx="37">
                  <c:v>222.45964289711782</c:v>
                </c:pt>
                <c:pt idx="38">
                  <c:v>210.02649439982525</c:v>
                </c:pt>
                <c:pt idx="39">
                  <c:v>198.23094326136822</c:v>
                </c:pt>
                <c:pt idx="40">
                  <c:v>187.02516967983405</c:v>
                </c:pt>
                <c:pt idx="41">
                  <c:v>176.36601919983809</c:v>
                </c:pt>
                <c:pt idx="42">
                  <c:v>166.21444731412771</c:v>
                </c:pt>
                <c:pt idx="43">
                  <c:v>156.53504156263642</c:v>
                </c:pt>
                <c:pt idx="44">
                  <c:v>147.29560879984928</c:v>
                </c:pt>
                <c:pt idx="45">
                  <c:v>138.46681749318594</c:v>
                </c:pt>
                <c:pt idx="46">
                  <c:v>130.02188667811674</c:v>
                </c:pt>
                <c:pt idx="47">
                  <c:v>121.93631462113558</c:v>
                </c:pt>
                <c:pt idx="48">
                  <c:v>114.18764139986189</c:v>
                </c:pt>
                <c:pt idx="49">
                  <c:v>106.7552405549668</c:v>
                </c:pt>
                <c:pt idx="50">
                  <c:v>99.620135743867479</c:v>
                </c:pt>
                <c:pt idx="51">
                  <c:v>92.764838964575972</c:v>
                </c:pt>
                <c:pt idx="52">
                  <c:v>86.173207446026481</c:v>
                </c:pt>
                <c:pt idx="53">
                  <c:v>79.830316739497675</c:v>
                </c:pt>
                <c:pt idx="54">
                  <c:v>73.722347910988503</c:v>
                </c:pt>
                <c:pt idx="55">
                  <c:v>67.836487039879614</c:v>
                </c:pt>
                <c:pt idx="56">
                  <c:v>62.160835485596067</c:v>
                </c:pt>
                <c:pt idx="57">
                  <c:v>56.684329599883881</c:v>
                </c:pt>
                <c:pt idx="58">
                  <c:v>51.396668744713509</c:v>
                </c:pt>
                <c:pt idx="59">
                  <c:v>46.288250630396305</c:v>
                </c:pt>
                <c:pt idx="60">
                  <c:v>41.350113119889784</c:v>
                </c:pt>
                <c:pt idx="61">
                  <c:v>36.573881757268623</c:v>
                </c:pt>
                <c:pt idx="62">
                  <c:v>31.951722374086899</c:v>
                </c:pt>
                <c:pt idx="63">
                  <c:v>27.476298209418815</c:v>
                </c:pt>
                <c:pt idx="64">
                  <c:v>23.140731049896658</c:v>
                </c:pt>
                <c:pt idx="65">
                  <c:v>18.938565956821378</c:v>
                </c:pt>
                <c:pt idx="66">
                  <c:v>14.86373919989984</c:v>
                </c:pt>
                <c:pt idx="67">
                  <c:v>10.910549062587904</c:v>
                </c:pt>
                <c:pt idx="68">
                  <c:v>7.0736292234321922</c:v>
                </c:pt>
                <c:pt idx="69">
                  <c:v>3.3479244520781037</c:v>
                </c:pt>
                <c:pt idx="70">
                  <c:v>-0.27133161152298158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4B-474E-A2DF-BF889573D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(lb./in)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Front</a:t>
            </a:r>
            <a:r>
              <a:rPr lang="en-US" baseline="0"/>
              <a:t> -&gt; 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Front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'K_ARB vs. Roll Gradient Sim'!$L$2:$L$72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Sim'!$AB$2:$AB$72</c:f>
              <c:numCache>
                <c:formatCode>General</c:formatCode>
                <c:ptCount val="71"/>
                <c:pt idx="0">
                  <c:v>174610.06787193369</c:v>
                </c:pt>
                <c:pt idx="1">
                  <c:v>17281.006787193368</c:v>
                </c:pt>
                <c:pt idx="2">
                  <c:v>8540.503393596684</c:v>
                </c:pt>
                <c:pt idx="3">
                  <c:v>5627.0022623977893</c:v>
                </c:pt>
                <c:pt idx="4">
                  <c:v>4170.251696798342</c:v>
                </c:pt>
                <c:pt idx="5">
                  <c:v>3296.2013574386738</c:v>
                </c:pt>
                <c:pt idx="6">
                  <c:v>2713.5011311988951</c:v>
                </c:pt>
                <c:pt idx="7">
                  <c:v>2297.2866838847672</c:v>
                </c:pt>
                <c:pt idx="8">
                  <c:v>1985.125848399171</c:v>
                </c:pt>
                <c:pt idx="9">
                  <c:v>1742.33408746593</c:v>
                </c:pt>
                <c:pt idx="10">
                  <c:v>1548.1006787193369</c:v>
                </c:pt>
                <c:pt idx="11">
                  <c:v>1389.1824351993973</c:v>
                </c:pt>
                <c:pt idx="12">
                  <c:v>1256.7505655994476</c:v>
                </c:pt>
                <c:pt idx="13">
                  <c:v>1144.6928297841052</c:v>
                </c:pt>
                <c:pt idx="14">
                  <c:v>1048.6433419423834</c:v>
                </c:pt>
                <c:pt idx="15">
                  <c:v>965.40045247955777</c:v>
                </c:pt>
                <c:pt idx="16">
                  <c:v>892.56292419958527</c:v>
                </c:pt>
                <c:pt idx="17">
                  <c:v>828.2945168937274</c:v>
                </c:pt>
                <c:pt idx="18">
                  <c:v>771.16704373296454</c:v>
                </c:pt>
                <c:pt idx="19">
                  <c:v>720.05298879965073</c:v>
                </c:pt>
                <c:pt idx="20">
                  <c:v>674.05033935966821</c:v>
                </c:pt>
                <c:pt idx="21">
                  <c:v>632.42889462825542</c:v>
                </c:pt>
                <c:pt idx="22">
                  <c:v>594.59121759969833</c:v>
                </c:pt>
                <c:pt idx="23">
                  <c:v>560.04377335623326</c:v>
                </c:pt>
                <c:pt idx="24">
                  <c:v>528.37528279972344</c:v>
                </c:pt>
                <c:pt idx="25">
                  <c:v>499.2402714877345</c:v>
                </c:pt>
                <c:pt idx="26">
                  <c:v>472.34641489205239</c:v>
                </c:pt>
                <c:pt idx="27">
                  <c:v>447.44469582197644</c:v>
                </c:pt>
                <c:pt idx="28">
                  <c:v>424.32167097119145</c:v>
                </c:pt>
                <c:pt idx="29">
                  <c:v>402.79333748942622</c:v>
                </c:pt>
                <c:pt idx="30">
                  <c:v>382.70022623977877</c:v>
                </c:pt>
                <c:pt idx="31">
                  <c:v>363.90344474817289</c:v>
                </c:pt>
                <c:pt idx="32">
                  <c:v>346.28146209979252</c:v>
                </c:pt>
                <c:pt idx="33">
                  <c:v>329.72747839979877</c:v>
                </c:pt>
                <c:pt idx="34">
                  <c:v>314.14725844686348</c:v>
                </c:pt>
                <c:pt idx="35">
                  <c:v>299.45733677695318</c:v>
                </c:pt>
                <c:pt idx="36">
                  <c:v>285.58352186648222</c:v>
                </c:pt>
                <c:pt idx="37">
                  <c:v>272.45964289711782</c:v>
                </c:pt>
                <c:pt idx="38">
                  <c:v>260.02649439982525</c:v>
                </c:pt>
                <c:pt idx="39">
                  <c:v>248.23094326136822</c:v>
                </c:pt>
                <c:pt idx="40">
                  <c:v>237.02516967983405</c:v>
                </c:pt>
                <c:pt idx="41">
                  <c:v>226.36601919983809</c:v>
                </c:pt>
                <c:pt idx="42">
                  <c:v>216.21444731412771</c:v>
                </c:pt>
                <c:pt idx="43">
                  <c:v>206.53504156263642</c:v>
                </c:pt>
                <c:pt idx="44">
                  <c:v>197.29560879984928</c:v>
                </c:pt>
                <c:pt idx="45">
                  <c:v>188.46681749318594</c:v>
                </c:pt>
                <c:pt idx="46">
                  <c:v>180.02188667811674</c:v>
                </c:pt>
                <c:pt idx="47">
                  <c:v>171.93631462113558</c:v>
                </c:pt>
                <c:pt idx="48">
                  <c:v>164.18764139986189</c:v>
                </c:pt>
                <c:pt idx="49">
                  <c:v>156.7552405549668</c:v>
                </c:pt>
                <c:pt idx="50">
                  <c:v>149.62013574386748</c:v>
                </c:pt>
                <c:pt idx="51">
                  <c:v>142.76483896457597</c:v>
                </c:pt>
                <c:pt idx="52">
                  <c:v>136.17320744602648</c:v>
                </c:pt>
                <c:pt idx="53">
                  <c:v>129.83031673949768</c:v>
                </c:pt>
                <c:pt idx="54">
                  <c:v>123.7223479109885</c:v>
                </c:pt>
                <c:pt idx="55">
                  <c:v>117.83648703987961</c:v>
                </c:pt>
                <c:pt idx="56">
                  <c:v>112.16083548559607</c:v>
                </c:pt>
                <c:pt idx="57">
                  <c:v>106.68432959988388</c:v>
                </c:pt>
                <c:pt idx="58">
                  <c:v>101.39666874471351</c:v>
                </c:pt>
                <c:pt idx="59">
                  <c:v>96.288250630396305</c:v>
                </c:pt>
                <c:pt idx="60">
                  <c:v>91.350113119889784</c:v>
                </c:pt>
                <c:pt idx="61">
                  <c:v>86.573881757268623</c:v>
                </c:pt>
                <c:pt idx="62">
                  <c:v>81.951722374086899</c:v>
                </c:pt>
                <c:pt idx="63">
                  <c:v>77.476298209418815</c:v>
                </c:pt>
                <c:pt idx="64">
                  <c:v>73.140731049896658</c:v>
                </c:pt>
                <c:pt idx="65">
                  <c:v>68.938565956821378</c:v>
                </c:pt>
                <c:pt idx="66">
                  <c:v>64.86373919989984</c:v>
                </c:pt>
                <c:pt idx="67">
                  <c:v>60.910549062587904</c:v>
                </c:pt>
                <c:pt idx="68">
                  <c:v>57.073629223432192</c:v>
                </c:pt>
                <c:pt idx="69">
                  <c:v>53.347924452078104</c:v>
                </c:pt>
                <c:pt idx="70">
                  <c:v>49.728668388477018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D0-4B7D-AEC7-A89C5AC76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</a:t>
                </a:r>
                <a:r>
                  <a:rPr lang="en-US" baseline="0"/>
                  <a:t>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Rear -&gt;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Rear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'K_ARB vs. Roll Gradient Sim'!$M$2:$M$72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Sim'!$AC$2:$AC$72</c:f>
              <c:numCache>
                <c:formatCode>General</c:formatCode>
                <c:ptCount val="71"/>
                <c:pt idx="0">
                  <c:v>174560.06787193369</c:v>
                </c:pt>
                <c:pt idx="1">
                  <c:v>17231.006787193368</c:v>
                </c:pt>
                <c:pt idx="2">
                  <c:v>8490.503393596684</c:v>
                </c:pt>
                <c:pt idx="3">
                  <c:v>5577.0022623977893</c:v>
                </c:pt>
                <c:pt idx="4">
                  <c:v>4120.251696798342</c:v>
                </c:pt>
                <c:pt idx="5">
                  <c:v>3246.2013574386738</c:v>
                </c:pt>
                <c:pt idx="6">
                  <c:v>2663.5011311988951</c:v>
                </c:pt>
                <c:pt idx="7">
                  <c:v>2247.2866838847672</c:v>
                </c:pt>
                <c:pt idx="8">
                  <c:v>1935.125848399171</c:v>
                </c:pt>
                <c:pt idx="9">
                  <c:v>1692.33408746593</c:v>
                </c:pt>
                <c:pt idx="10">
                  <c:v>1498.1006787193369</c:v>
                </c:pt>
                <c:pt idx="11">
                  <c:v>1339.1824351993973</c:v>
                </c:pt>
                <c:pt idx="12">
                  <c:v>1206.7505655994476</c:v>
                </c:pt>
                <c:pt idx="13">
                  <c:v>1094.6928297841052</c:v>
                </c:pt>
                <c:pt idx="14">
                  <c:v>998.64334194238336</c:v>
                </c:pt>
                <c:pt idx="15">
                  <c:v>915.40045247955777</c:v>
                </c:pt>
                <c:pt idx="16">
                  <c:v>842.56292419958527</c:v>
                </c:pt>
                <c:pt idx="17">
                  <c:v>778.2945168937274</c:v>
                </c:pt>
                <c:pt idx="18">
                  <c:v>721.16704373296454</c:v>
                </c:pt>
                <c:pt idx="19">
                  <c:v>670.05298879965073</c:v>
                </c:pt>
                <c:pt idx="20">
                  <c:v>624.05033935966821</c:v>
                </c:pt>
                <c:pt idx="21">
                  <c:v>582.42889462825542</c:v>
                </c:pt>
                <c:pt idx="22">
                  <c:v>544.59121759969833</c:v>
                </c:pt>
                <c:pt idx="23">
                  <c:v>510.04377335623326</c:v>
                </c:pt>
                <c:pt idx="24">
                  <c:v>478.37528279972344</c:v>
                </c:pt>
                <c:pt idx="25">
                  <c:v>449.2402714877345</c:v>
                </c:pt>
                <c:pt idx="26">
                  <c:v>422.34641489205239</c:v>
                </c:pt>
                <c:pt idx="27">
                  <c:v>397.44469582197644</c:v>
                </c:pt>
                <c:pt idx="28">
                  <c:v>374.32167097119145</c:v>
                </c:pt>
                <c:pt idx="29">
                  <c:v>352.79333748942622</c:v>
                </c:pt>
                <c:pt idx="30">
                  <c:v>332.70022623977877</c:v>
                </c:pt>
                <c:pt idx="31">
                  <c:v>313.90344474817289</c:v>
                </c:pt>
                <c:pt idx="32">
                  <c:v>296.28146209979252</c:v>
                </c:pt>
                <c:pt idx="33">
                  <c:v>279.72747839979877</c:v>
                </c:pt>
                <c:pt idx="34">
                  <c:v>264.14725844686348</c:v>
                </c:pt>
                <c:pt idx="35">
                  <c:v>249.45733677695318</c:v>
                </c:pt>
                <c:pt idx="36">
                  <c:v>235.58352186648222</c:v>
                </c:pt>
                <c:pt idx="37">
                  <c:v>222.45964289711782</c:v>
                </c:pt>
                <c:pt idx="38">
                  <c:v>210.02649439982525</c:v>
                </c:pt>
                <c:pt idx="39">
                  <c:v>198.23094326136822</c:v>
                </c:pt>
                <c:pt idx="40">
                  <c:v>187.02516967983405</c:v>
                </c:pt>
                <c:pt idx="41">
                  <c:v>176.36601919983809</c:v>
                </c:pt>
                <c:pt idx="42">
                  <c:v>166.21444731412771</c:v>
                </c:pt>
                <c:pt idx="43">
                  <c:v>156.53504156263642</c:v>
                </c:pt>
                <c:pt idx="44">
                  <c:v>147.29560879984928</c:v>
                </c:pt>
                <c:pt idx="45">
                  <c:v>138.46681749318594</c:v>
                </c:pt>
                <c:pt idx="46">
                  <c:v>130.02188667811674</c:v>
                </c:pt>
                <c:pt idx="47">
                  <c:v>121.93631462113558</c:v>
                </c:pt>
                <c:pt idx="48">
                  <c:v>114.18764139986189</c:v>
                </c:pt>
                <c:pt idx="49">
                  <c:v>106.7552405549668</c:v>
                </c:pt>
                <c:pt idx="50">
                  <c:v>99.620135743867479</c:v>
                </c:pt>
                <c:pt idx="51">
                  <c:v>92.764838964575972</c:v>
                </c:pt>
                <c:pt idx="52">
                  <c:v>86.173207446026481</c:v>
                </c:pt>
                <c:pt idx="53">
                  <c:v>79.830316739497675</c:v>
                </c:pt>
                <c:pt idx="54">
                  <c:v>73.722347910988503</c:v>
                </c:pt>
                <c:pt idx="55">
                  <c:v>67.836487039879614</c:v>
                </c:pt>
                <c:pt idx="56">
                  <c:v>62.160835485596067</c:v>
                </c:pt>
                <c:pt idx="57">
                  <c:v>56.684329599883881</c:v>
                </c:pt>
                <c:pt idx="58">
                  <c:v>51.396668744713509</c:v>
                </c:pt>
                <c:pt idx="59">
                  <c:v>46.288250630396305</c:v>
                </c:pt>
                <c:pt idx="60">
                  <c:v>41.350113119889784</c:v>
                </c:pt>
                <c:pt idx="61">
                  <c:v>36.573881757268623</c:v>
                </c:pt>
                <c:pt idx="62">
                  <c:v>31.951722374086899</c:v>
                </c:pt>
                <c:pt idx="63">
                  <c:v>27.476298209418815</c:v>
                </c:pt>
                <c:pt idx="64">
                  <c:v>23.140731049896658</c:v>
                </c:pt>
                <c:pt idx="65">
                  <c:v>18.938565956821378</c:v>
                </c:pt>
                <c:pt idx="66">
                  <c:v>14.86373919989984</c:v>
                </c:pt>
                <c:pt idx="67">
                  <c:v>10.910549062587904</c:v>
                </c:pt>
                <c:pt idx="68">
                  <c:v>7.0736292234321922</c:v>
                </c:pt>
                <c:pt idx="69">
                  <c:v>3.3479244520781037</c:v>
                </c:pt>
                <c:pt idx="70">
                  <c:v>-0.27133161152298158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D8-44FC-AD21-19DA421A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(lb./in)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- 50%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- 50%</c:v>
          </c:tx>
          <c:spPr>
            <a:ln w="19050" cap="rnd">
              <a:solidFill>
                <a:srgbClr val="FF0000">
                  <a:alpha val="86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Sim'!$F$2:$F$42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Sim'!$O$2:$O$42</c:f>
              <c:numCache>
                <c:formatCode>General</c:formatCode>
                <c:ptCount val="41"/>
                <c:pt idx="0">
                  <c:v>0</c:v>
                </c:pt>
                <c:pt idx="1">
                  <c:v>7.5358949743093387E-2</c:v>
                </c:pt>
                <c:pt idx="2">
                  <c:v>0.14846046739435145</c:v>
                </c:pt>
                <c:pt idx="3">
                  <c:v>0.21940449062862705</c:v>
                </c:pt>
                <c:pt idx="4">
                  <c:v>0.28828514385019616</c:v>
                </c:pt>
                <c:pt idx="5">
                  <c:v>0.35519115482388558</c:v>
                </c:pt>
                <c:pt idx="6">
                  <c:v>0.42020623598111251</c:v>
                </c:pt>
                <c:pt idx="7">
                  <c:v>0.48340943384645813</c:v>
                </c:pt>
                <c:pt idx="8">
                  <c:v>0.54487544965157408</c:v>
                </c:pt>
                <c:pt idx="9">
                  <c:v>0.60467493387061721</c:v>
                </c:pt>
                <c:pt idx="10">
                  <c:v>0.66287475711885335</c:v>
                </c:pt>
                <c:pt idx="11">
                  <c:v>0.71953825959824669</c:v>
                </c:pt>
                <c:pt idx="12">
                  <c:v>0.77472548104627958</c:v>
                </c:pt>
                <c:pt idx="13">
                  <c:v>0.82849337294299297</c:v>
                </c:pt>
                <c:pt idx="14">
                  <c:v>0.88089599455298961</c:v>
                </c:pt>
                <c:pt idx="15">
                  <c:v>0.93198469422100949</c:v>
                </c:pt>
                <c:pt idx="16">
                  <c:v>0.98180827719915642</c:v>
                </c:pt>
                <c:pt idx="17">
                  <c:v>1.0304131611588239</c:v>
                </c:pt>
                <c:pt idx="18">
                  <c:v>1.0778435204288992</c:v>
                </c:pt>
                <c:pt idx="19">
                  <c:v>1.1241414199023614</c:v>
                </c:pt>
                <c:pt idx="20">
                  <c:v>1.1693469394644638</c:v>
                </c:pt>
                <c:pt idx="21">
                  <c:v>1.2134982897161146</c:v>
                </c:pt>
                <c:pt idx="22">
                  <c:v>1.2566319196947395</c:v>
                </c:pt>
                <c:pt idx="23">
                  <c:v>1.2987826172308852</c:v>
                </c:pt>
                <c:pt idx="24">
                  <c:v>1.3399836025213183</c:v>
                </c:pt>
                <c:pt idx="25">
                  <c:v>1.3802666154475969</c:v>
                </c:pt>
                <c:pt idx="26">
                  <c:v>1.4196619971224813</c:v>
                </c:pt>
                <c:pt idx="27">
                  <c:v>1.4581987661044911</c:v>
                </c:pt>
                <c:pt idx="28">
                  <c:v>1.4959046896829513</c:v>
                </c:pt>
                <c:pt idx="29">
                  <c:v>1.5328063506015315</c:v>
                </c:pt>
                <c:pt idx="30">
                  <c:v>1.5689292095572274</c:v>
                </c:pt>
                <c:pt idx="31">
                  <c:v>1.6042976637835773</c:v>
                </c:pt>
                <c:pt idx="32">
                  <c:v>1.6389351020013845</c:v>
                </c:pt>
                <c:pt idx="33">
                  <c:v>1.672863955997024</c:v>
                </c:pt>
                <c:pt idx="34">
                  <c:v>1.7061057490673659</c:v>
                </c:pt>
                <c:pt idx="35">
                  <c:v>1.738681141551158</c:v>
                </c:pt>
                <c:pt idx="36">
                  <c:v>1.7706099736492733</c:v>
                </c:pt>
                <c:pt idx="37">
                  <c:v>1.8019113057203053</c:v>
                </c:pt>
                <c:pt idx="38">
                  <c:v>1.8326034562234881</c:v>
                </c:pt>
                <c:pt idx="39">
                  <c:v>1.8627040374676422</c:v>
                </c:pt>
                <c:pt idx="40">
                  <c:v>1.8922299893127525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BAB-438F-94D8-46F51750FA60}"/>
            </c:ext>
          </c:extLst>
        </c:ser>
        <c:ser>
          <c:idx val="1"/>
          <c:order val="1"/>
          <c:tx>
            <c:v>Rear - 50%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Sim'!$F$2:$F$42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Sim'!$P$2:$P$42</c:f>
              <c:numCache>
                <c:formatCode>General</c:formatCode>
                <c:ptCount val="41"/>
                <c:pt idx="0">
                  <c:v>0</c:v>
                </c:pt>
                <c:pt idx="1">
                  <c:v>1.7974978072768738E-2</c:v>
                </c:pt>
                <c:pt idx="2">
                  <c:v>3.6477373171750913E-2</c:v>
                </c:pt>
                <c:pt idx="3">
                  <c:v>5.5530743917513163E-2</c:v>
                </c:pt>
                <c:pt idx="4">
                  <c:v>7.5160073223400736E-2</c:v>
                </c:pt>
                <c:pt idx="5">
                  <c:v>9.5391877583640816E-2</c:v>
                </c:pt>
                <c:pt idx="6">
                  <c:v>0.11625432658128948</c:v>
                </c:pt>
                <c:pt idx="7">
                  <c:v>0.13777737374864202</c:v>
                </c:pt>
                <c:pt idx="8">
                  <c:v>0.15999290005849004</c:v>
                </c:pt>
                <c:pt idx="9">
                  <c:v>0.18293487149182111</c:v>
                </c:pt>
                <c:pt idx="10">
                  <c:v>0.20663951231978184</c:v>
                </c:pt>
                <c:pt idx="11">
                  <c:v>0.2311454959591939</c:v>
                </c:pt>
                <c:pt idx="12">
                  <c:v>0.25649415551665167</c:v>
                </c:pt>
                <c:pt idx="13">
                  <c:v>0.28272971643223066</c:v>
                </c:pt>
                <c:pt idx="14">
                  <c:v>0.30989955397727742</c:v>
                </c:pt>
                <c:pt idx="15">
                  <c:v>0.33805447876021921</c:v>
                </c:pt>
                <c:pt idx="16">
                  <c:v>0.36724905386018308</c:v>
                </c:pt>
                <c:pt idx="17">
                  <c:v>0.39754194775293239</c:v>
                </c:pt>
                <c:pt idx="18">
                  <c:v>0.42899632783232167</c:v>
                </c:pt>
                <c:pt idx="19">
                  <c:v>0.4616803000815326</c:v>
                </c:pt>
                <c:pt idx="20">
                  <c:v>0.49566740133415338</c:v>
                </c:pt>
                <c:pt idx="21">
                  <c:v>0.53103715161313558</c:v>
                </c:pt>
                <c:pt idx="22">
                  <c:v>0.56787567527946392</c:v>
                </c:pt>
                <c:pt idx="23">
                  <c:v>0.60627640120352033</c:v>
                </c:pt>
                <c:pt idx="24">
                  <c:v>0.64634085394206653</c:v>
                </c:pt>
                <c:pt idx="25">
                  <c:v>0.68817955002639264</c:v>
                </c:pt>
                <c:pt idx="26">
                  <c:v>0.73191301602241399</c:v>
                </c:pt>
                <c:pt idx="27">
                  <c:v>0.777672948111514</c:v>
                </c:pt>
                <c:pt idx="28">
                  <c:v>0.82560353668813424</c:v>
                </c:pt>
                <c:pt idx="29">
                  <c:v>0.87586298403661278</c:v>
                </c:pt>
                <c:pt idx="30">
                  <c:v>0.92862524873960051</c:v>
                </c:pt>
                <c:pt idx="31">
                  <c:v>0.98408205734482002</c:v>
                </c:pt>
                <c:pt idx="32">
                  <c:v>1.0424452323125823</c:v>
                </c:pt>
                <c:pt idx="33">
                  <c:v>1.1039493958196482</c:v>
                </c:pt>
                <c:pt idx="34">
                  <c:v>1.1688551221746124</c:v>
                </c:pt>
                <c:pt idx="35">
                  <c:v>1.2374526281529763</c:v>
                </c:pt>
                <c:pt idx="36">
                  <c:v>1.310066111473958</c:v>
                </c:pt>
                <c:pt idx="37">
                  <c:v>1.3870588742307852</c:v>
                </c:pt>
                <c:pt idx="38">
                  <c:v>1.4688394021165703</c:v>
                </c:pt>
                <c:pt idx="39">
                  <c:v>1.5558686141465372</c:v>
                </c:pt>
                <c:pt idx="40">
                  <c:v>1.6486685545228337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BAB-438F-94D8-46F51750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- 55%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- 55%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Sim'!$O$45:$O$85</c:f>
              <c:numCache>
                <c:formatCode>General</c:formatCode>
                <c:ptCount val="41"/>
                <c:pt idx="0">
                  <c:v>0</c:v>
                </c:pt>
                <c:pt idx="1">
                  <c:v>8.2819421766510692E-2</c:v>
                </c:pt>
                <c:pt idx="2">
                  <c:v>0.16301405017778547</c:v>
                </c:pt>
                <c:pt idx="3">
                  <c:v>0.24070671997610904</c:v>
                </c:pt>
                <c:pt idx="4">
                  <c:v>0.31601271908939443</c:v>
                </c:pt>
                <c:pt idx="5">
                  <c:v>0.38904035944727938</c:v>
                </c:pt>
                <c:pt idx="6">
                  <c:v>0.45989149675971397</c:v>
                </c:pt>
                <c:pt idx="7">
                  <c:v>0.52866200450376211</c:v>
                </c:pt>
                <c:pt idx="8">
                  <c:v>0.59544220675707027</c:v>
                </c:pt>
                <c:pt idx="9">
                  <c:v>0.66031727398714335</c:v>
                </c:pt>
                <c:pt idx="10">
                  <c:v>0.72336758544325808</c:v>
                </c:pt>
                <c:pt idx="11">
                  <c:v>0.78466906139322568</c:v>
                </c:pt>
                <c:pt idx="12">
                  <c:v>0.84429346809242301</c:v>
                </c:pt>
                <c:pt idx="13">
                  <c:v>0.90230869806080283</c:v>
                </c:pt>
                <c:pt idx="14">
                  <c:v>0.95877902796922998</c:v>
                </c:pt>
                <c:pt idx="15">
                  <c:v>1.0137653561945925</c:v>
                </c:pt>
                <c:pt idx="16">
                  <c:v>1.0673254218894415</c:v>
                </c:pt>
                <c:pt idx="17">
                  <c:v>1.1195140072228831</c:v>
                </c:pt>
                <c:pt idx="18">
                  <c:v>1.1703831242818801</c:v>
                </c:pt>
                <c:pt idx="19">
                  <c:v>1.219982187973417</c:v>
                </c:pt>
                <c:pt idx="20">
                  <c:v>1.2683581761357499</c:v>
                </c:pt>
                <c:pt idx="21">
                  <c:v>1.3155557779492539</c:v>
                </c:pt>
                <c:pt idx="22">
                  <c:v>1.36161753163239</c:v>
                </c:pt>
                <c:pt idx="23">
                  <c:v>1.4065839523145796</c:v>
                </c:pt>
                <c:pt idx="24">
                  <c:v>1.4504936508939494</c:v>
                </c:pt>
                <c:pt idx="25">
                  <c:v>1.4933834446128307</c:v>
                </c:pt>
                <c:pt idx="26">
                  <c:v>1.535288460016597</c:v>
                </c:pt>
                <c:pt idx="27">
                  <c:v>1.5762422289009861</c:v>
                </c:pt>
                <c:pt idx="28">
                  <c:v>1.6162767777987201</c:v>
                </c:pt>
                <c:pt idx="29">
                  <c:v>1.6554227115073348</c:v>
                </c:pt>
                <c:pt idx="30">
                  <c:v>1.6937092911160534</c:v>
                </c:pt>
                <c:pt idx="31">
                  <c:v>1.7311645069497825</c:v>
                </c:pt>
                <c:pt idx="32">
                  <c:v>1.7678151468123735</c:v>
                </c:pt>
                <c:pt idx="33">
                  <c:v>1.8036868598788125</c:v>
                </c:pt>
                <c:pt idx="34">
                  <c:v>1.8388042165565912</c:v>
                </c:pt>
                <c:pt idx="35">
                  <c:v>1.8731907646098462</c:v>
                </c:pt>
                <c:pt idx="36">
                  <c:v>1.9068690818156793</c:v>
                </c:pt>
                <c:pt idx="37">
                  <c:v>1.9398608254000755</c:v>
                </c:pt>
                <c:pt idx="38">
                  <c:v>1.9721867784809093</c:v>
                </c:pt>
                <c:pt idx="39">
                  <c:v>2.0038668937272899</c:v>
                </c:pt>
                <c:pt idx="40">
                  <c:v>2.034920334428004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F8-46FC-AB62-06A76A7AF62E}"/>
            </c:ext>
          </c:extLst>
        </c:ser>
        <c:ser>
          <c:idx val="1"/>
          <c:order val="1"/>
          <c:tx>
            <c:v>Rear - 55%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Sim'!$P$45:$P$85</c:f>
              <c:numCache>
                <c:formatCode>General</c:formatCode>
                <c:ptCount val="41"/>
                <c:pt idx="0">
                  <c:v>0</c:v>
                </c:pt>
                <c:pt idx="1">
                  <c:v>1.6191501464963443E-2</c:v>
                </c:pt>
                <c:pt idx="2">
                  <c:v>3.2887429909550667E-2</c:v>
                </c:pt>
                <c:pt idx="3">
                  <c:v>5.0111730560628363E-2</c:v>
                </c:pt>
                <c:pt idx="4">
                  <c:v>6.788988859038271E-2</c:v>
                </c:pt>
                <c:pt idx="5">
                  <c:v>8.6249054933773425E-2</c:v>
                </c:pt>
                <c:pt idx="6">
                  <c:v>0.1052181846464329</c:v>
                </c:pt>
                <c:pt idx="7">
                  <c:v>0.12482818928589337</c:v>
                </c:pt>
                <c:pt idx="8">
                  <c:v>0.14511210500286542</c:v>
                </c:pt>
                <c:pt idx="9">
                  <c:v>0.16610527826520841</c:v>
                </c:pt>
                <c:pt idx="10">
                  <c:v>0.18784557141092809</c:v>
                </c:pt>
                <c:pt idx="11">
                  <c:v>0.21037359054486177</c:v>
                </c:pt>
                <c:pt idx="12">
                  <c:v>0.23373293866489492</c:v>
                </c:pt>
                <c:pt idx="13">
                  <c:v>0.25797049733753336</c:v>
                </c:pt>
                <c:pt idx="14">
                  <c:v>0.2831367407514645</c:v>
                </c:pt>
                <c:pt idx="15">
                  <c:v>0.30928608657599466</c:v>
                </c:pt>
                <c:pt idx="16">
                  <c:v>0.33647728875675881</c:v>
                </c:pt>
                <c:pt idx="17">
                  <c:v>0.36477387821568114</c:v>
                </c:pt>
                <c:pt idx="18">
                  <c:v>0.39424465841258038</c:v>
                </c:pt>
                <c:pt idx="19">
                  <c:v>0.42496426390509245</c:v>
                </c:pt>
                <c:pt idx="20">
                  <c:v>0.45701379145260917</c:v>
                </c:pt>
                <c:pt idx="21">
                  <c:v>0.49048151489951591</c:v>
                </c:pt>
                <c:pt idx="22">
                  <c:v>0.52546369710667018</c:v>
                </c:pt>
                <c:pt idx="23">
                  <c:v>0.56206551465739418</c:v>
                </c:pt>
                <c:pt idx="24">
                  <c:v>0.60040211404572508</c:v>
                </c:pt>
                <c:pt idx="25">
                  <c:v>0.6405998216874369</c:v>
                </c:pt>
                <c:pt idx="26">
                  <c:v>0.68279753454049041</c:v>
                </c:pt>
                <c:pt idx="27">
                  <c:v>0.72714832358857151</c:v>
                </c:pt>
                <c:pt idx="28">
                  <c:v>0.77382128919648596</c:v>
                </c:pt>
                <c:pt idx="29">
                  <c:v>0.82300371573570907</c:v>
                </c:pt>
                <c:pt idx="30">
                  <c:v>0.87490358335384011</c:v>
                </c:pt>
                <c:pt idx="31">
                  <c:v>0.92975250791574171</c:v>
                </c:pt>
                <c:pt idx="32">
                  <c:v>0.98780919675997103</c:v>
                </c:pt>
                <c:pt idx="33">
                  <c:v>1.0493635290346088</c:v>
                </c:pt>
                <c:pt idx="34">
                  <c:v>1.1147413964007162</c:v>
                </c:pt>
                <c:pt idx="35">
                  <c:v>1.1843104747118245</c:v>
                </c:pt>
                <c:pt idx="36">
                  <c:v>1.258487142475746</c:v>
                </c:pt>
                <c:pt idx="37">
                  <c:v>1.3377448210348348</c:v>
                </c:pt>
                <c:pt idx="38">
                  <c:v>1.4226240894035409</c:v>
                </c:pt>
                <c:pt idx="39">
                  <c:v>1.5137450305167774</c:v>
                </c:pt>
                <c:pt idx="40">
                  <c:v>1.6118224051221255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F8-46FC-AB62-06A76A7A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- 60%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- 60%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Sim'!$F$88:$F$128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Sim'!$O$45:$O$85</c:f>
              <c:numCache>
                <c:formatCode>General</c:formatCode>
                <c:ptCount val="41"/>
                <c:pt idx="0">
                  <c:v>0</c:v>
                </c:pt>
                <c:pt idx="1">
                  <c:v>8.2819421766510692E-2</c:v>
                </c:pt>
                <c:pt idx="2">
                  <c:v>0.16301405017778547</c:v>
                </c:pt>
                <c:pt idx="3">
                  <c:v>0.24070671997610904</c:v>
                </c:pt>
                <c:pt idx="4">
                  <c:v>0.31601271908939443</c:v>
                </c:pt>
                <c:pt idx="5">
                  <c:v>0.38904035944727938</c:v>
                </c:pt>
                <c:pt idx="6">
                  <c:v>0.45989149675971397</c:v>
                </c:pt>
                <c:pt idx="7">
                  <c:v>0.52866200450376211</c:v>
                </c:pt>
                <c:pt idx="8">
                  <c:v>0.59544220675707027</c:v>
                </c:pt>
                <c:pt idx="9">
                  <c:v>0.66031727398714335</c:v>
                </c:pt>
                <c:pt idx="10">
                  <c:v>0.72336758544325808</c:v>
                </c:pt>
                <c:pt idx="11">
                  <c:v>0.78466906139322568</c:v>
                </c:pt>
                <c:pt idx="12">
                  <c:v>0.84429346809242301</c:v>
                </c:pt>
                <c:pt idx="13">
                  <c:v>0.90230869806080283</c:v>
                </c:pt>
                <c:pt idx="14">
                  <c:v>0.95877902796922998</c:v>
                </c:pt>
                <c:pt idx="15">
                  <c:v>1.0137653561945925</c:v>
                </c:pt>
                <c:pt idx="16">
                  <c:v>1.0673254218894415</c:v>
                </c:pt>
                <c:pt idx="17">
                  <c:v>1.1195140072228831</c:v>
                </c:pt>
                <c:pt idx="18">
                  <c:v>1.1703831242818801</c:v>
                </c:pt>
                <c:pt idx="19">
                  <c:v>1.219982187973417</c:v>
                </c:pt>
                <c:pt idx="20">
                  <c:v>1.2683581761357499</c:v>
                </c:pt>
                <c:pt idx="21">
                  <c:v>1.3155557779492539</c:v>
                </c:pt>
                <c:pt idx="22">
                  <c:v>1.36161753163239</c:v>
                </c:pt>
                <c:pt idx="23">
                  <c:v>1.4065839523145796</c:v>
                </c:pt>
                <c:pt idx="24">
                  <c:v>1.4504936508939494</c:v>
                </c:pt>
                <c:pt idx="25">
                  <c:v>1.4933834446128307</c:v>
                </c:pt>
                <c:pt idx="26">
                  <c:v>1.535288460016597</c:v>
                </c:pt>
                <c:pt idx="27">
                  <c:v>1.5762422289009861</c:v>
                </c:pt>
                <c:pt idx="28">
                  <c:v>1.6162767777987201</c:v>
                </c:pt>
                <c:pt idx="29">
                  <c:v>1.6554227115073348</c:v>
                </c:pt>
                <c:pt idx="30">
                  <c:v>1.6937092911160534</c:v>
                </c:pt>
                <c:pt idx="31">
                  <c:v>1.7311645069497825</c:v>
                </c:pt>
                <c:pt idx="32">
                  <c:v>1.7678151468123735</c:v>
                </c:pt>
                <c:pt idx="33">
                  <c:v>1.8036868598788125</c:v>
                </c:pt>
                <c:pt idx="34">
                  <c:v>1.8388042165565912</c:v>
                </c:pt>
                <c:pt idx="35">
                  <c:v>1.8731907646098462</c:v>
                </c:pt>
                <c:pt idx="36">
                  <c:v>1.9068690818156793</c:v>
                </c:pt>
                <c:pt idx="37">
                  <c:v>1.9398608254000755</c:v>
                </c:pt>
                <c:pt idx="38">
                  <c:v>1.9721867784809093</c:v>
                </c:pt>
                <c:pt idx="39">
                  <c:v>2.0038668937272899</c:v>
                </c:pt>
                <c:pt idx="40">
                  <c:v>2.034920334428004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23-4F85-B956-36804A6CC9F1}"/>
            </c:ext>
          </c:extLst>
        </c:ser>
        <c:ser>
          <c:idx val="1"/>
          <c:order val="1"/>
          <c:tx>
            <c:v>Rear - 60%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Sim'!$P$88:$P$128</c:f>
              <c:numCache>
                <c:formatCode>General</c:formatCode>
                <c:ptCount val="41"/>
                <c:pt idx="0">
                  <c:v>0</c:v>
                </c:pt>
                <c:pt idx="1">
                  <c:v>1.4404930657931513E-2</c:v>
                </c:pt>
                <c:pt idx="2">
                  <c:v>2.928482471766574E-2</c:v>
                </c:pt>
                <c:pt idx="3">
                  <c:v>4.4663566884953473E-2</c:v>
                </c:pt>
                <c:pt idx="4">
                  <c:v>6.0566670636221856E-2</c:v>
                </c:pt>
                <c:pt idx="5">
                  <c:v>7.7021419465110208E-2</c:v>
                </c:pt>
                <c:pt idx="6">
                  <c:v>9.4057023087069841E-2</c:v>
                </c:pt>
                <c:pt idx="7">
                  <c:v>0.11170479048330789</c:v>
                </c:pt>
                <c:pt idx="8">
                  <c:v>0.12999832194071348</c:v>
                </c:pt>
                <c:pt idx="9">
                  <c:v>0.14897372256594912</c:v>
                </c:pt>
                <c:pt idx="10">
                  <c:v>0.16866984012839173</c:v>
                </c:pt>
                <c:pt idx="11">
                  <c:v>0.18912853052870518</c:v>
                </c:pt>
                <c:pt idx="12">
                  <c:v>0.21039495471047259</c:v>
                </c:pt>
                <c:pt idx="13">
                  <c:v>0.23251791144731998</c:v>
                </c:pt>
                <c:pt idx="14">
                  <c:v>0.25555021116672966</c:v>
                </c:pt>
                <c:pt idx="15">
                  <c:v>0.27954909683813134</c:v>
                </c:pt>
                <c:pt idx="16">
                  <c:v>0.3045767189863719</c:v>
                </c:pt>
                <c:pt idx="17">
                  <c:v>0.3307006731289106</c:v>
                </c:pt>
                <c:pt idx="18">
                  <c:v>0.35799460942167682</c:v>
                </c:pt>
                <c:pt idx="19">
                  <c:v>0.38653892609158164</c:v>
                </c:pt>
                <c:pt idx="20">
                  <c:v>0.41642156040504708</c:v>
                </c:pt>
                <c:pt idx="21">
                  <c:v>0.44773889356239571</c:v>
                </c:pt>
                <c:pt idx="22">
                  <c:v>0.48059678913295201</c:v>
                </c:pt>
                <c:pt idx="23">
                  <c:v>0.51511178860259166</c:v>
                </c:pt>
                <c:pt idx="24">
                  <c:v>0.55141249248362278</c:v>
                </c:pt>
                <c:pt idx="25">
                  <c:v>0.58964116148086387</c:v>
                </c:pt>
                <c:pt idx="26">
                  <c:v>0.62995557973571936</c:v>
                </c:pt>
                <c:pt idx="27">
                  <c:v>0.67253123159804085</c:v>
                </c:pt>
                <c:pt idx="28">
                  <c:v>0.71756385525190602</c:v>
                </c:pt>
                <c:pt idx="29">
                  <c:v>0.76527245157355406</c:v>
                </c:pt>
                <c:pt idx="30">
                  <c:v>0.81590284580005867</c:v>
                </c:pt>
                <c:pt idx="31">
                  <c:v>0.86973192424627888</c:v>
                </c:pt>
                <c:pt idx="32">
                  <c:v>0.92707270020570187</c:v>
                </c:pt>
                <c:pt idx="33">
                  <c:v>0.98828040474900603</c:v>
                </c:pt>
                <c:pt idx="34">
                  <c:v>1.0537598527703689</c:v>
                </c:pt>
                <c:pt idx="35">
                  <c:v>1.1239744070471755</c:v>
                </c:pt>
                <c:pt idx="36">
                  <c:v>1.1994569599435714</c:v>
                </c:pt>
                <c:pt idx="37">
                  <c:v>1.2808234832313814</c:v>
                </c:pt>
                <c:pt idx="38">
                  <c:v>1.3687898751038059</c:v>
                </c:pt>
                <c:pt idx="39">
                  <c:v>1.4641930800058609</c:v>
                </c:pt>
                <c:pt idx="40">
                  <c:v>1.568017801390152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123-4F85-B956-36804A6CC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- 65%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- 65%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Sim'!$F$131:$F$171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Sim'!$O$131:$O$171</c:f>
              <c:numCache>
                <c:formatCode>General</c:formatCode>
                <c:ptCount val="41"/>
                <c:pt idx="0">
                  <c:v>0</c:v>
                </c:pt>
                <c:pt idx="1">
                  <c:v>9.769971174851487E-2</c:v>
                </c:pt>
                <c:pt idx="2">
                  <c:v>0.19196539070552862</c:v>
                </c:pt>
                <c:pt idx="3">
                  <c:v>0.28297496338451489</c:v>
                </c:pt>
                <c:pt idx="4">
                  <c:v>0.37089427318100221</c:v>
                </c:pt>
                <c:pt idx="5">
                  <c:v>0.45587808896558002</c:v>
                </c:pt>
                <c:pt idx="6">
                  <c:v>0.53807101430954041</c:v>
                </c:pt>
                <c:pt idx="7">
                  <c:v>0.61760830858002058</c:v>
                </c:pt>
                <c:pt idx="8">
                  <c:v>0.69461662971235649</c:v>
                </c:pt>
                <c:pt idx="9">
                  <c:v>0.76921470723949248</c:v>
                </c:pt>
                <c:pt idx="10">
                  <c:v>0.84151395310070198</c:v>
                </c:pt>
                <c:pt idx="11">
                  <c:v>0.91161901683870572</c:v>
                </c:pt>
                <c:pt idx="12">
                  <c:v>0.97962829100396964</c:v>
                </c:pt>
                <c:pt idx="13">
                  <c:v>1.045634371899395</c:v>
                </c:pt>
                <c:pt idx="14">
                  <c:v>1.1097244802026029</c:v>
                </c:pt>
                <c:pt idx="15">
                  <c:v>1.171980845483753</c:v>
                </c:pt>
                <c:pt idx="16">
                  <c:v>1.2324810581834527</c:v>
                </c:pt>
                <c:pt idx="17">
                  <c:v>1.2912983922187407</c:v>
                </c:pt>
                <c:pt idx="18">
                  <c:v>1.3485021010374449</c:v>
                </c:pt>
                <c:pt idx="19">
                  <c:v>1.4041576896359351</c:v>
                </c:pt>
                <c:pt idx="20">
                  <c:v>1.4583271647866476</c:v>
                </c:pt>
                <c:pt idx="21">
                  <c:v>1.5110692654850055</c:v>
                </c:pt>
                <c:pt idx="22">
                  <c:v>1.5624396754162884</c:v>
                </c:pt>
                <c:pt idx="23">
                  <c:v>1.6124912190580891</c:v>
                </c:pt>
                <c:pt idx="24">
                  <c:v>1.6612740428702097</c:v>
                </c:pt>
                <c:pt idx="25">
                  <c:v>1.7088357828784471</c:v>
                </c:pt>
                <c:pt idx="26">
                  <c:v>1.7552217198295534</c:v>
                </c:pt>
                <c:pt idx="27">
                  <c:v>1.8004749229796548</c:v>
                </c:pt>
                <c:pt idx="28">
                  <c:v>1.844636383475895</c:v>
                </c:pt>
                <c:pt idx="29">
                  <c:v>1.8877451381995611</c:v>
                </c:pt>
                <c:pt idx="30">
                  <c:v>1.9298383848571321</c:v>
                </c:pt>
                <c:pt idx="31">
                  <c:v>1.9709515890324549</c:v>
                </c:pt>
                <c:pt idx="32">
                  <c:v>2.0111185838475905</c:v>
                </c:pt>
                <c:pt idx="33">
                  <c:v>2.0503716628209325</c:v>
                </c:pt>
                <c:pt idx="34">
                  <c:v>2.0887416664582523</c:v>
                </c:pt>
                <c:pt idx="35">
                  <c:v>2.1262580630646397</c:v>
                </c:pt>
                <c:pt idx="36">
                  <c:v>2.1629490242223754</c:v>
                </c:pt>
                <c:pt idx="37">
                  <c:v>2.1988414953410174</c:v>
                </c:pt>
                <c:pt idx="38">
                  <c:v>2.2339612616510185</c:v>
                </c:pt>
                <c:pt idx="39">
                  <c:v>2.2683330099805317</c:v>
                </c:pt>
                <c:pt idx="40">
                  <c:v>2.3019803866264539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2-48D8-9C55-CD7B0FDEEBFE}"/>
            </c:ext>
          </c:extLst>
        </c:ser>
        <c:ser>
          <c:idx val="1"/>
          <c:order val="1"/>
          <c:tx>
            <c:v>Rear - 65%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Sim'!$F$131:$F$171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Sim'!$P$131:$P$171</c:f>
              <c:numCache>
                <c:formatCode>General</c:formatCode>
                <c:ptCount val="41"/>
                <c:pt idx="0">
                  <c:v>0</c:v>
                </c:pt>
                <c:pt idx="1">
                  <c:v>1.2615257592373617E-2</c:v>
                </c:pt>
                <c:pt idx="2">
                  <c:v>2.5669490488754401E-2</c:v>
                </c:pt>
                <c:pt idx="3">
                  <c:v>3.9186017045136586E-2</c:v>
                </c:pt>
                <c:pt idx="4">
                  <c:v>5.3189836948838595E-2</c:v>
                </c:pt>
                <c:pt idx="5">
                  <c:v>6.7707785537229545E-2</c:v>
                </c:pt>
                <c:pt idx="6">
                  <c:v>8.2768705431018039E-2</c:v>
                </c:pt>
                <c:pt idx="7">
                  <c:v>9.8403637791769888E-2</c:v>
                </c:pt>
                <c:pt idx="8">
                  <c:v>0.11464603587227293</c:v>
                </c:pt>
                <c:pt idx="9">
                  <c:v>0.13153200395132</c:v>
                </c:pt>
                <c:pt idx="10">
                  <c:v>0.1491005652443721</c:v>
                </c:pt>
                <c:pt idx="11">
                  <c:v>0.16739396297426318</c:v>
                </c:pt>
                <c:pt idx="12">
                  <c:v>0.18645799949116756</c:v>
                </c:pt>
                <c:pt idx="13">
                  <c:v>0.20634241917264168</c:v>
                </c:pt>
                <c:pt idx="14">
                  <c:v>0.22710134184270039</c:v>
                </c:pt>
                <c:pt idx="15">
                  <c:v>0.24879375466104364</c:v>
                </c:pt>
                <c:pt idx="16">
                  <c:v>0.27148407189662971</c:v>
                </c:pt>
                <c:pt idx="17">
                  <c:v>0.29524277377288383</c:v>
                </c:pt>
                <c:pt idx="18">
                  <c:v>0.3201471377296643</c:v>
                </c:pt>
                <c:pt idx="19">
                  <c:v>0.34628207808474909</c:v>
                </c:pt>
                <c:pt idx="20">
                  <c:v>0.37374111331660009</c:v>
                </c:pt>
                <c:pt idx="21">
                  <c:v>0.4026274841867834</c:v>
                </c:pt>
                <c:pt idx="22">
                  <c:v>0.4330554508768677</c:v>
                </c:pt>
                <c:pt idx="23">
                  <c:v>0.46515180349399154</c:v>
                </c:pt>
                <c:pt idx="24">
                  <c:v>0.49905762804634357</c:v>
                </c:pt>
                <c:pt idx="25">
                  <c:v>0.53493037975920954</c:v>
                </c:pt>
                <c:pt idx="26">
                  <c:v>0.57294632799817546</c:v>
                </c:pt>
                <c:pt idx="27">
                  <c:v>0.6133034528972664</c:v>
                </c:pt>
                <c:pt idx="28">
                  <c:v>0.65622489414764584</c:v>
                </c:pt>
                <c:pt idx="29">
                  <c:v>0.70196307877232478</c:v>
                </c:pt>
                <c:pt idx="30">
                  <c:v>0.75080468913375342</c:v>
                </c:pt>
                <c:pt idx="31">
                  <c:v>0.80307667772171121</c:v>
                </c:pt>
                <c:pt idx="32">
                  <c:v>0.85915359540804637</c:v>
                </c:pt>
                <c:pt idx="33">
                  <c:v>0.91946658043716156</c:v>
                </c:pt>
                <c:pt idx="34">
                  <c:v>0.98451446447116986</c:v>
                </c:pt>
                <c:pt idx="35">
                  <c:v>1.0548776011572343</c:v>
                </c:pt>
                <c:pt idx="36">
                  <c:v>1.1312352290125476</c:v>
                </c:pt>
                <c:pt idx="37">
                  <c:v>1.2143874693698193</c:v>
                </c:pt>
                <c:pt idx="38">
                  <c:v>1.3052834701639124</c:v>
                </c:pt>
                <c:pt idx="39">
                  <c:v>1.405057796606145</c:v>
                </c:pt>
                <c:pt idx="40">
                  <c:v>1.515078032825752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72-48D8-9C55-CD7B0FDEE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- 70%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- 70%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Sim'!$F$174:$F$214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Sim'!$O$174:$O$214</c:f>
              <c:numCache>
                <c:formatCode>General</c:formatCode>
                <c:ptCount val="41"/>
                <c:pt idx="0">
                  <c:v>0</c:v>
                </c:pt>
                <c:pt idx="1">
                  <c:v>0.10511960348497604</c:v>
                </c:pt>
                <c:pt idx="2">
                  <c:v>0.2063637035981285</c:v>
                </c:pt>
                <c:pt idx="3">
                  <c:v>0.3039427416448825</c:v>
                </c:pt>
                <c:pt idx="4">
                  <c:v>0.39805219374530276</c:v>
                </c:pt>
                <c:pt idx="5">
                  <c:v>0.48887387787754061</c:v>
                </c:pt>
                <c:pt idx="6">
                  <c:v>0.57657712628610991</c:v>
                </c:pt>
                <c:pt idx="7">
                  <c:v>0.66131983916173331</c:v>
                </c:pt>
                <c:pt idx="8">
                  <c:v>0.7432494333873354</c:v>
                </c:pt>
                <c:pt idx="9">
                  <c:v>0.82250369834296999</c:v>
                </c:pt>
                <c:pt idx="10">
                  <c:v>0.89921156922118506</c:v>
                </c:pt>
                <c:pt idx="11">
                  <c:v>0.97349382698235587</c:v>
                </c:pt>
                <c:pt idx="12">
                  <c:v>1.0454637329427428</c:v>
                </c:pt>
                <c:pt idx="13">
                  <c:v>1.1152276050080419</c:v>
                </c:pt>
                <c:pt idx="14">
                  <c:v>1.1828853417183534</c:v>
                </c:pt>
                <c:pt idx="15">
                  <c:v>1.2485308995369833</c:v>
                </c:pt>
                <c:pt idx="16">
                  <c:v>1.3122527281786955</c:v>
                </c:pt>
                <c:pt idx="17">
                  <c:v>1.3741341682190391</c:v>
                </c:pt>
                <c:pt idx="18">
                  <c:v>1.4342538147432968</c:v>
                </c:pt>
                <c:pt idx="19">
                  <c:v>1.4926858503716125</c:v>
                </c:pt>
                <c:pt idx="20">
                  <c:v>1.5495003506273677</c:v>
                </c:pt>
                <c:pt idx="21">
                  <c:v>1.6047635642918525</c:v>
                </c:pt>
                <c:pt idx="22">
                  <c:v>1.6585381711034703</c:v>
                </c:pt>
                <c:pt idx="23">
                  <c:v>1.7108835189090141</c:v>
                </c:pt>
                <c:pt idx="24">
                  <c:v>1.7618558421534296</c:v>
                </c:pt>
                <c:pt idx="25">
                  <c:v>1.811508463399109</c:v>
                </c:pt>
                <c:pt idx="26">
                  <c:v>1.8598919793928761</c:v>
                </c:pt>
                <c:pt idx="27">
                  <c:v>1.9070544330455697</c:v>
                </c:pt>
                <c:pt idx="28">
                  <c:v>1.9530414725530552</c:v>
                </c:pt>
                <c:pt idx="29">
                  <c:v>1.9978964987665062</c:v>
                </c:pt>
                <c:pt idx="30">
                  <c:v>2.0416608018120375</c:v>
                </c:pt>
                <c:pt idx="31">
                  <c:v>2.0843736878636747</c:v>
                </c:pt>
                <c:pt idx="32">
                  <c:v>2.1260725968877856</c:v>
                </c:pt>
                <c:pt idx="33">
                  <c:v>2.1667932121003446</c:v>
                </c:pt>
                <c:pt idx="34">
                  <c:v>2.2065695618096237</c:v>
                </c:pt>
                <c:pt idx="35">
                  <c:v>2.2454341142552319</c:v>
                </c:pt>
                <c:pt idx="36">
                  <c:v>2.2834178659990427</c:v>
                </c:pt>
                <c:pt idx="37">
                  <c:v>2.3205504243737631</c:v>
                </c:pt>
                <c:pt idx="38">
                  <c:v>2.3568600844500418</c:v>
                </c:pt>
                <c:pt idx="39">
                  <c:v>2.3923739009426348</c:v>
                </c:pt>
                <c:pt idx="40">
                  <c:v>2.4271177554396557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B-4CDE-9AD7-76C19CCC8AFA}"/>
            </c:ext>
          </c:extLst>
        </c:ser>
        <c:ser>
          <c:idx val="1"/>
          <c:order val="1"/>
          <c:tx>
            <c:v>Rear - 70%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Sim'!$F$174:$F$214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Sim'!$P$174:$P$214</c:f>
              <c:numCache>
                <c:formatCode>General</c:formatCode>
                <c:ptCount val="41"/>
                <c:pt idx="0">
                  <c:v>0</c:v>
                </c:pt>
                <c:pt idx="1">
                  <c:v>1.0822474180977268E-2</c:v>
                </c:pt>
                <c:pt idx="2">
                  <c:v>2.2041359640416733E-2</c:v>
                </c:pt>
                <c:pt idx="3">
                  <c:v>3.3678842644752807E-2</c:v>
                </c:pt>
                <c:pt idx="4">
                  <c:v>4.5758796556752246E-2</c:v>
                </c:pt>
                <c:pt idx="5">
                  <c:v>5.8306945306707651E-2</c:v>
                </c:pt>
                <c:pt idx="6">
                  <c:v>7.1351046246704672E-2</c:v>
                </c:pt>
                <c:pt idx="7">
                  <c:v>8.4921095123352844E-2</c:v>
                </c:pt>
                <c:pt idx="8">
                  <c:v>9.9049556354619497E-2</c:v>
                </c:pt>
                <c:pt idx="9">
                  <c:v>0.11377162233178224</c:v>
                </c:pt>
                <c:pt idx="10">
                  <c:v>0.12912550610628643</c:v>
                </c:pt>
                <c:pt idx="11">
                  <c:v>0.1451527725861288</c:v>
                </c:pt>
                <c:pt idx="12">
                  <c:v>0.16189871428556021</c:v>
                </c:pt>
                <c:pt idx="13">
                  <c:v>0.17941277878079215</c:v>
                </c:pt>
                <c:pt idx="14">
                  <c:v>0.19774905636755041</c:v>
                </c:pt>
                <c:pt idx="15">
                  <c:v>0.21696683805004705</c:v>
                </c:pt>
                <c:pt idx="16">
                  <c:v>0.23713125598680229</c:v>
                </c:pt>
                <c:pt idx="17">
                  <c:v>0.25831402096819667</c:v>
                </c:pt>
                <c:pt idx="18">
                  <c:v>0.28059427452115265</c:v>
                </c:pt>
                <c:pt idx="19">
                  <c:v>0.30405957697982461</c:v>
                </c:pt>
                <c:pt idx="20">
                  <c:v>0.32880705752512823</c:v>
                </c:pt>
                <c:pt idx="21">
                  <c:v>0.35494475803889636</c:v>
                </c:pt>
                <c:pt idx="22">
                  <c:v>0.38259320998116647</c:v>
                </c:pt>
                <c:pt idx="23">
                  <c:v>0.41188729283382647</c:v>
                </c:pt>
                <c:pt idx="24">
                  <c:v>0.44297843456548425</c:v>
                </c:pt>
                <c:pt idx="25">
                  <c:v>0.47603722987635216</c:v>
                </c:pt>
                <c:pt idx="26">
                  <c:v>0.51125657178670902</c:v>
                </c:pt>
                <c:pt idx="27">
                  <c:v>0.54885541795852577</c:v>
                </c:pt>
                <c:pt idx="28">
                  <c:v>0.58908334709229426</c:v>
                </c:pt>
                <c:pt idx="29">
                  <c:v>0.63222610576410543</c:v>
                </c:pt>
                <c:pt idx="30">
                  <c:v>0.67861240632308717</c:v>
                </c:pt>
                <c:pt idx="31">
                  <c:v>0.7286223179059389</c:v>
                </c:pt>
                <c:pt idx="32">
                  <c:v>0.78269770385306814</c:v>
                </c:pt>
                <c:pt idx="33">
                  <c:v>0.8413553124519586</c:v>
                </c:pt>
                <c:pt idx="34">
                  <c:v>0.90520334275291758</c:v>
                </c:pt>
                <c:pt idx="35">
                  <c:v>0.97496261152068109</c:v>
                </c:pt>
                <c:pt idx="36">
                  <c:v>1.0514938846437767</c:v>
                </c:pt>
                <c:pt idx="37">
                  <c:v>1.1358335743408119</c:v>
                </c:pt>
                <c:pt idx="38">
                  <c:v>1.2292409502008137</c:v>
                </c:pt>
                <c:pt idx="39">
                  <c:v>1.3332614428376446</c:v>
                </c:pt>
                <c:pt idx="40">
                  <c:v>1.4498128252802853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B-4CDE-9AD7-76C19CCC8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- 75%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- 75%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Sim'!$F$217:$F$257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Sim'!$O$217:$O$257</c:f>
              <c:numCache>
                <c:formatCode>General</c:formatCode>
                <c:ptCount val="41"/>
                <c:pt idx="0">
                  <c:v>0</c:v>
                </c:pt>
                <c:pt idx="1">
                  <c:v>0.11252604201404506</c:v>
                </c:pt>
                <c:pt idx="2">
                  <c:v>0.22071081171828122</c:v>
                </c:pt>
                <c:pt idx="3">
                  <c:v>0.32480078502075727</c:v>
                </c:pt>
                <c:pt idx="4">
                  <c:v>0.42502412613919455</c:v>
                </c:pt>
                <c:pt idx="5">
                  <c:v>0.52159235715329877</c:v>
                </c:pt>
                <c:pt idx="6">
                  <c:v>0.6147018481643054</c:v>
                </c:pt>
                <c:pt idx="7">
                  <c:v>0.70453515015441692</c:v>
                </c:pt>
                <c:pt idx="8">
                  <c:v>0.79126218958310301</c:v>
                </c:pt>
                <c:pt idx="9">
                  <c:v>0.87504134116893761</c:v>
                </c:pt>
                <c:pt idx="10">
                  <c:v>0.95602039310663178</c:v>
                </c:pt>
                <c:pt idx="11">
                  <c:v>1.0343374170951991</c:v>
                </c:pt>
                <c:pt idx="12">
                  <c:v>1.1101215539521698</c:v>
                </c:pt>
                <c:pt idx="13">
                  <c:v>1.1834937242170462</c:v>
                </c:pt>
                <c:pt idx="14">
                  <c:v>1.2545672719688441</c:v>
                </c:pt>
                <c:pt idx="15">
                  <c:v>1.3234485490677876</c:v>
                </c:pt>
                <c:pt idx="16">
                  <c:v>1.3902374461551477</c:v>
                </c:pt>
                <c:pt idx="17">
                  <c:v>1.4550278759871167</c:v>
                </c:pt>
                <c:pt idx="18">
                  <c:v>1.517908214021066</c:v>
                </c:pt>
                <c:pt idx="19">
                  <c:v>1.5789617006009804</c:v>
                </c:pt>
                <c:pt idx="20">
                  <c:v>1.638266808590938</c:v>
                </c:pt>
                <c:pt idx="21">
                  <c:v>1.6958975798708571</c:v>
                </c:pt>
                <c:pt idx="22">
                  <c:v>1.7519239337285237</c:v>
                </c:pt>
                <c:pt idx="23">
                  <c:v>1.8064119498486955</c:v>
                </c:pt>
                <c:pt idx="24">
                  <c:v>1.8594241283074606</c:v>
                </c:pt>
                <c:pt idx="25">
                  <c:v>1.9110196287226178</c:v>
                </c:pt>
                <c:pt idx="26">
                  <c:v>1.9612544904839575</c:v>
                </c:pt>
                <c:pt idx="27">
                  <c:v>2.0101818357870398</c:v>
                </c:pt>
                <c:pt idx="28">
                  <c:v>2.0578520570169085</c:v>
                </c:pt>
                <c:pt idx="29">
                  <c:v>2.1043129898712736</c:v>
                </c:pt>
                <c:pt idx="30">
                  <c:v>2.1496100734734473</c:v>
                </c:pt>
                <c:pt idx="31">
                  <c:v>2.193786498601618</c:v>
                </c:pt>
                <c:pt idx="32">
                  <c:v>2.2368833450508809</c:v>
                </c:pt>
                <c:pt idx="33">
                  <c:v>2.2789397090463255</c:v>
                </c:pt>
                <c:pt idx="34">
                  <c:v>2.3199928215378272</c:v>
                </c:pt>
                <c:pt idx="35">
                  <c:v>2.3600781581288914</c:v>
                </c:pt>
                <c:pt idx="36">
                  <c:v>2.3992295413217515</c:v>
                </c:pt>
                <c:pt idx="37">
                  <c:v>2.4374792356981017</c:v>
                </c:pt>
                <c:pt idx="38">
                  <c:v>2.4748580365984214</c:v>
                </c:pt>
                <c:pt idx="39">
                  <c:v>2.5113953528121598</c:v>
                </c:pt>
                <c:pt idx="40">
                  <c:v>2.5471192837454359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0E-4E32-BCAE-B7AB71C35A11}"/>
            </c:ext>
          </c:extLst>
        </c:ser>
        <c:ser>
          <c:idx val="1"/>
          <c:order val="1"/>
          <c:tx>
            <c:v>Rear - 75%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Sim'!$F$217:$F$257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Sim'!$P$217:$P$257</c:f>
              <c:numCache>
                <c:formatCode>General</c:formatCode>
                <c:ptCount val="41"/>
                <c:pt idx="0">
                  <c:v>0</c:v>
                </c:pt>
                <c:pt idx="1">
                  <c:v>9.0265723082949764E-3</c:v>
                </c:pt>
                <c:pt idx="2">
                  <c:v>1.8400364110983402E-2</c:v>
                </c:pt>
                <c:pt idx="3">
                  <c:v>2.8141802701717789E-2</c:v>
                </c:pt>
                <c:pt idx="4">
                  <c:v>3.8272949771259744E-2</c:v>
                </c:pt>
                <c:pt idx="5">
                  <c:v>4.8817668204940601E-2</c:v>
                </c:pt>
                <c:pt idx="6">
                  <c:v>5.9801809732643665E-2</c:v>
                </c:pt>
                <c:pt idx="7">
                  <c:v>7.125342653743473E-2</c:v>
                </c:pt>
                <c:pt idx="8">
                  <c:v>8.3203010469239877E-2</c:v>
                </c:pt>
                <c:pt idx="9">
                  <c:v>9.5683764158312909E-2</c:v>
                </c:pt>
                <c:pt idx="10">
                  <c:v>0.10873190910421307</c:v>
                </c:pt>
                <c:pt idx="11">
                  <c:v>0.12238703676047641</c:v>
                </c:pt>
                <c:pt idx="12">
                  <c:v>0.13669250978204575</c:v>
                </c:pt>
                <c:pt idx="13">
                  <c:v>0.1516959220011973</c:v>
                </c:pt>
                <c:pt idx="14">
                  <c:v>0.16744962741113023</c:v>
                </c:pt>
                <c:pt idx="15">
                  <c:v>0.18401135054528686</c:v>
                </c:pt>
                <c:pt idx="16">
                  <c:v>0.20144489324893086</c:v>
                </c:pt>
                <c:pt idx="17">
                  <c:v>0.21982095608258009</c:v>
                </c:pt>
                <c:pt idx="18">
                  <c:v>0.2392180966508676</c:v>
                </c:pt>
                <c:pt idx="19">
                  <c:v>0.25972385224702965</c:v>
                </c:pt>
                <c:pt idx="20">
                  <c:v>0.28143606064921389</c:v>
                </c:pt>
                <c:pt idx="21">
                  <c:v>0.30446442110913574</c:v>
                </c:pt>
                <c:pt idx="22">
                  <c:v>0.32893234808589367</c:v>
                </c:pt>
                <c:pt idx="23">
                  <c:v>0.35497918384262295</c:v>
                </c:pt>
                <c:pt idx="24">
                  <c:v>0.38276285365889995</c:v>
                </c:pt>
                <c:pt idx="25">
                  <c:v>0.41246307052125813</c:v>
                </c:pt>
                <c:pt idx="26">
                  <c:v>0.44428522669341397</c:v>
                </c:pt>
                <c:pt idx="27">
                  <c:v>0.47846515028924103</c:v>
                </c:pt>
                <c:pt idx="28">
                  <c:v>0.51527495979239635</c:v>
                </c:pt>
                <c:pt idx="29">
                  <c:v>0.55503032402804431</c:v>
                </c:pt>
                <c:pt idx="30">
                  <c:v>0.59809953762185442</c:v>
                </c:pt>
                <c:pt idx="31">
                  <c:v>0.64491496464292297</c:v>
                </c:pt>
                <c:pt idx="32">
                  <c:v>0.69598760416757322</c:v>
                </c:pt>
                <c:pt idx="33">
                  <c:v>0.75192581872826858</c:v>
                </c:pt>
                <c:pt idx="34">
                  <c:v>0.81345968313367156</c:v>
                </c:pt>
                <c:pt idx="35">
                  <c:v>0.88147302503533798</c:v>
                </c:pt>
                <c:pt idx="36">
                  <c:v>0.95704614956224798</c:v>
                </c:pt>
                <c:pt idx="37">
                  <c:v>1.0415136490370176</c:v>
                </c:pt>
                <c:pt idx="38">
                  <c:v>1.1365439001937405</c:v>
                </c:pt>
                <c:pt idx="39">
                  <c:v>1.2442503741427822</c:v>
                </c:pt>
                <c:pt idx="40">
                  <c:v>1.3673506728844038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0E-4E32-BCAE-B7AB71C35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- 80%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- 80%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Sim'!$F$260:$F$300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Sim'!$O$260:$O$300</c:f>
              <c:numCache>
                <c:formatCode>General</c:formatCode>
                <c:ptCount val="41"/>
                <c:pt idx="0">
                  <c:v>0</c:v>
                </c:pt>
                <c:pt idx="1">
                  <c:v>0.11991906389114612</c:v>
                </c:pt>
                <c:pt idx="2">
                  <c:v>0.23500698773072493</c:v>
                </c:pt>
                <c:pt idx="3">
                  <c:v>0.34554995271024225</c:v>
                </c:pt>
                <c:pt idx="4">
                  <c:v>0.45181197442351223</c:v>
                </c:pt>
                <c:pt idx="5">
                  <c:v>0.55403700809323309</c:v>
                </c:pt>
                <c:pt idx="6">
                  <c:v>0.65245081833208396</c:v>
                </c:pt>
                <c:pt idx="7">
                  <c:v>0.74726264360180139</c:v>
                </c:pt>
                <c:pt idx="8">
                  <c:v>0.83866668119707599</c:v>
                </c:pt>
                <c:pt idx="9">
                  <c:v>0.92684341493352118</c:v>
                </c:pt>
                <c:pt idx="10">
                  <c:v>1.0119608046408815</c:v>
                </c:pt>
                <c:pt idx="11">
                  <c:v>1.0941753539569399</c:v>
                </c:pt>
                <c:pt idx="12">
                  <c:v>1.1736330707050711</c:v>
                </c:pt>
                <c:pt idx="13">
                  <c:v>1.2504703322542265</c:v>
                </c:pt>
                <c:pt idx="14">
                  <c:v>1.3248146666510574</c:v>
                </c:pt>
                <c:pt idx="15">
                  <c:v>1.3967854589359852</c:v>
                </c:pt>
                <c:pt idx="16">
                  <c:v>1.466494590871956</c:v>
                </c:pt>
                <c:pt idx="17">
                  <c:v>1.5340470212963113</c:v>
                </c:pt>
                <c:pt idx="18">
                  <c:v>1.5995413134274339</c:v>
                </c:pt>
                <c:pt idx="19">
                  <c:v>1.6630701146978069</c:v>
                </c:pt>
                <c:pt idx="20">
                  <c:v>1.7247205940261743</c:v>
                </c:pt>
                <c:pt idx="21">
                  <c:v>1.7845748408689532</c:v>
                </c:pt>
                <c:pt idx="22">
                  <c:v>1.8427102298925015</c:v>
                </c:pt>
                <c:pt idx="23">
                  <c:v>1.899199754672799</c:v>
                </c:pt>
                <c:pt idx="24">
                  <c:v>1.9541123334487289</c:v>
                </c:pt>
                <c:pt idx="25">
                  <c:v>2.0075130896218671</c:v>
                </c:pt>
                <c:pt idx="26">
                  <c:v>2.0594636094031684</c:v>
                </c:pt>
                <c:pt idx="27">
                  <c:v>2.1100221787496745</c:v>
                </c:pt>
                <c:pt idx="28">
                  <c:v>2.1592440015077088</c:v>
                </c:pt>
                <c:pt idx="29">
                  <c:v>2.207181400478996</c:v>
                </c:pt>
                <c:pt idx="30">
                  <c:v>2.2538840029492784</c:v>
                </c:pt>
                <c:pt idx="31">
                  <c:v>2.2993989120624092</c:v>
                </c:pt>
                <c:pt idx="32">
                  <c:v>2.3437708652839708</c:v>
                </c:pt>
                <c:pt idx="33">
                  <c:v>2.3870423810750565</c:v>
                </c:pt>
                <c:pt idx="34">
                  <c:v>2.4292538947870597</c:v>
                </c:pt>
                <c:pt idx="35">
                  <c:v>2.4704438846904471</c:v>
                </c:pt>
                <c:pt idx="36">
                  <c:v>2.5106489889631898</c:v>
                </c:pt>
                <c:pt idx="37">
                  <c:v>2.549904114386472</c:v>
                </c:pt>
                <c:pt idx="38">
                  <c:v>2.5882425374254803</c:v>
                </c:pt>
                <c:pt idx="39">
                  <c:v>2.6256959983104684</c:v>
                </c:pt>
                <c:pt idx="40">
                  <c:v>2.6622947886771744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2E-4A81-A588-1ABA71734A83}"/>
            </c:ext>
          </c:extLst>
        </c:ser>
        <c:ser>
          <c:idx val="1"/>
          <c:order val="1"/>
          <c:tx>
            <c:v>Rear - 80%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Sim'!$F$260:$F$300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Sim'!$P$260:$P$300</c:f>
              <c:numCache>
                <c:formatCode>General</c:formatCode>
                <c:ptCount val="41"/>
                <c:pt idx="0">
                  <c:v>0</c:v>
                </c:pt>
                <c:pt idx="1">
                  <c:v>7.2275438306218165E-3</c:v>
                </c:pt>
                <c:pt idx="2">
                  <c:v>1.4746435355259675E-2</c:v>
                </c:pt>
                <c:pt idx="3">
                  <c:v>2.2574653613137298E-2</c:v>
                </c:pt>
                <c:pt idx="4">
                  <c:v>3.0731688025109869E-2</c:v>
                </c:pt>
                <c:pt idx="5">
                  <c:v>3.9238700401160148E-2</c:v>
                </c:pt>
                <c:pt idx="6">
                  <c:v>4.8118708257866141E-2</c:v>
                </c:pt>
                <c:pt idx="7">
                  <c:v>5.7396792789363181E-2</c:v>
                </c:pt>
                <c:pt idx="8">
                  <c:v>6.7100335448608855E-2</c:v>
                </c:pt>
                <c:pt idx="9">
                  <c:v>7.7259287838567905E-2</c:v>
                </c:pt>
                <c:pt idx="10">
                  <c:v>8.7906480516391092E-2</c:v>
                </c:pt>
                <c:pt idx="11">
                  <c:v>9.9077977417318747E-2</c:v>
                </c:pt>
                <c:pt idx="12">
                  <c:v>0.1108134839594392</c:v>
                </c:pt>
                <c:pt idx="13">
                  <c:v>0.12315681856050034</c:v>
                </c:pt>
                <c:pt idx="14">
                  <c:v>0.13615645936764037</c:v>
                </c:pt>
                <c:pt idx="15">
                  <c:v>0.1498661805793027</c:v>
                </c:pt>
                <c:pt idx="16">
                  <c:v>0.16434579596857213</c:v>
                </c:pt>
                <c:pt idx="17">
                  <c:v>0.17966203128696029</c:v>
                </c:pt>
                <c:pt idx="18">
                  <c:v>0.19588955238710226</c:v>
                </c:pt>
                <c:pt idx="19">
                  <c:v>0.21311218248601421</c:v>
                </c:pt>
                <c:pt idx="20">
                  <c:v>0.23142435044784121</c:v>
                </c:pt>
                <c:pt idx="21">
                  <c:v>0.25093282290855695</c:v>
                </c:pt>
                <c:pt idx="22">
                  <c:v>0.27175878733440029</c:v>
                </c:pt>
                <c:pt idx="23">
                  <c:v>0.29404037186321313</c:v>
                </c:pt>
                <c:pt idx="24">
                  <c:v>0.31793571264854764</c:v>
                </c:pt>
                <c:pt idx="25">
                  <c:v>0.34362671270739181</c:v>
                </c:pt>
                <c:pt idx="26">
                  <c:v>0.37132368124705789</c:v>
                </c:pt>
                <c:pt idx="27">
                  <c:v>0.40127110386588088</c:v>
                </c:pt>
                <c:pt idx="28">
                  <c:v>0.43375487884958547</c:v>
                </c:pt>
                <c:pt idx="29">
                  <c:v>0.46911147337138259</c:v>
                </c:pt>
                <c:pt idx="30">
                  <c:v>0.50773962136769679</c:v>
                </c:pt>
                <c:pt idx="31">
                  <c:v>0.55011542615569931</c:v>
                </c:pt>
                <c:pt idx="32">
                  <c:v>0.5968120828692256</c:v>
                </c:pt>
                <c:pt idx="33">
                  <c:v>0.64852595799446877</c:v>
                </c:pt>
                <c:pt idx="34">
                  <c:v>0.70611155230745448</c:v>
                </c:pt>
                <c:pt idx="35">
                  <c:v>0.77062908994329915</c:v>
                </c:pt>
                <c:pt idx="36">
                  <c:v>0.84341039388626804</c:v>
                </c:pt>
                <c:pt idx="37">
                  <c:v>0.92615180660786878</c:v>
                </c:pt>
                <c:pt idx="38">
                  <c:v>1.0210480612627686</c:v>
                </c:pt>
                <c:pt idx="39">
                  <c:v>1.1309898274934185</c:v>
                </c:pt>
                <c:pt idx="40">
                  <c:v>1.2598633080073591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2E-4A81-A588-1ABA71734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16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45721</xdr:colOff>
      <xdr:row>3</xdr:row>
      <xdr:rowOff>30615</xdr:rowOff>
    </xdr:from>
    <xdr:to>
      <xdr:col>9</xdr:col>
      <xdr:colOff>215011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ED0559-A01F-48D7-853F-F442EB360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3161" y="579255"/>
          <a:ext cx="4905120" cy="152265"/>
        </a:xfrm>
        <a:prstGeom prst="rect">
          <a:avLst/>
        </a:prstGeom>
      </xdr:spPr>
    </xdr:pic>
    <xdr:clientData/>
  </xdr:twoCellAnchor>
  <xdr:twoCellAnchor editAs="oneCell">
    <xdr:from>
      <xdr:col>7</xdr:col>
      <xdr:colOff>29390</xdr:colOff>
      <xdr:row>4</xdr:row>
      <xdr:rowOff>116478</xdr:rowOff>
    </xdr:from>
    <xdr:to>
      <xdr:col>13</xdr:col>
      <xdr:colOff>171721</xdr:colOff>
      <xdr:row>17</xdr:row>
      <xdr:rowOff>72391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A13678-5E17-4AE1-97FE-6BC35EA21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9570" y="847998"/>
          <a:ext cx="4152356" cy="233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114304</xdr:colOff>
      <xdr:row>0</xdr:row>
      <xdr:rowOff>0</xdr:rowOff>
    </xdr:from>
    <xdr:to>
      <xdr:col>18</xdr:col>
      <xdr:colOff>592457</xdr:colOff>
      <xdr:row>21</xdr:row>
      <xdr:rowOff>171449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D20E97-21C6-47F2-A450-9933A336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785863" y="-670559"/>
          <a:ext cx="4023359" cy="5364478"/>
        </a:xfrm>
        <a:prstGeom prst="rect">
          <a:avLst/>
        </a:prstGeom>
      </xdr:spPr>
    </xdr:pic>
    <xdr:clientData/>
  </xdr:twoCellAnchor>
  <xdr:twoCellAnchor editAs="oneCell">
    <xdr:from>
      <xdr:col>10</xdr:col>
      <xdr:colOff>112930</xdr:colOff>
      <xdr:row>22</xdr:row>
      <xdr:rowOff>7619</xdr:rowOff>
    </xdr:from>
    <xdr:to>
      <xdr:col>18</xdr:col>
      <xdr:colOff>590550</xdr:colOff>
      <xdr:row>43</xdr:row>
      <xdr:rowOff>169546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FFAD3A-1384-48C5-9775-749D61AE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3930" y="4030979"/>
          <a:ext cx="5342990" cy="4010027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24</xdr:row>
      <xdr:rowOff>57150</xdr:rowOff>
    </xdr:from>
    <xdr:to>
      <xdr:col>9</xdr:col>
      <xdr:colOff>177800</xdr:colOff>
      <xdr:row>33</xdr:row>
      <xdr:rowOff>140817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04E0EF-660F-1719-DF10-B8B0C8BE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600" y="4476750"/>
          <a:ext cx="3105150" cy="17410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278130</xdr:colOff>
      <xdr:row>38</xdr:row>
      <xdr:rowOff>102870</xdr:rowOff>
    </xdr:from>
    <xdr:to>
      <xdr:col>8</xdr:col>
      <xdr:colOff>826770</xdr:colOff>
      <xdr:row>53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6A970-39C0-49BB-967C-792B44544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552450</xdr:colOff>
      <xdr:row>54</xdr:row>
      <xdr:rowOff>7620</xdr:rowOff>
    </xdr:from>
    <xdr:to>
      <xdr:col>8</xdr:col>
      <xdr:colOff>807720</xdr:colOff>
      <xdr:row>74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42EA5-30DD-483B-BA3B-EF6134733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825500</xdr:colOff>
      <xdr:row>45</xdr:row>
      <xdr:rowOff>114300</xdr:rowOff>
    </xdr:from>
    <xdr:to>
      <xdr:col>1</xdr:col>
      <xdr:colOff>180431</xdr:colOff>
      <xdr:row>58</xdr:row>
      <xdr:rowOff>70213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D5466F-1CC2-43E7-807D-C4C7013DBB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458"/>
        <a:stretch/>
      </xdr:blipFill>
      <xdr:spPr bwMode="auto">
        <a:xfrm>
          <a:off x="825500" y="8401050"/>
          <a:ext cx="942431" cy="2349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0</xdr:row>
      <xdr:rowOff>129541</xdr:rowOff>
    </xdr:from>
    <xdr:to>
      <xdr:col>13</xdr:col>
      <xdr:colOff>552623</xdr:colOff>
      <xdr:row>14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ECF639-E2BB-44DE-A3CF-4F00E1EC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6120" y="129541"/>
          <a:ext cx="2038523" cy="2598420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0</xdr:row>
      <xdr:rowOff>129541</xdr:rowOff>
    </xdr:from>
    <xdr:to>
      <xdr:col>13</xdr:col>
      <xdr:colOff>552623</xdr:colOff>
      <xdr:row>14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83FB1F-2D76-43CB-A908-3B711E29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6120" y="129541"/>
          <a:ext cx="2038523" cy="25984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36130</xdr:colOff>
      <xdr:row>4</xdr:row>
      <xdr:rowOff>152969</xdr:rowOff>
    </xdr:from>
    <xdr:to>
      <xdr:col>20</xdr:col>
      <xdr:colOff>6719</xdr:colOff>
      <xdr:row>17</xdr:row>
      <xdr:rowOff>172019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3F6A1F-1D80-4B03-B273-7FEBFC1B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34070" y="884489"/>
          <a:ext cx="3628189" cy="2396490"/>
        </a:xfrm>
        <a:prstGeom prst="rect">
          <a:avLst/>
        </a:prstGeom>
      </xdr:spPr>
    </xdr:pic>
    <xdr:clientData/>
  </xdr:twoCellAnchor>
  <xdr:twoCellAnchor editAs="oneCell">
    <xdr:from>
      <xdr:col>14</xdr:col>
      <xdr:colOff>21359</xdr:colOff>
      <xdr:row>18</xdr:row>
      <xdr:rowOff>181910</xdr:rowOff>
    </xdr:from>
    <xdr:to>
      <xdr:col>19</xdr:col>
      <xdr:colOff>237682</xdr:colOff>
      <xdr:row>24</xdr:row>
      <xdr:rowOff>171039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7C6D23-68BA-44B6-8BDA-209F66B5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59459" y="3496610"/>
          <a:ext cx="3264323" cy="109402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27</xdr:row>
      <xdr:rowOff>157963</xdr:rowOff>
    </xdr:from>
    <xdr:to>
      <xdr:col>19</xdr:col>
      <xdr:colOff>247081</xdr:colOff>
      <xdr:row>35</xdr:row>
      <xdr:rowOff>112295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7CBB92-8B94-41A5-965A-FBE2DDB3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01075" y="5139037"/>
          <a:ext cx="3295080" cy="143020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36</xdr:row>
      <xdr:rowOff>0</xdr:rowOff>
    </xdr:from>
    <xdr:to>
      <xdr:col>19</xdr:col>
      <xdr:colOff>168443</xdr:colOff>
      <xdr:row>42</xdr:row>
      <xdr:rowOff>155183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3349C6-2F62-40F7-843B-6EF82580F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01075" y="6641432"/>
          <a:ext cx="3216442" cy="1262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192741</xdr:colOff>
      <xdr:row>8</xdr:row>
      <xdr:rowOff>98612</xdr:rowOff>
    </xdr:from>
    <xdr:to>
      <xdr:col>10</xdr:col>
      <xdr:colOff>770965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9C648-9A1C-434E-B344-F45491F0C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234950</xdr:colOff>
      <xdr:row>18</xdr:row>
      <xdr:rowOff>107950</xdr:rowOff>
    </xdr:from>
    <xdr:to>
      <xdr:col>7</xdr:col>
      <xdr:colOff>1295400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DD2ECA-90C8-27CF-99B1-AC558A2B2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0950" y="3422650"/>
          <a:ext cx="10604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1435100</xdr:colOff>
      <xdr:row>18</xdr:row>
      <xdr:rowOff>57150</xdr:rowOff>
    </xdr:from>
    <xdr:to>
      <xdr:col>8</xdr:col>
      <xdr:colOff>533400</xdr:colOff>
      <xdr:row>21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A8E5F1-AA69-4B6C-7406-7AE37080A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1100" y="3371850"/>
          <a:ext cx="927100" cy="64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546099</xdr:colOff>
      <xdr:row>0</xdr:row>
      <xdr:rowOff>0</xdr:rowOff>
    </xdr:from>
    <xdr:to>
      <xdr:col>27</xdr:col>
      <xdr:colOff>36343</xdr:colOff>
      <xdr:row>20</xdr:row>
      <xdr:rowOff>63694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B979F-03D4-98F0-BE81-BB35FE7BD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5632" y="0"/>
          <a:ext cx="7034044" cy="3789027"/>
        </a:xfrm>
        <a:prstGeom prst="rect">
          <a:avLst/>
        </a:prstGeom>
      </xdr:spPr>
    </xdr:pic>
    <xdr:clientData/>
  </xdr:twoCellAnchor>
  <xdr:twoCellAnchor editAs="oneCell">
    <xdr:from>
      <xdr:col>16</xdr:col>
      <xdr:colOff>338667</xdr:colOff>
      <xdr:row>20</xdr:row>
      <xdr:rowOff>118534</xdr:rowOff>
    </xdr:from>
    <xdr:to>
      <xdr:col>26</xdr:col>
      <xdr:colOff>358042</xdr:colOff>
      <xdr:row>47</xdr:row>
      <xdr:rowOff>74340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B74B02-313B-A2B6-850F-9130015C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47800" y="3843867"/>
          <a:ext cx="6343976" cy="49850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594360</xdr:colOff>
      <xdr:row>21</xdr:row>
      <xdr:rowOff>3810</xdr:rowOff>
    </xdr:from>
    <xdr:to>
      <xdr:col>23</xdr:col>
      <xdr:colOff>579120</xdr:colOff>
      <xdr:row>56</xdr:row>
      <xdr:rowOff>56029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FF86F-ECBB-4264-9E0E-EC67C1F25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31</xdr:col>
      <xdr:colOff>313765</xdr:colOff>
      <xdr:row>4</xdr:row>
      <xdr:rowOff>56030</xdr:rowOff>
    </xdr:from>
    <xdr:to>
      <xdr:col>36</xdr:col>
      <xdr:colOff>421089</xdr:colOff>
      <xdr:row>22</xdr:row>
      <xdr:rowOff>58157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EE5F3-8F57-4265-A015-E27F12BF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8945" y="787550"/>
          <a:ext cx="3155324" cy="32939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129530</xdr:colOff>
      <xdr:row>0</xdr:row>
      <xdr:rowOff>10242</xdr:rowOff>
    </xdr:from>
    <xdr:to>
      <xdr:col>31</xdr:col>
      <xdr:colOff>769510</xdr:colOff>
      <xdr:row>9</xdr:row>
      <xdr:rowOff>56090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FDAF6-7E21-4EB8-8A25-3A62A47E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55982" y="10242"/>
          <a:ext cx="3118528" cy="1705042"/>
        </a:xfrm>
        <a:prstGeom prst="rect">
          <a:avLst/>
        </a:prstGeom>
      </xdr:spPr>
    </xdr:pic>
    <xdr:clientData/>
  </xdr:twoCellAnchor>
  <xdr:twoCellAnchor>
    <xdr:from>
      <xdr:col>28</xdr:col>
      <xdr:colOff>92177</xdr:colOff>
      <xdr:row>9</xdr:row>
      <xdr:rowOff>113478</xdr:rowOff>
    </xdr:from>
    <xdr:to>
      <xdr:col>33</xdr:col>
      <xdr:colOff>1075404</xdr:colOff>
      <xdr:row>29</xdr:row>
      <xdr:rowOff>102420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66AAF-21CD-B663-02E5-E1402C084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140549</xdr:rowOff>
    </xdr:from>
    <xdr:to>
      <xdr:col>3</xdr:col>
      <xdr:colOff>1130822</xdr:colOff>
      <xdr:row>33</xdr:row>
      <xdr:rowOff>140549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4C448-C4E5-4CED-9E4D-767FE663D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39702</xdr:colOff>
      <xdr:row>18</xdr:row>
      <xdr:rowOff>139430</xdr:rowOff>
    </xdr:from>
    <xdr:to>
      <xdr:col>9</xdr:col>
      <xdr:colOff>487123</xdr:colOff>
      <xdr:row>33</xdr:row>
      <xdr:rowOff>139430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E3EEE-01F7-451E-8D6E-E98B283CC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</xdr:colOff>
      <xdr:row>9</xdr:row>
      <xdr:rowOff>29148</xdr:rowOff>
    </xdr:from>
    <xdr:to>
      <xdr:col>4</xdr:col>
      <xdr:colOff>574110</xdr:colOff>
      <xdr:row>17</xdr:row>
      <xdr:rowOff>168945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D4A3C6-26F8-40D4-B070-7F226688A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673189"/>
          <a:ext cx="4836438" cy="158973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104384</xdr:rowOff>
    </xdr:from>
    <xdr:to>
      <xdr:col>3</xdr:col>
      <xdr:colOff>1130822</xdr:colOff>
      <xdr:row>49</xdr:row>
      <xdr:rowOff>104385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F70CF-5E2C-466A-AE98-550068E6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43493</xdr:colOff>
      <xdr:row>34</xdr:row>
      <xdr:rowOff>95685</xdr:rowOff>
    </xdr:from>
    <xdr:to>
      <xdr:col>9</xdr:col>
      <xdr:colOff>490914</xdr:colOff>
      <xdr:row>49</xdr:row>
      <xdr:rowOff>95686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4EC3D-0DC4-4BB4-95DE-A13CC26B9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24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2EC3A-960A-4628-B607-C68344AB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419100</xdr:colOff>
      <xdr:row>0</xdr:row>
      <xdr:rowOff>0</xdr:rowOff>
    </xdr:from>
    <xdr:to>
      <xdr:col>32</xdr:col>
      <xdr:colOff>114300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EF8D1E-FCEC-47B7-B253-6E7B67394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15</xdr:row>
      <xdr:rowOff>137160</xdr:rowOff>
    </xdr:from>
    <xdr:to>
      <xdr:col>24</xdr:col>
      <xdr:colOff>304800</xdr:colOff>
      <xdr:row>30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AC75F-88A8-407C-9A77-860B1AE7D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426720</xdr:colOff>
      <xdr:row>15</xdr:row>
      <xdr:rowOff>144780</xdr:rowOff>
    </xdr:from>
    <xdr:to>
      <xdr:col>32</xdr:col>
      <xdr:colOff>121920</xdr:colOff>
      <xdr:row>30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27D6EE-ABCD-45CF-8F1D-EBE9DC959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7620</xdr:colOff>
      <xdr:row>31</xdr:row>
      <xdr:rowOff>144780</xdr:rowOff>
    </xdr:from>
    <xdr:to>
      <xdr:col>24</xdr:col>
      <xdr:colOff>312420</xdr:colOff>
      <xdr:row>46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E61465-CD08-4BAE-A8D9-775D570D0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441960</xdr:colOff>
      <xdr:row>31</xdr:row>
      <xdr:rowOff>144780</xdr:rowOff>
    </xdr:from>
    <xdr:to>
      <xdr:col>32</xdr:col>
      <xdr:colOff>137160</xdr:colOff>
      <xdr:row>46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81DFFD-26ED-48F9-8F38-452B0BEB2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541020</xdr:colOff>
      <xdr:row>47</xdr:row>
      <xdr:rowOff>167640</xdr:rowOff>
    </xdr:from>
    <xdr:to>
      <xdr:col>28</xdr:col>
      <xdr:colOff>236220</xdr:colOff>
      <xdr:row>62</xdr:row>
      <xdr:rowOff>167640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4C2BAF8-AEF2-4696-BEA5-84506E5DE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rps%20Racing/EV23-%20TREV1/Steering/EV23%20Steering%20Calcul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rps%20Racing/EV23-%20TREV1/Velocity%20-%20G%20Calcul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Steering Angle Sweep"/>
    </sheetNames>
    <sheetDataSet>
      <sheetData sheetId="0"/>
      <sheetData sheetId="1">
        <row r="2">
          <cell r="A2">
            <v>-90</v>
          </cell>
          <cell r="H2">
            <v>-94.026898308663817</v>
          </cell>
          <cell r="I2">
            <v>-119.72310169133618</v>
          </cell>
        </row>
        <row r="3">
          <cell r="A3">
            <v>-85</v>
          </cell>
          <cell r="H3">
            <v>-88.878316954126262</v>
          </cell>
          <cell r="I3">
            <v>-114.62280651188192</v>
          </cell>
        </row>
        <row r="4">
          <cell r="A4">
            <v>-80</v>
          </cell>
          <cell r="H4">
            <v>-83.688720428463029</v>
          </cell>
          <cell r="I4">
            <v>-109.57818287599484</v>
          </cell>
        </row>
        <row r="5">
          <cell r="A5">
            <v>-75</v>
          </cell>
          <cell r="H5">
            <v>-78.465060740558968</v>
          </cell>
          <cell r="I5">
            <v>-104.59634040063315</v>
          </cell>
        </row>
        <row r="6">
          <cell r="A6">
            <v>-70</v>
          </cell>
          <cell r="H6">
            <v>-73.213891775665175</v>
          </cell>
          <cell r="I6">
            <v>-99.683470973562066</v>
          </cell>
        </row>
        <row r="7">
          <cell r="A7">
            <v>-65</v>
          </cell>
          <cell r="H7">
            <v>-67.941369732029472</v>
          </cell>
          <cell r="I7">
            <v>-61.093905105194729</v>
          </cell>
        </row>
        <row r="8">
          <cell r="A8">
            <v>-60</v>
          </cell>
          <cell r="H8">
            <v>-62.65330124034702</v>
          </cell>
          <cell r="I8">
            <v>-56.328879420520821</v>
          </cell>
        </row>
        <row r="9">
          <cell r="A9">
            <v>-55</v>
          </cell>
          <cell r="H9">
            <v>-57.355218537289566</v>
          </cell>
          <cell r="I9">
            <v>-51.635158031784592</v>
          </cell>
        </row>
        <row r="10">
          <cell r="A10">
            <v>-50</v>
          </cell>
          <cell r="H10">
            <v>-52.052469079834999</v>
          </cell>
          <cell r="I10">
            <v>-47.003839603772931</v>
          </cell>
        </row>
        <row r="11">
          <cell r="A11">
            <v>-45</v>
          </cell>
          <cell r="H11">
            <v>-46.75031221183842</v>
          </cell>
          <cell r="I11">
            <v>-42.419852791539142</v>
          </cell>
        </row>
        <row r="12">
          <cell r="A12">
            <v>-40</v>
          </cell>
          <cell r="H12">
            <v>-41.454018534052921</v>
          </cell>
          <cell r="I12">
            <v>-37.862640791958775</v>
          </cell>
        </row>
        <row r="13">
          <cell r="A13">
            <v>-35</v>
          </cell>
          <cell r="H13">
            <v>-36.168968951068528</v>
          </cell>
          <cell r="I13">
            <v>-33.308221785213668</v>
          </cell>
        </row>
        <row r="14">
          <cell r="A14">
            <v>-30</v>
          </cell>
          <cell r="H14">
            <v>-30.900750204157209</v>
          </cell>
          <cell r="I14">
            <v>-28.732242948747558</v>
          </cell>
        </row>
        <row r="15">
          <cell r="A15">
            <v>-25</v>
          </cell>
          <cell r="H15">
            <v>-25.655242018153523</v>
          </cell>
          <cell r="I15">
            <v>-24.113147917400038</v>
          </cell>
        </row>
        <row r="16">
          <cell r="A16">
            <v>-20</v>
          </cell>
          <cell r="H16">
            <v>-20.438687505507431</v>
          </cell>
          <cell r="I16">
            <v>-19.4345169886764</v>
          </cell>
        </row>
        <row r="17">
          <cell r="A17">
            <v>-15</v>
          </cell>
          <cell r="H17">
            <v>-15.257732669763501</v>
          </cell>
          <cell r="I17">
            <v>-14.686063891437277</v>
          </cell>
        </row>
        <row r="18">
          <cell r="A18">
            <v>-10</v>
          </cell>
          <cell r="H18">
            <v>-10.119412127163052</v>
          </cell>
          <cell r="I18">
            <v>-9.8633617481830118</v>
          </cell>
        </row>
        <row r="19">
          <cell r="A19">
            <v>-5</v>
          </cell>
          <cell r="H19">
            <v>-5.0310461862245317</v>
          </cell>
          <cell r="I19">
            <v>-4.9667577135310124</v>
          </cell>
        </row>
        <row r="20">
          <cell r="A20">
            <v>0</v>
          </cell>
          <cell r="H20">
            <v>0</v>
          </cell>
          <cell r="I20">
            <v>0</v>
          </cell>
        </row>
        <row r="21">
          <cell r="A21">
            <v>5</v>
          </cell>
          <cell r="H21">
            <v>4.9667577135310124</v>
          </cell>
          <cell r="I21">
            <v>5.0310461862245317</v>
          </cell>
        </row>
        <row r="22">
          <cell r="A22">
            <v>10</v>
          </cell>
          <cell r="H22">
            <v>9.8633617481830118</v>
          </cell>
          <cell r="I22">
            <v>10.119412127163052</v>
          </cell>
        </row>
        <row r="23">
          <cell r="A23">
            <v>15</v>
          </cell>
          <cell r="H23">
            <v>14.686063891437277</v>
          </cell>
          <cell r="I23">
            <v>15.257732669763501</v>
          </cell>
        </row>
        <row r="24">
          <cell r="A24">
            <v>20</v>
          </cell>
          <cell r="H24">
            <v>19.4345169886764</v>
          </cell>
          <cell r="I24">
            <v>20.438687505507431</v>
          </cell>
        </row>
        <row r="25">
          <cell r="A25">
            <v>25</v>
          </cell>
          <cell r="H25">
            <v>24.113147917400038</v>
          </cell>
          <cell r="I25">
            <v>25.655242018153523</v>
          </cell>
        </row>
        <row r="26">
          <cell r="A26">
            <v>30</v>
          </cell>
          <cell r="H26">
            <v>28.732242948747558</v>
          </cell>
          <cell r="I26">
            <v>30.900750204157209</v>
          </cell>
        </row>
        <row r="27">
          <cell r="A27">
            <v>35</v>
          </cell>
          <cell r="H27">
            <v>33.308221785213668</v>
          </cell>
          <cell r="I27">
            <v>36.168968951068528</v>
          </cell>
        </row>
        <row r="28">
          <cell r="A28">
            <v>40</v>
          </cell>
          <cell r="H28">
            <v>37.862640791958775</v>
          </cell>
          <cell r="I28">
            <v>41.454018534052921</v>
          </cell>
        </row>
        <row r="29">
          <cell r="A29">
            <v>45</v>
          </cell>
          <cell r="H29">
            <v>42.419852791539142</v>
          </cell>
          <cell r="I29">
            <v>46.75031221183842</v>
          </cell>
        </row>
        <row r="30">
          <cell r="A30">
            <v>50</v>
          </cell>
          <cell r="H30">
            <v>47.003839603772931</v>
          </cell>
          <cell r="I30">
            <v>52.052469079834999</v>
          </cell>
        </row>
        <row r="31">
          <cell r="A31">
            <v>55</v>
          </cell>
          <cell r="H31">
            <v>51.635158031784592</v>
          </cell>
          <cell r="I31">
            <v>57.355218537289566</v>
          </cell>
        </row>
        <row r="32">
          <cell r="A32">
            <v>60</v>
          </cell>
          <cell r="H32">
            <v>56.328879420520821</v>
          </cell>
          <cell r="I32">
            <v>62.65330124034702</v>
          </cell>
        </row>
        <row r="33">
          <cell r="A33">
            <v>65</v>
          </cell>
          <cell r="H33">
            <v>61.093905105194729</v>
          </cell>
          <cell r="I33">
            <v>67.941369732029472</v>
          </cell>
        </row>
        <row r="34">
          <cell r="A34">
            <v>70</v>
          </cell>
          <cell r="H34">
            <v>99.683470973562066</v>
          </cell>
          <cell r="I34">
            <v>73.213891775665175</v>
          </cell>
        </row>
        <row r="35">
          <cell r="A35">
            <v>75</v>
          </cell>
          <cell r="H35">
            <v>104.59634040063315</v>
          </cell>
          <cell r="I35">
            <v>78.465060740558968</v>
          </cell>
        </row>
        <row r="36">
          <cell r="A36">
            <v>80</v>
          </cell>
          <cell r="H36">
            <v>109.57818287599484</v>
          </cell>
          <cell r="I36">
            <v>83.688720428463029</v>
          </cell>
        </row>
        <row r="37">
          <cell r="A37">
            <v>85</v>
          </cell>
          <cell r="H37">
            <v>114.62280651188192</v>
          </cell>
          <cell r="I37">
            <v>88.878316954126262</v>
          </cell>
        </row>
        <row r="38">
          <cell r="A38">
            <v>90</v>
          </cell>
          <cell r="H38">
            <v>119.72310169133618</v>
          </cell>
          <cell r="I38">
            <v>94.026898308663817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locity -&gt; Gs"/>
    </sheetNames>
    <sheetDataSet>
      <sheetData sheetId="0">
        <row r="7">
          <cell r="L7">
            <v>0.2004140786749482</v>
          </cell>
          <cell r="M7">
            <v>0.80165631469979282</v>
          </cell>
          <cell r="N7">
            <v>1.8037267080745343</v>
          </cell>
          <cell r="O7">
            <v>3.2066252587991713</v>
          </cell>
          <cell r="P7">
            <v>5.0103519668737073</v>
          </cell>
          <cell r="Q7">
            <v>7.2149068322981371</v>
          </cell>
          <cell r="R7">
            <v>9.8202898550724615</v>
          </cell>
          <cell r="S7">
            <v>12.826501035196685</v>
          </cell>
          <cell r="T7">
            <v>16.233540372670809</v>
          </cell>
          <cell r="U7">
            <v>20.041407867494829</v>
          </cell>
          <cell r="V7">
            <v>24.250103519668738</v>
          </cell>
          <cell r="W7">
            <v>28.859627329192548</v>
          </cell>
        </row>
        <row r="8">
          <cell r="L8">
            <v>0.16701173222912349</v>
          </cell>
          <cell r="M8">
            <v>0.66804692891649398</v>
          </cell>
          <cell r="N8">
            <v>1.5031055900621115</v>
          </cell>
          <cell r="O8">
            <v>2.6721877156659759</v>
          </cell>
          <cell r="P8">
            <v>4.175293305728089</v>
          </cell>
          <cell r="Q8">
            <v>6.0124223602484461</v>
          </cell>
          <cell r="R8">
            <v>8.1835748792270522</v>
          </cell>
          <cell r="S8">
            <v>10.688750862663904</v>
          </cell>
          <cell r="T8">
            <v>13.527950310559008</v>
          </cell>
          <cell r="U8">
            <v>16.701173222912356</v>
          </cell>
          <cell r="V8">
            <v>20.208419599723953</v>
          </cell>
          <cell r="W8">
            <v>24.049689440993784</v>
          </cell>
        </row>
        <row r="9">
          <cell r="L9">
            <v>0.1002070393374741</v>
          </cell>
          <cell r="M9">
            <v>0.40082815734989641</v>
          </cell>
          <cell r="N9">
            <v>0.90186335403726714</v>
          </cell>
          <cell r="O9">
            <v>1.6033126293995856</v>
          </cell>
          <cell r="P9">
            <v>2.5051759834368537</v>
          </cell>
          <cell r="Q9">
            <v>3.6074534161490686</v>
          </cell>
          <cell r="R9">
            <v>4.9101449275362308</v>
          </cell>
          <cell r="S9">
            <v>6.4132505175983425</v>
          </cell>
          <cell r="T9">
            <v>8.1167701863354047</v>
          </cell>
          <cell r="U9">
            <v>10.020703933747415</v>
          </cell>
          <cell r="V9">
            <v>12.125051759834369</v>
          </cell>
          <cell r="W9">
            <v>14.429813664596274</v>
          </cell>
        </row>
        <row r="10">
          <cell r="L10">
            <v>6.6804692891649406E-2</v>
          </cell>
          <cell r="M10">
            <v>0.26721877156659762</v>
          </cell>
          <cell r="N10">
            <v>0.60124223602484461</v>
          </cell>
          <cell r="O10">
            <v>1.0688750862663905</v>
          </cell>
          <cell r="P10">
            <v>1.6701173222912356</v>
          </cell>
          <cell r="Q10">
            <v>2.4049689440993784</v>
          </cell>
          <cell r="R10">
            <v>3.2734299516908205</v>
          </cell>
          <cell r="S10">
            <v>4.275500345065562</v>
          </cell>
          <cell r="T10">
            <v>5.4111801242236028</v>
          </cell>
          <cell r="U10">
            <v>6.6804692891649422</v>
          </cell>
          <cell r="V10">
            <v>8.083367839889581</v>
          </cell>
          <cell r="W10">
            <v>9.6198757763975138</v>
          </cell>
        </row>
        <row r="12">
          <cell r="L12">
            <v>5.0103519668737051E-2</v>
          </cell>
          <cell r="M12">
            <v>0.2004140786749482</v>
          </cell>
          <cell r="N12">
            <v>0.45093167701863357</v>
          </cell>
          <cell r="O12">
            <v>0.80165631469979282</v>
          </cell>
          <cell r="P12">
            <v>1.2525879917184268</v>
          </cell>
          <cell r="Q12">
            <v>1.8037267080745343</v>
          </cell>
          <cell r="R12">
            <v>2.4550724637681154</v>
          </cell>
          <cell r="S12">
            <v>3.2066252587991713</v>
          </cell>
          <cell r="T12">
            <v>4.0583850931677024</v>
          </cell>
          <cell r="U12">
            <v>5.0103519668737073</v>
          </cell>
          <cell r="V12">
            <v>6.0625258799171844</v>
          </cell>
          <cell r="W12">
            <v>7.2149068322981371</v>
          </cell>
        </row>
        <row r="13">
          <cell r="L13">
            <v>4.0082815734989646E-2</v>
          </cell>
          <cell r="M13">
            <v>0.16033126293995859</v>
          </cell>
          <cell r="N13">
            <v>0.36074534161490679</v>
          </cell>
          <cell r="O13">
            <v>0.64132505175983434</v>
          </cell>
          <cell r="P13">
            <v>1.0020703933747412</v>
          </cell>
          <cell r="Q13">
            <v>1.4429813664596272</v>
          </cell>
          <cell r="R13">
            <v>1.9640579710144928</v>
          </cell>
          <cell r="S13">
            <v>2.5653002070393374</v>
          </cell>
          <cell r="T13">
            <v>3.2467080745341623</v>
          </cell>
          <cell r="U13">
            <v>4.008281573498965</v>
          </cell>
          <cell r="V13">
            <v>4.8500207039337484</v>
          </cell>
          <cell r="W13">
            <v>5.7719254658385086</v>
          </cell>
        </row>
        <row r="14">
          <cell r="L14">
            <v>3.3402346445824703E-2</v>
          </cell>
          <cell r="M14">
            <v>0.13360938578329881</v>
          </cell>
          <cell r="N14">
            <v>0.30062111801242231</v>
          </cell>
          <cell r="O14">
            <v>0.53443754313319525</v>
          </cell>
          <cell r="P14">
            <v>0.83505866114561778</v>
          </cell>
          <cell r="Q14">
            <v>1.2024844720496892</v>
          </cell>
          <cell r="R14">
            <v>1.6367149758454103</v>
          </cell>
          <cell r="S14">
            <v>2.137750172532781</v>
          </cell>
          <cell r="T14">
            <v>2.7055900621118014</v>
          </cell>
          <cell r="U14">
            <v>3.3402346445824711</v>
          </cell>
          <cell r="V14">
            <v>4.0416839199447905</v>
          </cell>
          <cell r="W14">
            <v>4.8099378881987569</v>
          </cell>
        </row>
        <row r="15">
          <cell r="L15">
            <v>2.8630582667849746E-2</v>
          </cell>
          <cell r="M15">
            <v>0.11452233067139898</v>
          </cell>
          <cell r="N15">
            <v>0.25767524401064773</v>
          </cell>
          <cell r="O15">
            <v>0.45808932268559593</v>
          </cell>
          <cell r="P15">
            <v>0.71576456669624389</v>
          </cell>
          <cell r="Q15">
            <v>1.0307009760425909</v>
          </cell>
          <cell r="R15">
            <v>1.4028985507246376</v>
          </cell>
          <cell r="S15">
            <v>1.8323572907423837</v>
          </cell>
          <cell r="T15">
            <v>2.3190771960958303</v>
          </cell>
          <cell r="U15">
            <v>2.8630582667849755</v>
          </cell>
          <cell r="V15">
            <v>3.4643005028098202</v>
          </cell>
          <cell r="W15">
            <v>4.1228039041703637</v>
          </cell>
        </row>
        <row r="16">
          <cell r="L16">
            <v>2.5051759834368525E-2</v>
          </cell>
          <cell r="M16">
            <v>0.1002070393374741</v>
          </cell>
          <cell r="N16">
            <v>0.22546583850931678</v>
          </cell>
          <cell r="O16">
            <v>0.40082815734989641</v>
          </cell>
          <cell r="P16">
            <v>0.62629399585921341</v>
          </cell>
          <cell r="Q16">
            <v>0.90186335403726714</v>
          </cell>
          <cell r="R16">
            <v>1.2275362318840577</v>
          </cell>
          <cell r="S16">
            <v>1.6033126293995856</v>
          </cell>
          <cell r="T16">
            <v>2.0291925465838512</v>
          </cell>
          <cell r="U16">
            <v>2.5051759834368537</v>
          </cell>
          <cell r="V16">
            <v>3.0312629399585922</v>
          </cell>
          <cell r="W16">
            <v>3.6074534161490686</v>
          </cell>
        </row>
        <row r="17">
          <cell r="L17">
            <v>2.2268230963883136E-2</v>
          </cell>
          <cell r="M17">
            <v>8.9072923855532546E-2</v>
          </cell>
          <cell r="N17">
            <v>0.2004140786749482</v>
          </cell>
          <cell r="O17">
            <v>0.35629169542213018</v>
          </cell>
          <cell r="P17">
            <v>0.55670577409707855</v>
          </cell>
          <cell r="Q17">
            <v>0.80165631469979282</v>
          </cell>
          <cell r="R17">
            <v>1.0911433172302738</v>
          </cell>
          <cell r="S17">
            <v>1.4251667816885207</v>
          </cell>
          <cell r="T17">
            <v>1.8037267080745345</v>
          </cell>
          <cell r="U17">
            <v>2.2268230963883142</v>
          </cell>
          <cell r="V17">
            <v>2.6944559466298599</v>
          </cell>
          <cell r="W17">
            <v>3.2066252587991713</v>
          </cell>
        </row>
        <row r="18">
          <cell r="L18">
            <v>2.0041407867494823E-2</v>
          </cell>
          <cell r="M18">
            <v>8.0165631469979293E-2</v>
          </cell>
          <cell r="N18">
            <v>0.18037267080745339</v>
          </cell>
          <cell r="O18">
            <v>0.32066252587991717</v>
          </cell>
          <cell r="P18">
            <v>0.50103519668737062</v>
          </cell>
          <cell r="Q18">
            <v>0.72149068322981358</v>
          </cell>
          <cell r="R18">
            <v>0.98202898550724638</v>
          </cell>
          <cell r="S18">
            <v>1.2826501035196687</v>
          </cell>
          <cell r="T18">
            <v>1.6233540372670812</v>
          </cell>
          <cell r="U18">
            <v>2.0041407867494825</v>
          </cell>
          <cell r="V18">
            <v>2.4250103519668742</v>
          </cell>
          <cell r="W18">
            <v>2.8859627329192543</v>
          </cell>
        </row>
        <row r="19">
          <cell r="L19">
            <v>1.8219461697722567E-2</v>
          </cell>
          <cell r="M19">
            <v>7.2877846790890266E-2</v>
          </cell>
          <cell r="N19">
            <v>0.1639751552795031</v>
          </cell>
          <cell r="O19">
            <v>0.29151138716356106</v>
          </cell>
          <cell r="P19">
            <v>0.4554865424430643</v>
          </cell>
          <cell r="Q19">
            <v>0.65590062111801239</v>
          </cell>
          <cell r="R19">
            <v>0.89275362318840568</v>
          </cell>
          <cell r="S19">
            <v>1.1660455486542443</v>
          </cell>
          <cell r="T19">
            <v>1.4757763975155282</v>
          </cell>
          <cell r="U19">
            <v>1.8219461697722572</v>
          </cell>
          <cell r="V19">
            <v>2.2045548654244311</v>
          </cell>
          <cell r="W19">
            <v>2.6236024844720496</v>
          </cell>
        </row>
        <row r="20">
          <cell r="L20">
            <v>1.6701173222912351E-2</v>
          </cell>
          <cell r="M20">
            <v>6.6804692891649406E-2</v>
          </cell>
          <cell r="N20">
            <v>0.15031055900621115</v>
          </cell>
          <cell r="O20">
            <v>0.26721877156659762</v>
          </cell>
          <cell r="P20">
            <v>0.41752933057280889</v>
          </cell>
          <cell r="Q20">
            <v>0.60124223602484461</v>
          </cell>
          <cell r="R20">
            <v>0.81835748792270513</v>
          </cell>
          <cell r="S20">
            <v>1.0688750862663905</v>
          </cell>
          <cell r="T20">
            <v>1.3527950310559007</v>
          </cell>
          <cell r="U20">
            <v>1.6701173222912356</v>
          </cell>
          <cell r="V20">
            <v>2.0208419599723952</v>
          </cell>
          <cell r="W20">
            <v>2.4049689440993784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1A005-9514-4E99-B0F7-D7F5D538465F}">
  <dimension ref="A1:A6"/>
  <sheetViews>
    <sheetView workbookViewId="0"/>
  </sheetViews>
  <sheetFormatPr defaultRowHeight="14.4" x14ac:dyDescent="0.3"/>
  <cols>
    <col min="1" max="1" width="16.77734375" customWidth="1"/>
  </cols>
  <sheetData>
    <row r="1" spans="1:1" x14ac:dyDescent="0.3">
      <c r="A1" s="112" t="s">
        <v>444</v>
      </c>
    </row>
    <row r="2" spans="1:1" x14ac:dyDescent="0.3">
      <c r="A2" t="s">
        <v>445</v>
      </c>
    </row>
    <row r="3" spans="1:1" x14ac:dyDescent="0.3">
      <c r="A3" t="s">
        <v>446</v>
      </c>
    </row>
    <row r="4" spans="1:1" x14ac:dyDescent="0.3">
      <c r="A4" t="s">
        <v>448</v>
      </c>
    </row>
    <row r="5" spans="1:1" x14ac:dyDescent="0.3">
      <c r="A5" t="s">
        <v>447</v>
      </c>
    </row>
    <row r="6" spans="1:1" x14ac:dyDescent="0.3">
      <c r="A6" t="s">
        <v>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774E-E606-477D-83EC-D437395B034E}">
  <dimension ref="A1:T62"/>
  <sheetViews>
    <sheetView tabSelected="1" zoomScale="78" zoomScaleNormal="78" zoomScaleSheetLayoutView="80" workbookViewId="0">
      <selection activeCell="F15" sqref="F15"/>
    </sheetView>
  </sheetViews>
  <sheetFormatPr defaultRowHeight="14.4" x14ac:dyDescent="0.3"/>
  <cols>
    <col min="1" max="1" width="23.88671875" customWidth="1"/>
    <col min="3" max="3" width="8.6640625" customWidth="1"/>
    <col min="4" max="4" width="8.88671875" customWidth="1"/>
    <col min="5" max="5" width="9.109375" customWidth="1"/>
    <col min="6" max="6" width="8.88671875" customWidth="1"/>
    <col min="7" max="7" width="4.109375" customWidth="1"/>
    <col min="8" max="8" width="27.77734375" customWidth="1"/>
    <col min="11" max="11" width="24" customWidth="1"/>
    <col min="13" max="13" width="11.88671875" customWidth="1"/>
    <col min="14" max="14" width="8" customWidth="1"/>
    <col min="15" max="15" width="10.21875" customWidth="1"/>
    <col min="16" max="16" width="19.21875" customWidth="1"/>
    <col min="18" max="18" width="8.44140625" customWidth="1"/>
    <col min="19" max="19" width="14.21875" customWidth="1"/>
    <col min="20" max="20" width="9.109375" customWidth="1"/>
    <col min="21" max="21" width="46.88671875" customWidth="1"/>
  </cols>
  <sheetData>
    <row r="1" spans="1:20" ht="15" thickBot="1" x14ac:dyDescent="0.35">
      <c r="A1" s="1" t="s">
        <v>82</v>
      </c>
      <c r="D1" s="1" t="s">
        <v>185</v>
      </c>
      <c r="G1" t="s">
        <v>316</v>
      </c>
      <c r="H1" t="s">
        <v>187</v>
      </c>
      <c r="K1" s="1" t="s">
        <v>84</v>
      </c>
    </row>
    <row r="2" spans="1:20" ht="15" thickBot="1" x14ac:dyDescent="0.35">
      <c r="A2" s="25" t="s">
        <v>0</v>
      </c>
      <c r="B2">
        <v>700</v>
      </c>
      <c r="D2" s="87" t="s">
        <v>180</v>
      </c>
      <c r="E2" s="88"/>
      <c r="F2" s="88"/>
      <c r="G2" s="89" t="s">
        <v>189</v>
      </c>
      <c r="H2" s="89">
        <v>1.7</v>
      </c>
      <c r="I2" s="90" t="s">
        <v>188</v>
      </c>
      <c r="K2" s="25" t="s">
        <v>10</v>
      </c>
      <c r="L2">
        <v>1.7</v>
      </c>
      <c r="P2" t="s">
        <v>21</v>
      </c>
      <c r="Q2">
        <f>IF(AND(G2="Yes",G3="No"),H2,IF(AND(G2="No",G3="Yes"),-'Braking + Initial DF Sim'!E7,IF(AND(G2="No",G3="No"),0)))</f>
        <v>0</v>
      </c>
      <c r="R2" s="57" t="str">
        <f>IF(Q2&gt;0,"Accel",IF(Q2&lt;0,"Braking",IF(Q2=0,"Steady")))</f>
        <v>Steady</v>
      </c>
    </row>
    <row r="3" spans="1:20" x14ac:dyDescent="0.3">
      <c r="A3" s="25" t="s">
        <v>1</v>
      </c>
      <c r="B3">
        <v>48</v>
      </c>
      <c r="D3" s="80" t="s">
        <v>186</v>
      </c>
      <c r="E3" s="81"/>
      <c r="F3" s="81"/>
      <c r="G3" s="82" t="s">
        <v>189</v>
      </c>
      <c r="H3" s="82">
        <v>40</v>
      </c>
      <c r="I3" s="83" t="s">
        <v>177</v>
      </c>
      <c r="K3" s="25" t="s">
        <v>11</v>
      </c>
      <c r="L3">
        <v>1.7</v>
      </c>
      <c r="P3" t="s">
        <v>22</v>
      </c>
      <c r="Q3">
        <f>IF(G5="Yes",H5,0)</f>
        <v>0</v>
      </c>
      <c r="R3" s="57" t="str">
        <f>IF(Q3&gt;0,"Right",IF(Q3&lt;0,"Left",IF(Q3=0,"Straight")))</f>
        <v>Straight</v>
      </c>
      <c r="S3" t="s">
        <v>133</v>
      </c>
      <c r="T3">
        <f>Q3*L32</f>
        <v>0</v>
      </c>
    </row>
    <row r="4" spans="1:20" ht="15" thickBot="1" x14ac:dyDescent="0.35">
      <c r="A4" s="25" t="s">
        <v>2</v>
      </c>
      <c r="B4">
        <v>52</v>
      </c>
      <c r="D4" s="84"/>
      <c r="E4" s="85" t="s">
        <v>314</v>
      </c>
      <c r="F4" s="85"/>
      <c r="G4" s="65"/>
      <c r="H4" s="65">
        <v>0</v>
      </c>
      <c r="I4" s="86" t="s">
        <v>177</v>
      </c>
      <c r="K4" s="99" t="s">
        <v>293</v>
      </c>
      <c r="L4">
        <f>'Velocity &amp; G''s Sim'!AB18</f>
        <v>1.7</v>
      </c>
      <c r="S4" t="s">
        <v>134</v>
      </c>
      <c r="T4">
        <f>T3*12</f>
        <v>0</v>
      </c>
    </row>
    <row r="5" spans="1:20" x14ac:dyDescent="0.3">
      <c r="A5" s="25" t="s">
        <v>3</v>
      </c>
      <c r="B5">
        <v>61</v>
      </c>
      <c r="D5" s="80" t="s">
        <v>98</v>
      </c>
      <c r="E5" s="81"/>
      <c r="F5" s="81"/>
      <c r="G5" s="82" t="s">
        <v>189</v>
      </c>
      <c r="H5" s="82">
        <v>1.7</v>
      </c>
      <c r="I5" s="83" t="s">
        <v>188</v>
      </c>
      <c r="K5" s="99" t="s">
        <v>292</v>
      </c>
      <c r="L5">
        <f>'Velocity &amp; G''s Sim'!AB21</f>
        <v>1.7</v>
      </c>
    </row>
    <row r="6" spans="1:20" x14ac:dyDescent="0.3">
      <c r="A6" s="25" t="s">
        <v>71</v>
      </c>
      <c r="B6">
        <v>48</v>
      </c>
      <c r="D6" s="91"/>
      <c r="E6" s="25" t="s">
        <v>312</v>
      </c>
      <c r="F6" s="25"/>
      <c r="H6">
        <v>360</v>
      </c>
      <c r="I6" s="92" t="s">
        <v>313</v>
      </c>
      <c r="K6" s="25" t="s">
        <v>87</v>
      </c>
      <c r="L6">
        <v>167</v>
      </c>
      <c r="M6" t="s">
        <v>452</v>
      </c>
      <c r="P6" t="s">
        <v>65</v>
      </c>
      <c r="Q6">
        <v>3200</v>
      </c>
      <c r="S6" t="s">
        <v>135</v>
      </c>
      <c r="T6">
        <f>SQRT(ABS(T4)*L30)</f>
        <v>0</v>
      </c>
    </row>
    <row r="7" spans="1:20" ht="15" thickBot="1" x14ac:dyDescent="0.35">
      <c r="A7" s="25" t="s">
        <v>72</v>
      </c>
      <c r="B7">
        <v>48</v>
      </c>
      <c r="D7" s="84"/>
      <c r="E7" s="85" t="s">
        <v>295</v>
      </c>
      <c r="F7" s="85"/>
      <c r="G7" s="65"/>
      <c r="H7" s="65">
        <v>348</v>
      </c>
      <c r="I7" s="86" t="s">
        <v>294</v>
      </c>
      <c r="K7" s="25" t="s">
        <v>90</v>
      </c>
      <c r="L7">
        <v>92.4</v>
      </c>
      <c r="M7" t="s">
        <v>451</v>
      </c>
      <c r="P7" t="s">
        <v>64</v>
      </c>
      <c r="Q7">
        <v>2000</v>
      </c>
      <c r="S7" s="19" t="s">
        <v>184</v>
      </c>
      <c r="T7">
        <f>T6/17.6</f>
        <v>0</v>
      </c>
    </row>
    <row r="8" spans="1:20" ht="15" thickBot="1" x14ac:dyDescent="0.35">
      <c r="A8" s="25" t="s">
        <v>4</v>
      </c>
      <c r="B8">
        <v>9.84</v>
      </c>
      <c r="D8" s="87" t="s">
        <v>192</v>
      </c>
      <c r="E8" s="88"/>
      <c r="F8" s="88"/>
      <c r="G8" s="89" t="str">
        <f>IF(AND(G2="No",G3="No",G5="No"),"Yes","No")</f>
        <v>Yes</v>
      </c>
      <c r="H8" s="89">
        <v>60</v>
      </c>
      <c r="I8" s="90" t="s">
        <v>177</v>
      </c>
      <c r="K8" s="25" t="s">
        <v>49</v>
      </c>
      <c r="L8">
        <v>671</v>
      </c>
      <c r="P8" t="s">
        <v>417</v>
      </c>
    </row>
    <row r="9" spans="1:20" x14ac:dyDescent="0.3">
      <c r="A9" s="25" t="s">
        <v>154</v>
      </c>
      <c r="B9">
        <v>9</v>
      </c>
      <c r="K9" s="25" t="s">
        <v>50</v>
      </c>
      <c r="L9">
        <v>533</v>
      </c>
      <c r="S9" s="60" t="s">
        <v>443</v>
      </c>
      <c r="T9">
        <f>IF(G3="No",0,H3)</f>
        <v>0</v>
      </c>
    </row>
    <row r="10" spans="1:20" x14ac:dyDescent="0.3">
      <c r="A10" s="25" t="s">
        <v>7</v>
      </c>
      <c r="B10">
        <f>B5*(B4/100)</f>
        <v>31.720000000000002</v>
      </c>
      <c r="D10" s="1" t="s">
        <v>304</v>
      </c>
      <c r="H10" s="1" t="s">
        <v>297</v>
      </c>
    </row>
    <row r="11" spans="1:20" x14ac:dyDescent="0.3">
      <c r="A11" s="25" t="s">
        <v>8</v>
      </c>
      <c r="B11">
        <f>B5*(B3/100)</f>
        <v>29.279999999999998</v>
      </c>
      <c r="D11" s="93" t="s">
        <v>27</v>
      </c>
      <c r="E11" s="93"/>
      <c r="F11" s="94" t="str">
        <f>R2</f>
        <v>Steady</v>
      </c>
      <c r="G11" s="78"/>
      <c r="H11" s="25" t="s">
        <v>296</v>
      </c>
      <c r="I11">
        <v>169</v>
      </c>
      <c r="K11" s="1" t="s">
        <v>190</v>
      </c>
    </row>
    <row r="12" spans="1:20" x14ac:dyDescent="0.3">
      <c r="A12" s="25" t="s">
        <v>62</v>
      </c>
      <c r="B12">
        <v>9</v>
      </c>
      <c r="D12" s="93" t="s">
        <v>305</v>
      </c>
      <c r="E12" s="93"/>
      <c r="F12" s="94" t="str">
        <f>R3</f>
        <v>Straight</v>
      </c>
      <c r="G12" s="78"/>
      <c r="H12" s="25" t="s">
        <v>168</v>
      </c>
      <c r="I12">
        <v>0.5</v>
      </c>
      <c r="K12" s="25" t="s">
        <v>191</v>
      </c>
      <c r="L12">
        <v>0</v>
      </c>
      <c r="M12" t="s">
        <v>102</v>
      </c>
      <c r="N12">
        <f>L12*(PI()/180)</f>
        <v>0</v>
      </c>
    </row>
    <row r="13" spans="1:20" x14ac:dyDescent="0.3">
      <c r="A13" s="25" t="s">
        <v>63</v>
      </c>
      <c r="B13">
        <v>9</v>
      </c>
      <c r="H13" t="s">
        <v>182</v>
      </c>
      <c r="I13">
        <f>'Braking + Initial DF Sim'!E5</f>
        <v>869.05097130936235</v>
      </c>
    </row>
    <row r="14" spans="1:20" x14ac:dyDescent="0.3">
      <c r="A14" s="25" t="s">
        <v>38</v>
      </c>
      <c r="B14">
        <v>1.9610000000000001</v>
      </c>
      <c r="H14" t="s">
        <v>183</v>
      </c>
      <c r="I14">
        <f>'Braking + Initial DF Sim'!E6</f>
        <v>217.99777603485839</v>
      </c>
      <c r="K14" s="1" t="s">
        <v>300</v>
      </c>
    </row>
    <row r="15" spans="1:20" x14ac:dyDescent="0.3">
      <c r="A15" s="25" t="s">
        <v>39</v>
      </c>
      <c r="B15">
        <v>2.9129999999999998</v>
      </c>
      <c r="H15" s="99" t="s">
        <v>289</v>
      </c>
      <c r="I15" t="str">
        <f>IF('Braking + Initial DF Sim'!I7&gt;L2,"Yes","No")</f>
        <v>Yes</v>
      </c>
      <c r="K15" t="s">
        <v>5</v>
      </c>
      <c r="L15">
        <f>B2*(B3/100)</f>
        <v>336</v>
      </c>
    </row>
    <row r="16" spans="1:20" x14ac:dyDescent="0.3">
      <c r="H16" s="99" t="s">
        <v>290</v>
      </c>
      <c r="I16" t="str">
        <f>IF('Braking + Initial DF Sim'!I8&gt;L2,"Yes","No")</f>
        <v>No</v>
      </c>
      <c r="K16" t="s">
        <v>6</v>
      </c>
      <c r="L16">
        <f>B2*(B4/100)</f>
        <v>364</v>
      </c>
    </row>
    <row r="17" spans="1:20" x14ac:dyDescent="0.3">
      <c r="A17" s="1" t="s">
        <v>136</v>
      </c>
    </row>
    <row r="18" spans="1:20" x14ac:dyDescent="0.3">
      <c r="A18" s="25" t="s">
        <v>127</v>
      </c>
      <c r="B18">
        <v>0</v>
      </c>
      <c r="H18" s="1" t="s">
        <v>298</v>
      </c>
      <c r="K18" t="s">
        <v>23</v>
      </c>
      <c r="L18">
        <f>L15/2</f>
        <v>168</v>
      </c>
    </row>
    <row r="19" spans="1:20" x14ac:dyDescent="0.3">
      <c r="H19" s="25" t="s">
        <v>47</v>
      </c>
      <c r="I19">
        <v>200</v>
      </c>
      <c r="K19" t="s">
        <v>24</v>
      </c>
      <c r="L19">
        <f>L15/2</f>
        <v>168</v>
      </c>
      <c r="N19" s="1"/>
    </row>
    <row r="20" spans="1:20" x14ac:dyDescent="0.3">
      <c r="B20" s="2" t="s">
        <v>17</v>
      </c>
      <c r="C20" s="3"/>
      <c r="D20" s="3" t="s">
        <v>18</v>
      </c>
      <c r="E20" s="4"/>
      <c r="H20" s="25" t="s">
        <v>48</v>
      </c>
      <c r="I20">
        <v>250</v>
      </c>
      <c r="K20" t="s">
        <v>25</v>
      </c>
      <c r="L20">
        <f>L16/2</f>
        <v>182</v>
      </c>
    </row>
    <row r="21" spans="1:20" x14ac:dyDescent="0.3">
      <c r="A21" s="15" t="s">
        <v>9</v>
      </c>
      <c r="B21" s="16"/>
      <c r="C21" s="15"/>
      <c r="D21" s="15"/>
      <c r="E21" s="17"/>
      <c r="H21" s="25" t="s">
        <v>45</v>
      </c>
      <c r="I21">
        <v>0.5</v>
      </c>
      <c r="K21" t="s">
        <v>26</v>
      </c>
      <c r="L21">
        <f>L16/2</f>
        <v>182</v>
      </c>
    </row>
    <row r="22" spans="1:20" x14ac:dyDescent="0.3">
      <c r="A22" t="s">
        <v>12</v>
      </c>
      <c r="B22" s="6" t="s">
        <v>15</v>
      </c>
      <c r="C22">
        <v>0</v>
      </c>
      <c r="D22" s="7" t="s">
        <v>15</v>
      </c>
      <c r="E22" s="5">
        <v>0</v>
      </c>
      <c r="H22" s="25" t="s">
        <v>46</v>
      </c>
      <c r="I22">
        <v>0.5</v>
      </c>
    </row>
    <row r="23" spans="1:20" x14ac:dyDescent="0.3">
      <c r="B23" s="8" t="s">
        <v>16</v>
      </c>
      <c r="C23">
        <f>IF(Q2&lt;=0,0,((L2*B2*B11)/B5)*(1/(1-((B8/B5)*L2)))/2)</f>
        <v>0</v>
      </c>
      <c r="D23" s="9" t="s">
        <v>16</v>
      </c>
      <c r="E23" s="5">
        <f>IF(Q2&lt;=0,0,((L2*B2*B11)/B5)*(1/(1-((B8/B5)*L2)))/2)</f>
        <v>0</v>
      </c>
      <c r="H23" s="25" t="s">
        <v>55</v>
      </c>
      <c r="I23" s="26">
        <v>0</v>
      </c>
      <c r="K23" s="1" t="s">
        <v>299</v>
      </c>
    </row>
    <row r="24" spans="1:20" x14ac:dyDescent="0.3">
      <c r="A24" t="s">
        <v>13</v>
      </c>
      <c r="B24" s="6" t="s">
        <v>15</v>
      </c>
      <c r="C24">
        <v>0</v>
      </c>
      <c r="D24" s="7" t="s">
        <v>15</v>
      </c>
      <c r="E24" s="5">
        <v>0</v>
      </c>
      <c r="H24" s="25" t="s">
        <v>56</v>
      </c>
      <c r="I24" s="26">
        <v>384</v>
      </c>
      <c r="K24" t="s">
        <v>27</v>
      </c>
      <c r="L24">
        <f>Q2*((B2*B8)/B5)</f>
        <v>0</v>
      </c>
    </row>
    <row r="25" spans="1:20" x14ac:dyDescent="0.3">
      <c r="B25" s="8" t="s">
        <v>16</v>
      </c>
      <c r="C25">
        <v>0</v>
      </c>
      <c r="D25" s="9" t="s">
        <v>16</v>
      </c>
      <c r="E25" s="5">
        <v>0</v>
      </c>
      <c r="H25" s="25" t="s">
        <v>57</v>
      </c>
      <c r="I25">
        <v>0.5</v>
      </c>
      <c r="K25" t="s">
        <v>28</v>
      </c>
      <c r="L25">
        <f>$Q$3*((L15*$B$8)/$B$6)</f>
        <v>0</v>
      </c>
    </row>
    <row r="26" spans="1:20" x14ac:dyDescent="0.3">
      <c r="A26" t="s">
        <v>14</v>
      </c>
      <c r="B26" s="6" t="s">
        <v>15</v>
      </c>
      <c r="C26">
        <f>IF(Q2 &lt;= 0, 0,L18 - (L24/2))</f>
        <v>0</v>
      </c>
      <c r="D26" s="7" t="s">
        <v>15</v>
      </c>
      <c r="E26" s="5">
        <f>IF(Q2 &lt;= 0, 0,L19 - (L24/2))</f>
        <v>0</v>
      </c>
      <c r="H26" s="25" t="s">
        <v>58</v>
      </c>
      <c r="I26">
        <v>0.5</v>
      </c>
      <c r="K26" t="s">
        <v>29</v>
      </c>
      <c r="L26">
        <f>$Q$3*((L16*$B$8)/$B$7)</f>
        <v>0</v>
      </c>
    </row>
    <row r="27" spans="1:20" x14ac:dyDescent="0.3">
      <c r="B27" s="8" t="s">
        <v>16</v>
      </c>
      <c r="C27">
        <f>IF(Q2 &lt;= 0, 0,L20 + (L24/2))</f>
        <v>0</v>
      </c>
      <c r="D27" s="9" t="s">
        <v>16</v>
      </c>
      <c r="E27" s="5">
        <f>IF(Q2 &lt;= 0, 0,L21 + (L24/2))</f>
        <v>0</v>
      </c>
      <c r="H27" s="25" t="s">
        <v>315</v>
      </c>
      <c r="I27">
        <v>-0.2223</v>
      </c>
    </row>
    <row r="28" spans="1:20" x14ac:dyDescent="0.3">
      <c r="A28" s="14"/>
      <c r="B28" s="31"/>
      <c r="C28" s="32"/>
      <c r="D28" s="32"/>
      <c r="E28" s="33"/>
      <c r="H28" s="25" t="s">
        <v>100</v>
      </c>
      <c r="I28">
        <v>0</v>
      </c>
      <c r="K28" s="1" t="s">
        <v>73</v>
      </c>
      <c r="P28" s="1" t="s">
        <v>302</v>
      </c>
    </row>
    <row r="29" spans="1:20" x14ac:dyDescent="0.3">
      <c r="A29" s="19" t="s">
        <v>19</v>
      </c>
      <c r="B29" s="23"/>
      <c r="C29" s="20"/>
      <c r="D29" s="20"/>
      <c r="E29" s="24"/>
      <c r="K29" t="s">
        <v>32</v>
      </c>
      <c r="L29">
        <f>IF(G8="Yes",H8,IF(G5="Yes",T7,IF(G3="Yes",H3,0)))</f>
        <v>60</v>
      </c>
      <c r="M29" t="s">
        <v>31</v>
      </c>
      <c r="N29">
        <f>L29*17.6</f>
        <v>1056</v>
      </c>
      <c r="P29" t="s">
        <v>62</v>
      </c>
      <c r="Q29">
        <f>B12</f>
        <v>9</v>
      </c>
    </row>
    <row r="30" spans="1:20" x14ac:dyDescent="0.3">
      <c r="A30" t="s">
        <v>12</v>
      </c>
      <c r="B30" s="6" t="s">
        <v>15</v>
      </c>
      <c r="C30">
        <f>IF(Q2&gt;=0,0,L2*(L18+(I13*B8)/B5))</f>
        <v>0</v>
      </c>
      <c r="D30" s="7" t="s">
        <v>15</v>
      </c>
      <c r="E30" s="5">
        <f>IF(Q2 &gt;=0,0,L2*(L19 + (I13*B8)/B5))</f>
        <v>0</v>
      </c>
      <c r="K30" t="s">
        <v>30</v>
      </c>
      <c r="L30">
        <f>H7</f>
        <v>348</v>
      </c>
      <c r="M30" t="s">
        <v>76</v>
      </c>
      <c r="N30">
        <f>L30/12</f>
        <v>29</v>
      </c>
      <c r="P30" t="s">
        <v>63</v>
      </c>
      <c r="Q30">
        <f>B13</f>
        <v>9</v>
      </c>
    </row>
    <row r="31" spans="1:20" x14ac:dyDescent="0.3">
      <c r="B31" s="8" t="s">
        <v>16</v>
      </c>
      <c r="C31">
        <f>IF(Q2 &gt;=0,0,L2*(L20 + ((L2*C35)*B8)/B5))</f>
        <v>0</v>
      </c>
      <c r="D31" s="9" t="s">
        <v>16</v>
      </c>
      <c r="E31" s="5">
        <f>IF(Q2 &gt;=0,0,L2*(L21 + ((L2*E35)*B8)/B5))</f>
        <v>0</v>
      </c>
      <c r="S31" t="s">
        <v>43</v>
      </c>
      <c r="T31">
        <f>(Q33-Q32)/B5</f>
        <v>1.5606557377049177E-2</v>
      </c>
    </row>
    <row r="32" spans="1:20" x14ac:dyDescent="0.3">
      <c r="A32" t="s">
        <v>13</v>
      </c>
      <c r="B32" s="6" t="s">
        <v>15</v>
      </c>
      <c r="C32">
        <v>0</v>
      </c>
      <c r="D32" s="7" t="s">
        <v>15</v>
      </c>
      <c r="E32" s="5">
        <v>0</v>
      </c>
      <c r="K32" t="s">
        <v>33</v>
      </c>
      <c r="L32">
        <v>32.200000000000003</v>
      </c>
      <c r="M32" t="s">
        <v>34</v>
      </c>
      <c r="N32">
        <f>L32*12</f>
        <v>386.40000000000003</v>
      </c>
      <c r="P32" t="s">
        <v>38</v>
      </c>
      <c r="Q32">
        <f>B14</f>
        <v>1.9610000000000001</v>
      </c>
      <c r="S32" t="s">
        <v>42</v>
      </c>
      <c r="T32">
        <f>Q32+(T31*B10)</f>
        <v>2.4560399999999998</v>
      </c>
    </row>
    <row r="33" spans="1:20" x14ac:dyDescent="0.3">
      <c r="B33" s="8" t="s">
        <v>16</v>
      </c>
      <c r="C33">
        <v>0</v>
      </c>
      <c r="D33" s="9" t="s">
        <v>16</v>
      </c>
      <c r="E33" s="5">
        <v>0</v>
      </c>
      <c r="P33" t="s">
        <v>39</v>
      </c>
      <c r="Q33">
        <f>B15</f>
        <v>2.9129999999999998</v>
      </c>
    </row>
    <row r="34" spans="1:20" x14ac:dyDescent="0.3">
      <c r="A34" t="s">
        <v>14</v>
      </c>
      <c r="B34" s="6" t="s">
        <v>15</v>
      </c>
      <c r="C34">
        <f>IF(Q2 &gt;= 0, 0,L18 - (L24/2))</f>
        <v>0</v>
      </c>
      <c r="D34" s="7" t="s">
        <v>15</v>
      </c>
      <c r="E34" s="5">
        <f>IF(Q2 &gt;= 0, 0,L19 - (L24/2))</f>
        <v>0</v>
      </c>
      <c r="K34" s="1" t="s">
        <v>301</v>
      </c>
      <c r="S34" t="s">
        <v>44</v>
      </c>
      <c r="T34">
        <f>B8-T32</f>
        <v>7.3839600000000001</v>
      </c>
    </row>
    <row r="35" spans="1:20" x14ac:dyDescent="0.3">
      <c r="B35" s="8" t="s">
        <v>16</v>
      </c>
      <c r="C35">
        <f>IF(Q2 &gt;= 0, 0,L20 + (L24/2))</f>
        <v>0</v>
      </c>
      <c r="D35" s="9" t="s">
        <v>16</v>
      </c>
      <c r="E35" s="5">
        <f>IF(Q2 &gt;= 0, 0,L21 + (L24/2))</f>
        <v>0</v>
      </c>
      <c r="K35" t="s">
        <v>35</v>
      </c>
      <c r="L35">
        <f>IF(Q3 = 0,0,(B2*T34*(N29^2/(L30*Q3*N32)))/(N48+N49-(B2*T34)))</f>
        <v>0</v>
      </c>
      <c r="P35" t="s">
        <v>40</v>
      </c>
      <c r="Q35">
        <f>B8-Q32</f>
        <v>7.8789999999999996</v>
      </c>
    </row>
    <row r="36" spans="1:20" x14ac:dyDescent="0.3">
      <c r="A36" s="19"/>
      <c r="B36" s="37"/>
      <c r="C36" s="38"/>
      <c r="D36" s="38"/>
      <c r="E36" s="39"/>
      <c r="K36" t="s">
        <v>36</v>
      </c>
      <c r="L36">
        <f>IF(Q3=0,0,(L48*L35)+(L15*(Q29-Q32)*(L29^2/(L30*Q3*N32))))</f>
        <v>0</v>
      </c>
      <c r="P36" t="s">
        <v>41</v>
      </c>
      <c r="Q36">
        <f>B8-Q33</f>
        <v>6.9269999999999996</v>
      </c>
    </row>
    <row r="37" spans="1:20" x14ac:dyDescent="0.3">
      <c r="A37" s="21" t="s">
        <v>20</v>
      </c>
      <c r="B37" s="34"/>
      <c r="C37" s="35"/>
      <c r="D37" s="35"/>
      <c r="E37" s="36"/>
      <c r="K37" t="s">
        <v>37</v>
      </c>
      <c r="L37">
        <f>IF(Q3=0,0,(L49*L35)+(L16*(Q30-Q33)*(L29^2/(L30*Q3*N32))))</f>
        <v>0</v>
      </c>
    </row>
    <row r="38" spans="1:20" x14ac:dyDescent="0.3">
      <c r="A38" t="s">
        <v>12</v>
      </c>
      <c r="B38" s="6" t="s">
        <v>15</v>
      </c>
      <c r="C38">
        <v>0</v>
      </c>
      <c r="D38" s="7" t="s">
        <v>15</v>
      </c>
      <c r="E38" s="5">
        <v>0</v>
      </c>
    </row>
    <row r="39" spans="1:20" x14ac:dyDescent="0.3">
      <c r="B39" s="8" t="s">
        <v>16</v>
      </c>
      <c r="C39">
        <v>0</v>
      </c>
      <c r="D39" s="9" t="s">
        <v>16</v>
      </c>
      <c r="E39" s="5">
        <v>0</v>
      </c>
      <c r="K39" s="1" t="s">
        <v>303</v>
      </c>
    </row>
    <row r="40" spans="1:20" x14ac:dyDescent="0.3">
      <c r="A40" t="s">
        <v>13</v>
      </c>
      <c r="B40" s="6" t="s">
        <v>15</v>
      </c>
      <c r="C40">
        <f>IF(Q3=0,0,$L$6*'Slip Angle'!D22)</f>
        <v>0</v>
      </c>
      <c r="D40" s="7" t="s">
        <v>15</v>
      </c>
      <c r="E40" s="5">
        <f>IF(Q3=0,0,$L$6*'Slip Angle'!D21)</f>
        <v>0</v>
      </c>
      <c r="K40" t="s">
        <v>49</v>
      </c>
      <c r="L40">
        <v>671</v>
      </c>
      <c r="P40" t="s">
        <v>47</v>
      </c>
      <c r="Q40">
        <f t="shared" ref="Q40:Q43" si="0">I19</f>
        <v>200</v>
      </c>
    </row>
    <row r="41" spans="1:20" x14ac:dyDescent="0.3">
      <c r="B41" s="8" t="s">
        <v>16</v>
      </c>
      <c r="C41">
        <f>IF(Q3=0,0,$L$7*'Slip Angle'!H22)</f>
        <v>0</v>
      </c>
      <c r="D41" s="9" t="s">
        <v>16</v>
      </c>
      <c r="E41" s="5">
        <f>IF(Q3 = 0,0,$L$7*'Slip Angle'!H21)</f>
        <v>0</v>
      </c>
      <c r="K41" t="s">
        <v>50</v>
      </c>
      <c r="L41">
        <v>533</v>
      </c>
      <c r="P41" t="s">
        <v>48</v>
      </c>
      <c r="Q41">
        <f t="shared" si="0"/>
        <v>250</v>
      </c>
    </row>
    <row r="42" spans="1:20" x14ac:dyDescent="0.3">
      <c r="A42" t="s">
        <v>14</v>
      </c>
      <c r="B42" s="6" t="s">
        <v>15</v>
      </c>
      <c r="C42">
        <f>IF(Q3 = 0,0,(L36/B6) + L18)</f>
        <v>0</v>
      </c>
      <c r="D42" s="7" t="s">
        <v>15</v>
      </c>
      <c r="E42" s="5">
        <f>IF(Q3 = 0,0,-(L36/B6) + L19)</f>
        <v>0</v>
      </c>
      <c r="K42" t="s">
        <v>51</v>
      </c>
      <c r="L42" s="26">
        <f>(Q40*(Q42)^2)+(L46*(Q44)^2)</f>
        <v>50</v>
      </c>
      <c r="P42" t="s">
        <v>45</v>
      </c>
      <c r="Q42">
        <f t="shared" si="0"/>
        <v>0.5</v>
      </c>
    </row>
    <row r="43" spans="1:20" x14ac:dyDescent="0.3">
      <c r="B43" s="10" t="s">
        <v>16</v>
      </c>
      <c r="C43" s="11">
        <f>IF(Q3 = 0, 0,(L37/B7) + L20)</f>
        <v>0</v>
      </c>
      <c r="D43" s="12" t="s">
        <v>16</v>
      </c>
      <c r="E43" s="13">
        <f>IF(Q3 = 0,0,-(L37/B7) + L21)</f>
        <v>0</v>
      </c>
      <c r="K43" t="s">
        <v>52</v>
      </c>
      <c r="L43" s="26">
        <f>(Q41*(Q43)^2)+(L47*(Q45)^2)</f>
        <v>158.5</v>
      </c>
      <c r="P43" t="s">
        <v>46</v>
      </c>
      <c r="Q43">
        <f t="shared" si="0"/>
        <v>0.5</v>
      </c>
    </row>
    <row r="44" spans="1:20" x14ac:dyDescent="0.3">
      <c r="A44" s="21"/>
      <c r="B44" s="29"/>
      <c r="C44" s="21"/>
      <c r="D44" s="21"/>
      <c r="E44" s="40"/>
      <c r="K44" t="s">
        <v>53</v>
      </c>
      <c r="L44">
        <f>(L40*L42)/(L40+L42)</f>
        <v>46.532593619972261</v>
      </c>
      <c r="P44" t="s">
        <v>57</v>
      </c>
      <c r="Q44">
        <f>I25</f>
        <v>0.5</v>
      </c>
    </row>
    <row r="45" spans="1:20" x14ac:dyDescent="0.3">
      <c r="A45" s="22" t="s">
        <v>66</v>
      </c>
      <c r="B45" s="30"/>
      <c r="C45" s="22"/>
      <c r="D45" s="22"/>
      <c r="E45" s="41"/>
      <c r="K45" t="s">
        <v>54</v>
      </c>
      <c r="L45" s="26">
        <f>(L41*L43)/(L41+L43)</f>
        <v>122.16992046276211</v>
      </c>
      <c r="P45" t="s">
        <v>58</v>
      </c>
      <c r="Q45">
        <f>I26</f>
        <v>0.5</v>
      </c>
    </row>
    <row r="46" spans="1:20" x14ac:dyDescent="0.3">
      <c r="A46" t="s">
        <v>12</v>
      </c>
      <c r="B46" s="6" t="s">
        <v>15</v>
      </c>
      <c r="C46">
        <f>C22+C30+C38</f>
        <v>0</v>
      </c>
      <c r="D46" s="7" t="s">
        <v>15</v>
      </c>
      <c r="E46" s="5">
        <f>E22+E30+E38</f>
        <v>0</v>
      </c>
      <c r="K46" t="s">
        <v>55</v>
      </c>
      <c r="L46" s="26">
        <f>I23</f>
        <v>0</v>
      </c>
    </row>
    <row r="47" spans="1:20" x14ac:dyDescent="0.3">
      <c r="B47" s="8" t="s">
        <v>16</v>
      </c>
      <c r="C47">
        <f t="shared" ref="C47:C49" si="1">C23+C31+C39</f>
        <v>0</v>
      </c>
      <c r="D47" s="9" t="s">
        <v>16</v>
      </c>
      <c r="E47" s="5">
        <f t="shared" ref="E47:E49" si="2">E23+E31+E39</f>
        <v>0</v>
      </c>
      <c r="K47" t="s">
        <v>56</v>
      </c>
      <c r="L47" s="26">
        <f>I24</f>
        <v>384</v>
      </c>
    </row>
    <row r="48" spans="1:20" x14ac:dyDescent="0.3">
      <c r="A48" t="s">
        <v>13</v>
      </c>
      <c r="B48" s="6" t="s">
        <v>15</v>
      </c>
      <c r="C48">
        <f t="shared" si="1"/>
        <v>0</v>
      </c>
      <c r="D48" s="7" t="s">
        <v>15</v>
      </c>
      <c r="E48" s="5">
        <f t="shared" si="2"/>
        <v>0</v>
      </c>
      <c r="K48" t="s">
        <v>59</v>
      </c>
      <c r="L48">
        <f>((L44*B6^2)/2)/57.3</f>
        <v>935.52439529158892</v>
      </c>
      <c r="M48" t="s">
        <v>61</v>
      </c>
      <c r="N48">
        <f>L48*12</f>
        <v>11226.292743499067</v>
      </c>
    </row>
    <row r="49" spans="1:17" x14ac:dyDescent="0.3">
      <c r="B49" s="8" t="s">
        <v>16</v>
      </c>
      <c r="C49">
        <f t="shared" si="1"/>
        <v>0</v>
      </c>
      <c r="D49" s="9" t="s">
        <v>16</v>
      </c>
      <c r="E49" s="5">
        <f t="shared" si="2"/>
        <v>0</v>
      </c>
      <c r="K49" t="s">
        <v>60</v>
      </c>
      <c r="L49" s="26">
        <f>((L45*B7^2)/2)/57.3</f>
        <v>2456.1910710838038</v>
      </c>
      <c r="M49" t="s">
        <v>61</v>
      </c>
      <c r="N49">
        <f>L49*12</f>
        <v>29474.292853005645</v>
      </c>
    </row>
    <row r="50" spans="1:17" x14ac:dyDescent="0.3">
      <c r="A50" t="s">
        <v>14</v>
      </c>
      <c r="B50" s="6" t="s">
        <v>15</v>
      </c>
      <c r="C50">
        <f>IF(AND(Q2=0,Q3=0),L18,C26+C34+C42)</f>
        <v>168</v>
      </c>
      <c r="D50" s="7" t="s">
        <v>15</v>
      </c>
      <c r="E50" s="5">
        <f>IF(AND(Q2=0,Q3=0),L19,E26+E34+E42)</f>
        <v>168</v>
      </c>
    </row>
    <row r="51" spans="1:17" x14ac:dyDescent="0.3">
      <c r="B51" s="8" t="s">
        <v>16</v>
      </c>
      <c r="C51">
        <f>IF(AND(Q2 = 0,Q3=0),L20,C27+C35+C43)</f>
        <v>182</v>
      </c>
      <c r="D51" s="9" t="s">
        <v>16</v>
      </c>
      <c r="E51" s="5">
        <f>IF(AND(Q2 = 0,Q3=0), L21,E27+E35+E43)</f>
        <v>182</v>
      </c>
      <c r="K51" s="1"/>
    </row>
    <row r="52" spans="1:17" x14ac:dyDescent="0.3">
      <c r="A52" s="18"/>
      <c r="B52" s="18"/>
      <c r="C52" s="18"/>
      <c r="D52" s="18"/>
      <c r="E52" s="18"/>
      <c r="K52" s="54"/>
    </row>
    <row r="54" spans="1:17" x14ac:dyDescent="0.3">
      <c r="A54" s="1" t="s">
        <v>450</v>
      </c>
      <c r="B54" s="50" t="s">
        <v>67</v>
      </c>
      <c r="C54" s="38"/>
      <c r="D54" s="51" t="s">
        <v>68</v>
      </c>
      <c r="E54" s="38"/>
    </row>
    <row r="55" spans="1:17" x14ac:dyDescent="0.3">
      <c r="B55" s="42" t="s">
        <v>12</v>
      </c>
      <c r="C55">
        <f>C46</f>
        <v>0</v>
      </c>
      <c r="D55" s="44" t="s">
        <v>12</v>
      </c>
      <c r="E55" s="5">
        <f>E46</f>
        <v>0</v>
      </c>
      <c r="P55" s="54"/>
    </row>
    <row r="56" spans="1:17" x14ac:dyDescent="0.3">
      <c r="B56" s="42" t="s">
        <v>13</v>
      </c>
      <c r="C56">
        <f>C48</f>
        <v>0</v>
      </c>
      <c r="D56" s="44" t="s">
        <v>13</v>
      </c>
      <c r="E56" s="5">
        <f>E48</f>
        <v>0</v>
      </c>
      <c r="L56" s="26"/>
      <c r="Q56" s="26"/>
    </row>
    <row r="57" spans="1:17" x14ac:dyDescent="0.3">
      <c r="B57" s="42" t="s">
        <v>14</v>
      </c>
      <c r="C57">
        <f>C50</f>
        <v>168</v>
      </c>
      <c r="D57" s="44" t="s">
        <v>14</v>
      </c>
      <c r="E57" s="5">
        <f>E50</f>
        <v>168</v>
      </c>
    </row>
    <row r="58" spans="1:17" x14ac:dyDescent="0.3">
      <c r="B58" s="46"/>
      <c r="C58" s="47"/>
      <c r="D58" s="48"/>
      <c r="E58" s="49"/>
      <c r="Q58" s="26"/>
    </row>
    <row r="59" spans="1:17" x14ac:dyDescent="0.3">
      <c r="B59" s="52" t="s">
        <v>69</v>
      </c>
      <c r="C59" s="21"/>
      <c r="D59" s="53" t="s">
        <v>70</v>
      </c>
      <c r="E59" s="21"/>
      <c r="Q59" s="26"/>
    </row>
    <row r="60" spans="1:17" x14ac:dyDescent="0.3">
      <c r="B60" s="42" t="s">
        <v>12</v>
      </c>
      <c r="C60">
        <f>C47</f>
        <v>0</v>
      </c>
      <c r="D60" s="44" t="s">
        <v>12</v>
      </c>
      <c r="E60" s="5">
        <f>E47</f>
        <v>0</v>
      </c>
      <c r="Q60" s="26"/>
    </row>
    <row r="61" spans="1:17" x14ac:dyDescent="0.3">
      <c r="B61" s="42" t="s">
        <v>13</v>
      </c>
      <c r="C61">
        <f>C49</f>
        <v>0</v>
      </c>
      <c r="D61" s="44" t="s">
        <v>13</v>
      </c>
      <c r="E61" s="5">
        <f>E49</f>
        <v>0</v>
      </c>
      <c r="Q61" s="26"/>
    </row>
    <row r="62" spans="1:17" x14ac:dyDescent="0.3">
      <c r="B62" s="43" t="s">
        <v>14</v>
      </c>
      <c r="C62" s="11">
        <f>C51</f>
        <v>182</v>
      </c>
      <c r="D62" s="45" t="s">
        <v>14</v>
      </c>
      <c r="E62" s="13">
        <f>E51</f>
        <v>182</v>
      </c>
      <c r="Q62" s="26"/>
    </row>
  </sheetData>
  <conditionalFormatting sqref="I15">
    <cfRule type="expression" dxfId="56" priority="3">
      <formula>$I$15="No"</formula>
    </cfRule>
    <cfRule type="expression" dxfId="55" priority="4">
      <formula>$I$15="Yes"</formula>
    </cfRule>
  </conditionalFormatting>
  <conditionalFormatting sqref="I16">
    <cfRule type="expression" dxfId="54" priority="1">
      <formula>$I$16="No"</formula>
    </cfRule>
    <cfRule type="expression" dxfId="53" priority="2">
      <formula>$I$16="Yes"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68C90-C0A5-45EE-9D69-2578F62FBDB0}">
  <dimension ref="A1:H27"/>
  <sheetViews>
    <sheetView workbookViewId="0">
      <selection activeCell="D33" sqref="D33"/>
    </sheetView>
  </sheetViews>
  <sheetFormatPr defaultRowHeight="14.4" x14ac:dyDescent="0.3"/>
  <cols>
    <col min="1" max="1" width="23.21875" customWidth="1"/>
    <col min="4" max="4" width="10.44140625" customWidth="1"/>
    <col min="8" max="8" width="14.21875" customWidth="1"/>
  </cols>
  <sheetData>
    <row r="1" spans="1:8" x14ac:dyDescent="0.3">
      <c r="A1" s="1" t="s">
        <v>82</v>
      </c>
      <c r="C1" t="s">
        <v>169</v>
      </c>
    </row>
    <row r="2" spans="1:8" x14ac:dyDescent="0.3">
      <c r="A2" t="s">
        <v>3</v>
      </c>
      <c r="B2">
        <f>'Input + Tire Forces'!B5</f>
        <v>61</v>
      </c>
      <c r="C2" t="s">
        <v>76</v>
      </c>
      <c r="D2">
        <f>B2/12</f>
        <v>5.083333333333333</v>
      </c>
    </row>
    <row r="3" spans="1:8" x14ac:dyDescent="0.3">
      <c r="A3" t="s">
        <v>71</v>
      </c>
      <c r="B3">
        <f>'Input + Tire Forces'!B6</f>
        <v>48</v>
      </c>
      <c r="C3" t="s">
        <v>76</v>
      </c>
      <c r="D3">
        <f>B3/12</f>
        <v>4</v>
      </c>
    </row>
    <row r="4" spans="1:8" x14ac:dyDescent="0.3">
      <c r="A4" t="s">
        <v>99</v>
      </c>
      <c r="B4">
        <f>'Input + Tire Forces'!I27</f>
        <v>-0.2223</v>
      </c>
    </row>
    <row r="5" spans="1:8" x14ac:dyDescent="0.3">
      <c r="A5" t="s">
        <v>100</v>
      </c>
      <c r="B5">
        <f>'Input + Tire Forces'!I28</f>
        <v>0</v>
      </c>
    </row>
    <row r="6" spans="1:8" x14ac:dyDescent="0.3">
      <c r="A6" s="1" t="s">
        <v>101</v>
      </c>
      <c r="H6" s="1"/>
    </row>
    <row r="7" spans="1:8" x14ac:dyDescent="0.3">
      <c r="A7">
        <f>'Input + Tire Forces'!L12</f>
        <v>0</v>
      </c>
      <c r="B7" t="s">
        <v>102</v>
      </c>
      <c r="C7">
        <f>A7*(PI()/180)</f>
        <v>0</v>
      </c>
    </row>
    <row r="9" spans="1:8" x14ac:dyDescent="0.3">
      <c r="A9" s="1" t="s">
        <v>103</v>
      </c>
    </row>
    <row r="10" spans="1:8" x14ac:dyDescent="0.3">
      <c r="A10" t="s">
        <v>104</v>
      </c>
      <c r="B10">
        <f>IF(A7=0,0,D2/TAN(C7))</f>
        <v>0</v>
      </c>
      <c r="C10" t="s">
        <v>105</v>
      </c>
      <c r="D10">
        <f>B10*12</f>
        <v>0</v>
      </c>
    </row>
    <row r="12" spans="1:8" x14ac:dyDescent="0.3">
      <c r="A12" t="s">
        <v>106</v>
      </c>
    </row>
    <row r="13" spans="1:8" x14ac:dyDescent="0.3">
      <c r="A13" t="s">
        <v>107</v>
      </c>
      <c r="B13">
        <f>IF(A7=0,0,DEGREES(ATAN((D2/(B10-((B3/2)/12))))))</f>
        <v>0</v>
      </c>
    </row>
    <row r="14" spans="1:8" x14ac:dyDescent="0.3">
      <c r="A14" t="s">
        <v>108</v>
      </c>
      <c r="B14">
        <f>IF(A7=0,0,DEGREES(ATAN((D2/(B10+((B3/2)/12))))))</f>
        <v>0</v>
      </c>
    </row>
    <row r="16" spans="1:8" x14ac:dyDescent="0.3">
      <c r="A16" t="s">
        <v>109</v>
      </c>
    </row>
    <row r="17" spans="1:4" x14ac:dyDescent="0.3">
      <c r="A17" t="s">
        <v>107</v>
      </c>
      <c r="B17">
        <f>B13-A7</f>
        <v>0</v>
      </c>
    </row>
    <row r="18" spans="1:4" x14ac:dyDescent="0.3">
      <c r="A18" t="s">
        <v>108</v>
      </c>
      <c r="B18">
        <f>A7-B14</f>
        <v>0</v>
      </c>
    </row>
    <row r="20" spans="1:4" x14ac:dyDescent="0.3">
      <c r="A20" t="s">
        <v>110</v>
      </c>
      <c r="D20" s="1"/>
    </row>
    <row r="21" spans="1:4" x14ac:dyDescent="0.3">
      <c r="A21" t="s">
        <v>107</v>
      </c>
      <c r="B21">
        <f>A7+(B4*B17)+B5</f>
        <v>0</v>
      </c>
      <c r="D21" s="55"/>
    </row>
    <row r="22" spans="1:4" x14ac:dyDescent="0.3">
      <c r="A22" t="s">
        <v>108</v>
      </c>
      <c r="B22">
        <f>A7-(B4*B18)-B5</f>
        <v>0</v>
      </c>
      <c r="D22" s="55"/>
    </row>
    <row r="25" spans="1:4" x14ac:dyDescent="0.3">
      <c r="A25" t="s">
        <v>111</v>
      </c>
    </row>
    <row r="26" spans="1:4" x14ac:dyDescent="0.3">
      <c r="A26" t="s">
        <v>112</v>
      </c>
    </row>
    <row r="27" spans="1:4" x14ac:dyDescent="0.3">
      <c r="A27" t="s">
        <v>113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DCB3C-BE35-402E-9F0A-FF3884E8D789}">
  <dimension ref="A1:J25"/>
  <sheetViews>
    <sheetView zoomScale="98" zoomScaleNormal="112" workbookViewId="0">
      <selection activeCell="D34" sqref="D34"/>
    </sheetView>
  </sheetViews>
  <sheetFormatPr defaultRowHeight="14.4" x14ac:dyDescent="0.3"/>
  <cols>
    <col min="1" max="1" width="28.6640625" customWidth="1"/>
    <col min="8" max="8" width="10" customWidth="1"/>
    <col min="10" max="10" width="11.33203125" customWidth="1"/>
  </cols>
  <sheetData>
    <row r="1" spans="1:10" x14ac:dyDescent="0.3">
      <c r="A1" s="1" t="s">
        <v>73</v>
      </c>
    </row>
    <row r="2" spans="1:10" x14ac:dyDescent="0.3">
      <c r="A2" t="s">
        <v>32</v>
      </c>
      <c r="B2">
        <f>'Input + Tire Forces'!T7</f>
        <v>0</v>
      </c>
      <c r="C2" t="s">
        <v>74</v>
      </c>
      <c r="D2">
        <f>B2*17.6</f>
        <v>0</v>
      </c>
    </row>
    <row r="3" spans="1:10" x14ac:dyDescent="0.3">
      <c r="A3" t="s">
        <v>75</v>
      </c>
      <c r="B3">
        <f>'Input + Tire Forces'!L30</f>
        <v>348</v>
      </c>
      <c r="C3" t="s">
        <v>76</v>
      </c>
      <c r="D3">
        <f>B3/12</f>
        <v>29</v>
      </c>
      <c r="H3" s="79" t="s">
        <v>97</v>
      </c>
      <c r="I3">
        <v>0</v>
      </c>
      <c r="J3" t="str">
        <f>IF(I3&lt;0,"R",IF(I3&gt;0,"L",IF(I3=0,"No CG Slip")))</f>
        <v>No CG Slip</v>
      </c>
    </row>
    <row r="4" spans="1:10" x14ac:dyDescent="0.3">
      <c r="A4" t="s">
        <v>77</v>
      </c>
      <c r="B4">
        <f>IF('Input + Tire Forces'!Q3&lt;0,D2^2/B3,-(D2^2/B3))</f>
        <v>0</v>
      </c>
      <c r="C4" t="s">
        <v>78</v>
      </c>
      <c r="D4">
        <f>B4/12</f>
        <v>0</v>
      </c>
      <c r="E4" t="s">
        <v>79</v>
      </c>
      <c r="F4">
        <f>'Input + Tire Forces'!Q3</f>
        <v>0</v>
      </c>
      <c r="G4" s="57" t="str">
        <f>'Input + Tire Forces'!R3</f>
        <v>Straight</v>
      </c>
      <c r="H4" s="1" t="s">
        <v>384</v>
      </c>
      <c r="I4">
        <f>IF(B2=0,0,(-F4/ABS(F4))*DEGREES(ATAN('Input + Tire Forces'!B11/'Input + Tire Forces'!H7)))</f>
        <v>0</v>
      </c>
    </row>
    <row r="5" spans="1:10" x14ac:dyDescent="0.3">
      <c r="A5" t="s">
        <v>170</v>
      </c>
      <c r="B5">
        <f>IF(D2=0,0,B4/D2)</f>
        <v>0</v>
      </c>
      <c r="C5" t="s">
        <v>171</v>
      </c>
      <c r="D5">
        <f>B5*(180/PI())</f>
        <v>0</v>
      </c>
    </row>
    <row r="6" spans="1:10" x14ac:dyDescent="0.3">
      <c r="A6" t="s">
        <v>327</v>
      </c>
      <c r="B6">
        <f>D2*(I3*PI()/180)</f>
        <v>0</v>
      </c>
      <c r="C6" t="s">
        <v>80</v>
      </c>
      <c r="D6">
        <f>B6/17.6</f>
        <v>0</v>
      </c>
    </row>
    <row r="8" spans="1:10" x14ac:dyDescent="0.3">
      <c r="A8" t="s">
        <v>81</v>
      </c>
      <c r="B8">
        <f>'Input + Tire Forces'!L32</f>
        <v>32.200000000000003</v>
      </c>
      <c r="C8" t="s">
        <v>96</v>
      </c>
      <c r="D8">
        <f>B8*12</f>
        <v>386.40000000000003</v>
      </c>
    </row>
    <row r="10" spans="1:10" x14ac:dyDescent="0.3">
      <c r="A10" s="1" t="s">
        <v>82</v>
      </c>
      <c r="E10" s="1" t="s">
        <v>101</v>
      </c>
    </row>
    <row r="11" spans="1:10" x14ac:dyDescent="0.3">
      <c r="A11" t="s">
        <v>328</v>
      </c>
      <c r="B11">
        <f>'Input + Tire Forces'!B10</f>
        <v>31.720000000000002</v>
      </c>
      <c r="E11">
        <f>'Input + Tire Forces'!L12</f>
        <v>0</v>
      </c>
      <c r="F11" t="s">
        <v>102</v>
      </c>
      <c r="G11">
        <f>E11*(PI()/180)</f>
        <v>0</v>
      </c>
    </row>
    <row r="12" spans="1:10" x14ac:dyDescent="0.3">
      <c r="A12" t="s">
        <v>329</v>
      </c>
      <c r="B12">
        <f>'Input + Tire Forces'!B11</f>
        <v>29.279999999999998</v>
      </c>
    </row>
    <row r="13" spans="1:10" x14ac:dyDescent="0.3">
      <c r="A13" t="s">
        <v>71</v>
      </c>
      <c r="B13">
        <f>'Input + Tire Forces'!B6</f>
        <v>48</v>
      </c>
      <c r="E13" s="1" t="s">
        <v>83</v>
      </c>
      <c r="J13" s="1"/>
    </row>
    <row r="14" spans="1:10" x14ac:dyDescent="0.3">
      <c r="A14" t="s">
        <v>72</v>
      </c>
      <c r="B14">
        <f>'Input + Tire Forces'!B7</f>
        <v>48</v>
      </c>
      <c r="E14" t="s">
        <v>86</v>
      </c>
      <c r="F14">
        <f>Steering!B21</f>
        <v>0</v>
      </c>
      <c r="G14" t="s">
        <v>102</v>
      </c>
      <c r="H14">
        <f>F14*(PI()/180)</f>
        <v>0</v>
      </c>
    </row>
    <row r="15" spans="1:10" x14ac:dyDescent="0.3">
      <c r="A15" t="s">
        <v>3</v>
      </c>
      <c r="B15">
        <f>'Input + Tire Forces'!B5</f>
        <v>61</v>
      </c>
      <c r="E15" t="s">
        <v>89</v>
      </c>
      <c r="F15">
        <f>Steering!B22</f>
        <v>0</v>
      </c>
      <c r="G15" t="s">
        <v>102</v>
      </c>
      <c r="H15">
        <f>F15*(PI()/180)</f>
        <v>0</v>
      </c>
    </row>
    <row r="16" spans="1:10" x14ac:dyDescent="0.3">
      <c r="A16" t="s">
        <v>5</v>
      </c>
      <c r="B16">
        <f>'Input + Tire Forces'!L15</f>
        <v>336</v>
      </c>
    </row>
    <row r="17" spans="1:10" x14ac:dyDescent="0.3">
      <c r="A17" t="s">
        <v>6</v>
      </c>
      <c r="B17">
        <f>'Input + Tire Forces'!L16</f>
        <v>364</v>
      </c>
      <c r="E17" s="1"/>
    </row>
    <row r="20" spans="1:10" x14ac:dyDescent="0.3">
      <c r="A20" s="1" t="s">
        <v>91</v>
      </c>
      <c r="E20" s="59"/>
      <c r="J20" s="59"/>
    </row>
    <row r="21" spans="1:10" x14ac:dyDescent="0.3">
      <c r="A21" s="95" t="s">
        <v>92</v>
      </c>
      <c r="B21">
        <f>IF(D2=0,0,-(((B6+(B5*B11))/(D2+(B5*(B13/2))))+H14))</f>
        <v>0</v>
      </c>
      <c r="C21" t="s">
        <v>137</v>
      </c>
      <c r="D21">
        <f>B21*(180/PI())</f>
        <v>0</v>
      </c>
      <c r="E21" s="95" t="s">
        <v>70</v>
      </c>
      <c r="F21">
        <f>IF(D2=0,0,-((((B6-(B5*B12))/(D2+(B5*(B14/2)))))))</f>
        <v>0</v>
      </c>
      <c r="G21" t="s">
        <v>137</v>
      </c>
      <c r="H21">
        <f>F21*(180/PI())</f>
        <v>0</v>
      </c>
    </row>
    <row r="22" spans="1:10" x14ac:dyDescent="0.3">
      <c r="A22" s="95" t="s">
        <v>93</v>
      </c>
      <c r="B22">
        <f>IF(D2=0,0,-((((B6+(B5*B11))/(D2-(B5*(B13/2))))+H15)))</f>
        <v>0</v>
      </c>
      <c r="C22" t="s">
        <v>137</v>
      </c>
      <c r="D22">
        <f>B22*(180/PI())</f>
        <v>0</v>
      </c>
      <c r="E22" s="95" t="s">
        <v>94</v>
      </c>
      <c r="F22">
        <f>IF(D2=0,0,-(((B6-(B5*B12))/(D2-(B5*(B14/2))))))</f>
        <v>0</v>
      </c>
      <c r="G22" t="s">
        <v>137</v>
      </c>
      <c r="H22">
        <f>F22*(180/PI())</f>
        <v>0</v>
      </c>
    </row>
    <row r="24" spans="1:10" x14ac:dyDescent="0.3">
      <c r="A24" t="s">
        <v>111</v>
      </c>
      <c r="E24" t="s">
        <v>383</v>
      </c>
    </row>
    <row r="25" spans="1:10" x14ac:dyDescent="0.3">
      <c r="A25" t="s">
        <v>95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5C2E-3C7B-469A-BB05-EBC9C550FD0B}">
  <dimension ref="A1:K44"/>
  <sheetViews>
    <sheetView zoomScale="82" workbookViewId="0">
      <selection activeCell="H3" sqref="H3"/>
    </sheetView>
  </sheetViews>
  <sheetFormatPr defaultRowHeight="14.4" x14ac:dyDescent="0.3"/>
  <cols>
    <col min="1" max="1" width="22.77734375" customWidth="1"/>
    <col min="3" max="3" width="16.44140625" customWidth="1"/>
    <col min="4" max="4" width="9.88671875" customWidth="1"/>
    <col min="5" max="5" width="9.44140625" customWidth="1"/>
    <col min="6" max="6" width="12.6640625" customWidth="1"/>
    <col min="7" max="7" width="12.21875" customWidth="1"/>
    <col min="8" max="8" width="17.21875" customWidth="1"/>
    <col min="9" max="9" width="16.21875" customWidth="1"/>
  </cols>
  <sheetData>
    <row r="1" spans="1:11" x14ac:dyDescent="0.3">
      <c r="A1" t="s">
        <v>101</v>
      </c>
      <c r="B1" t="s">
        <v>102</v>
      </c>
      <c r="C1" t="s">
        <v>104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K1" t="s">
        <v>336</v>
      </c>
    </row>
    <row r="2" spans="1:11" x14ac:dyDescent="0.3">
      <c r="A2">
        <v>-90</v>
      </c>
      <c r="B2">
        <f>A2*(PI()/180)</f>
        <v>-1.5707963267948966</v>
      </c>
      <c r="C2">
        <f>$D$41/TAN(B2)</f>
        <v>-3.1139189895594089E-16</v>
      </c>
      <c r="D2">
        <f>DEGREES(ATAN(($D$41/(C2-(($B$42/2)/12)))))</f>
        <v>-68.523209020459603</v>
      </c>
      <c r="E2">
        <f t="shared" ref="E2:E19" si="0">DEGREES(ATAN(($D$41/(C2+(($B$42/2)/12)))))</f>
        <v>68.523209020459618</v>
      </c>
      <c r="F2">
        <f>D2-A2</f>
        <v>21.476790979540397</v>
      </c>
      <c r="G2">
        <f>A2-E2</f>
        <v>-158.5232090204596</v>
      </c>
      <c r="H2">
        <f>A2+($B$43*F2)+$B$44</f>
        <v>-94.774290634751836</v>
      </c>
      <c r="I2">
        <f>A2-($B$43*G2)-$B$44</f>
        <v>-125.23970936524816</v>
      </c>
    </row>
    <row r="3" spans="1:11" x14ac:dyDescent="0.3">
      <c r="A3">
        <f>A2+5</f>
        <v>-85</v>
      </c>
      <c r="B3">
        <f t="shared" ref="B3:B38" si="1">A3*(PI()/180)</f>
        <v>-1.4835298641951802</v>
      </c>
      <c r="C3">
        <f t="shared" ref="C3:C19" si="2">$D$41/TAN(B3)</f>
        <v>-0.44473403959011348</v>
      </c>
      <c r="D3">
        <f t="shared" ref="D3:D19" si="3">DEGREES(ATAN(($D$41/(C3-(($B$42/2)/12)))))</f>
        <v>-64.315642911326563</v>
      </c>
      <c r="E3">
        <f t="shared" si="0"/>
        <v>72.988301396703619</v>
      </c>
      <c r="F3">
        <f t="shared" ref="F3:F38" si="4">D3-A3</f>
        <v>20.684357088673437</v>
      </c>
      <c r="G3">
        <f t="shared" ref="G3:G38" si="5">A3-E3</f>
        <v>-157.9883013967036</v>
      </c>
      <c r="H3">
        <f t="shared" ref="H3:H38" si="6">A3+($B$43*F3)+$B$44</f>
        <v>-89.598132580812106</v>
      </c>
      <c r="I3">
        <f>A3-($B$43*G3)-$B$44</f>
        <v>-120.12079940048721</v>
      </c>
    </row>
    <row r="4" spans="1:11" x14ac:dyDescent="0.3">
      <c r="A4">
        <f t="shared" ref="A4:A37" si="7">A3+5</f>
        <v>-80</v>
      </c>
      <c r="B4">
        <f t="shared" si="1"/>
        <v>-1.3962634015954636</v>
      </c>
      <c r="C4">
        <f t="shared" si="2"/>
        <v>-0.89632881860136404</v>
      </c>
      <c r="D4">
        <f t="shared" si="3"/>
        <v>-60.326824381530486</v>
      </c>
      <c r="E4">
        <f t="shared" si="0"/>
        <v>77.750308671972519</v>
      </c>
      <c r="F4">
        <f t="shared" si="4"/>
        <v>19.673175618469514</v>
      </c>
      <c r="G4">
        <f t="shared" si="5"/>
        <v>-157.7503086719725</v>
      </c>
      <c r="H4">
        <f t="shared" si="6"/>
        <v>-84.37334693998578</v>
      </c>
      <c r="I4">
        <f t="shared" ref="I4:I38" si="8">A4-($B$43*G4)-$B$44</f>
        <v>-115.06789361777949</v>
      </c>
    </row>
    <row r="5" spans="1:11" x14ac:dyDescent="0.3">
      <c r="A5">
        <f t="shared" si="7"/>
        <v>-75</v>
      </c>
      <c r="B5">
        <f t="shared" si="1"/>
        <v>-1.3089969389957472</v>
      </c>
      <c r="C5">
        <f t="shared" si="2"/>
        <v>-1.3620750615248736</v>
      </c>
      <c r="D5">
        <f t="shared" si="3"/>
        <v>-56.51967605035216</v>
      </c>
      <c r="E5">
        <f t="shared" si="0"/>
        <v>82.847148803376825</v>
      </c>
      <c r="F5">
        <f t="shared" si="4"/>
        <v>18.48032394964784</v>
      </c>
      <c r="G5">
        <f t="shared" si="5"/>
        <v>-157.84714880337683</v>
      </c>
      <c r="H5">
        <f t="shared" si="6"/>
        <v>-79.108176014006716</v>
      </c>
      <c r="I5">
        <f t="shared" si="8"/>
        <v>-110.08942117899068</v>
      </c>
    </row>
    <row r="6" spans="1:11" x14ac:dyDescent="0.3">
      <c r="A6">
        <f t="shared" si="7"/>
        <v>-70</v>
      </c>
      <c r="B6">
        <f t="shared" si="1"/>
        <v>-1.2217304763960306</v>
      </c>
      <c r="C6">
        <f t="shared" si="2"/>
        <v>-1.850182024186529</v>
      </c>
      <c r="D6">
        <f t="shared" si="3"/>
        <v>-52.85924386311904</v>
      </c>
      <c r="E6">
        <f t="shared" si="0"/>
        <v>88.31184519233102</v>
      </c>
      <c r="F6">
        <f t="shared" si="4"/>
        <v>17.14075613688096</v>
      </c>
      <c r="G6">
        <f t="shared" si="5"/>
        <v>-158.31184519233102</v>
      </c>
      <c r="H6">
        <f t="shared" si="6"/>
        <v>-73.810390089228633</v>
      </c>
      <c r="I6">
        <f t="shared" si="8"/>
        <v>-105.19272318625519</v>
      </c>
    </row>
    <row r="7" spans="1:11" x14ac:dyDescent="0.3">
      <c r="A7">
        <f t="shared" si="7"/>
        <v>-65</v>
      </c>
      <c r="B7">
        <f t="shared" si="1"/>
        <v>-1.1344640137963142</v>
      </c>
      <c r="C7">
        <f t="shared" si="2"/>
        <v>-2.3703972622879093</v>
      </c>
      <c r="D7">
        <f t="shared" si="3"/>
        <v>-49.312694762509487</v>
      </c>
      <c r="E7">
        <f t="shared" si="0"/>
        <v>-85.832506105628113</v>
      </c>
      <c r="F7">
        <f t="shared" si="4"/>
        <v>15.687305237490513</v>
      </c>
      <c r="G7">
        <f t="shared" si="5"/>
        <v>20.832506105628113</v>
      </c>
      <c r="H7">
        <f t="shared" si="6"/>
        <v>-68.487287954294146</v>
      </c>
      <c r="I7">
        <f t="shared" si="8"/>
        <v>-60.368933892718871</v>
      </c>
    </row>
    <row r="8" spans="1:11" x14ac:dyDescent="0.3">
      <c r="A8">
        <f t="shared" si="7"/>
        <v>-60</v>
      </c>
      <c r="B8">
        <f t="shared" si="1"/>
        <v>-1.0471975511965976</v>
      </c>
      <c r="C8">
        <f t="shared" si="2"/>
        <v>-2.9348638683805985</v>
      </c>
      <c r="D8">
        <f t="shared" si="3"/>
        <v>-45.849060051482581</v>
      </c>
      <c r="E8">
        <f t="shared" si="0"/>
        <v>-79.579309757222291</v>
      </c>
      <c r="F8">
        <f t="shared" si="4"/>
        <v>14.150939948517419</v>
      </c>
      <c r="G8">
        <f t="shared" si="5"/>
        <v>19.579309757222291</v>
      </c>
      <c r="H8">
        <f t="shared" si="6"/>
        <v>-63.145753950555424</v>
      </c>
      <c r="I8">
        <f t="shared" si="8"/>
        <v>-55.647519440969482</v>
      </c>
    </row>
    <row r="9" spans="1:11" x14ac:dyDescent="0.3">
      <c r="A9">
        <f t="shared" si="7"/>
        <v>-55</v>
      </c>
      <c r="B9">
        <f t="shared" si="1"/>
        <v>-0.95993108859688125</v>
      </c>
      <c r="C9">
        <f t="shared" si="2"/>
        <v>-3.5593883192326916</v>
      </c>
      <c r="D9">
        <f t="shared" si="3"/>
        <v>-42.438834467788986</v>
      </c>
      <c r="E9">
        <f t="shared" si="0"/>
        <v>-72.945823830482183</v>
      </c>
      <c r="F9">
        <f t="shared" si="4"/>
        <v>12.561165532211014</v>
      </c>
      <c r="G9">
        <f t="shared" si="5"/>
        <v>17.945823830482183</v>
      </c>
      <c r="H9">
        <f t="shared" si="6"/>
        <v>-57.792347097810506</v>
      </c>
      <c r="I9">
        <f t="shared" si="8"/>
        <v>-51.010643362483812</v>
      </c>
    </row>
    <row r="10" spans="1:11" x14ac:dyDescent="0.3">
      <c r="A10">
        <f t="shared" si="7"/>
        <v>-50</v>
      </c>
      <c r="B10">
        <f t="shared" si="1"/>
        <v>-0.87266462599716477</v>
      </c>
      <c r="C10">
        <f t="shared" si="2"/>
        <v>-4.2654231251511732</v>
      </c>
      <c r="D10">
        <f t="shared" si="3"/>
        <v>-39.053498240879989</v>
      </c>
      <c r="E10">
        <f t="shared" si="0"/>
        <v>-65.979522113211047</v>
      </c>
      <c r="F10">
        <f t="shared" si="4"/>
        <v>10.946501759120011</v>
      </c>
      <c r="G10">
        <f t="shared" si="5"/>
        <v>15.979522113211047</v>
      </c>
      <c r="H10">
        <f t="shared" si="6"/>
        <v>-52.43340734105238</v>
      </c>
      <c r="I10">
        <f t="shared" si="8"/>
        <v>-46.447752234233185</v>
      </c>
    </row>
    <row r="11" spans="1:11" x14ac:dyDescent="0.3">
      <c r="A11">
        <f t="shared" si="7"/>
        <v>-45</v>
      </c>
      <c r="B11">
        <f t="shared" si="1"/>
        <v>-0.78539816339744828</v>
      </c>
      <c r="C11">
        <f t="shared" si="2"/>
        <v>-5.0833333333333339</v>
      </c>
      <c r="D11">
        <f t="shared" si="3"/>
        <v>-35.665001536861759</v>
      </c>
      <c r="E11">
        <f t="shared" si="0"/>
        <v>-58.760785111791236</v>
      </c>
      <c r="F11">
        <f t="shared" si="4"/>
        <v>9.3349984631382412</v>
      </c>
      <c r="G11">
        <f t="shared" si="5"/>
        <v>13.760785111791236</v>
      </c>
      <c r="H11">
        <f t="shared" si="6"/>
        <v>-47.075170158355633</v>
      </c>
      <c r="I11">
        <f t="shared" si="8"/>
        <v>-41.940977469648807</v>
      </c>
    </row>
    <row r="12" spans="1:11" x14ac:dyDescent="0.3">
      <c r="A12">
        <f t="shared" si="7"/>
        <v>-40</v>
      </c>
      <c r="B12">
        <f t="shared" si="1"/>
        <v>-0.69813170079773179</v>
      </c>
      <c r="C12">
        <f t="shared" si="2"/>
        <v>-6.0580807623539012</v>
      </c>
      <c r="D12">
        <f t="shared" si="3"/>
        <v>-32.2452344850511</v>
      </c>
      <c r="E12">
        <f t="shared" si="0"/>
        <v>-51.399249109553203</v>
      </c>
      <c r="F12">
        <f t="shared" si="4"/>
        <v>7.7547655149489003</v>
      </c>
      <c r="G12">
        <f t="shared" si="5"/>
        <v>11.399249109553203</v>
      </c>
      <c r="H12">
        <f t="shared" si="6"/>
        <v>-41.723884373973142</v>
      </c>
      <c r="I12">
        <f t="shared" si="8"/>
        <v>-37.465946922946323</v>
      </c>
    </row>
    <row r="13" spans="1:11" x14ac:dyDescent="0.3">
      <c r="A13">
        <f t="shared" si="7"/>
        <v>-35</v>
      </c>
      <c r="B13">
        <f t="shared" si="1"/>
        <v>-0.6108652381980153</v>
      </c>
      <c r="C13">
        <f t="shared" si="2"/>
        <v>-7.2597523676057492</v>
      </c>
      <c r="D13">
        <f t="shared" si="3"/>
        <v>-28.765498927634525</v>
      </c>
      <c r="E13">
        <f t="shared" si="0"/>
        <v>-44.0228171455271</v>
      </c>
      <c r="F13">
        <f t="shared" si="4"/>
        <v>6.2345010723654752</v>
      </c>
      <c r="G13">
        <f t="shared" si="5"/>
        <v>9.0228171455270996</v>
      </c>
      <c r="H13">
        <f t="shared" si="6"/>
        <v>-36.385929588386844</v>
      </c>
      <c r="I13">
        <f t="shared" si="8"/>
        <v>-32.994227748549328</v>
      </c>
    </row>
    <row r="14" spans="1:11" x14ac:dyDescent="0.3">
      <c r="A14">
        <f t="shared" si="7"/>
        <v>-30</v>
      </c>
      <c r="B14">
        <f t="shared" si="1"/>
        <v>-0.52359877559829882</v>
      </c>
      <c r="C14">
        <f t="shared" si="2"/>
        <v>-8.804591605141793</v>
      </c>
      <c r="D14">
        <f t="shared" si="3"/>
        <v>-25.195998911161549</v>
      </c>
      <c r="E14">
        <f t="shared" si="0"/>
        <v>-36.76137094001303</v>
      </c>
      <c r="F14">
        <f t="shared" si="4"/>
        <v>4.8040010888384508</v>
      </c>
      <c r="G14">
        <f t="shared" si="5"/>
        <v>6.7613709400130304</v>
      </c>
      <c r="H14">
        <f t="shared" si="6"/>
        <v>-31.067929442048786</v>
      </c>
      <c r="I14">
        <f t="shared" si="8"/>
        <v>-28.496947240035105</v>
      </c>
    </row>
    <row r="15" spans="1:11" x14ac:dyDescent="0.3">
      <c r="A15">
        <f t="shared" si="7"/>
        <v>-25</v>
      </c>
      <c r="B15">
        <f t="shared" si="1"/>
        <v>-0.43633231299858238</v>
      </c>
      <c r="C15">
        <f t="shared" si="2"/>
        <v>-10.901243512590256</v>
      </c>
      <c r="D15">
        <f t="shared" si="3"/>
        <v>-21.505375903181218</v>
      </c>
      <c r="E15">
        <f t="shared" si="0"/>
        <v>-29.729877773866466</v>
      </c>
      <c r="F15">
        <f t="shared" si="4"/>
        <v>3.4946240968187823</v>
      </c>
      <c r="G15">
        <f t="shared" si="5"/>
        <v>4.7298777738664661</v>
      </c>
      <c r="H15">
        <f t="shared" si="6"/>
        <v>-25.776854936722817</v>
      </c>
      <c r="I15">
        <f t="shared" si="8"/>
        <v>-23.948548170869486</v>
      </c>
    </row>
    <row r="16" spans="1:11" x14ac:dyDescent="0.3">
      <c r="A16">
        <f t="shared" si="7"/>
        <v>-20</v>
      </c>
      <c r="B16">
        <f t="shared" si="1"/>
        <v>-0.3490658503988659</v>
      </c>
      <c r="C16">
        <f t="shared" si="2"/>
        <v>-13.966343548894329</v>
      </c>
      <c r="D16">
        <f t="shared" si="3"/>
        <v>-17.660333303960357</v>
      </c>
      <c r="E16">
        <f t="shared" si="0"/>
        <v>-23.015909393725874</v>
      </c>
      <c r="F16">
        <f t="shared" si="4"/>
        <v>2.3396666960396431</v>
      </c>
      <c r="G16">
        <f t="shared" si="5"/>
        <v>3.0159093937258739</v>
      </c>
      <c r="H16">
        <f t="shared" si="6"/>
        <v>-20.520107906529613</v>
      </c>
      <c r="I16">
        <f t="shared" si="8"/>
        <v>-19.329563341774737</v>
      </c>
    </row>
    <row r="17" spans="1:9" x14ac:dyDescent="0.3">
      <c r="A17">
        <f t="shared" si="7"/>
        <v>-15</v>
      </c>
      <c r="B17">
        <f t="shared" si="1"/>
        <v>-0.26179938779914941</v>
      </c>
      <c r="C17">
        <f t="shared" si="2"/>
        <v>-18.971258271808459</v>
      </c>
      <c r="D17">
        <f t="shared" si="3"/>
        <v>-13.625425761261335</v>
      </c>
      <c r="E17">
        <f t="shared" si="0"/>
        <v>-16.674325912334528</v>
      </c>
      <c r="F17">
        <f t="shared" si="4"/>
        <v>1.3745742387386652</v>
      </c>
      <c r="G17">
        <f t="shared" si="5"/>
        <v>1.6743259123345275</v>
      </c>
      <c r="H17">
        <f t="shared" si="6"/>
        <v>-15.305567853271604</v>
      </c>
      <c r="I17">
        <f t="shared" si="8"/>
        <v>-14.627797349688034</v>
      </c>
    </row>
    <row r="18" spans="1:9" x14ac:dyDescent="0.3">
      <c r="A18">
        <f t="shared" si="7"/>
        <v>-10</v>
      </c>
      <c r="B18">
        <f t="shared" si="1"/>
        <v>-0.17453292519943295</v>
      </c>
      <c r="C18">
        <f t="shared" si="2"/>
        <v>-28.82901591639002</v>
      </c>
      <c r="D18">
        <f t="shared" si="3"/>
        <v>-9.3631353217970563</v>
      </c>
      <c r="E18">
        <f t="shared" si="0"/>
        <v>-10.728737343023939</v>
      </c>
      <c r="F18">
        <f t="shared" si="4"/>
        <v>0.63686467820294368</v>
      </c>
      <c r="G18">
        <f t="shared" si="5"/>
        <v>0.72873734302393878</v>
      </c>
      <c r="H18">
        <f t="shared" si="6"/>
        <v>-10.141575017964515</v>
      </c>
      <c r="I18">
        <f t="shared" si="8"/>
        <v>-9.8380016886457788</v>
      </c>
    </row>
    <row r="19" spans="1:9" x14ac:dyDescent="0.3">
      <c r="A19">
        <f t="shared" si="7"/>
        <v>-5</v>
      </c>
      <c r="B19">
        <f t="shared" si="1"/>
        <v>-8.7266462599716474E-2</v>
      </c>
      <c r="C19">
        <f t="shared" si="2"/>
        <v>-58.102765872370156</v>
      </c>
      <c r="D19">
        <f t="shared" si="3"/>
        <v>-4.834420340135833</v>
      </c>
      <c r="E19">
        <f t="shared" si="0"/>
        <v>-5.1772921945012662</v>
      </c>
      <c r="F19">
        <f t="shared" si="4"/>
        <v>0.16557965986416701</v>
      </c>
      <c r="G19">
        <f t="shared" si="5"/>
        <v>0.17729219450126621</v>
      </c>
      <c r="H19">
        <f t="shared" si="6"/>
        <v>-5.0368083583878045</v>
      </c>
      <c r="I19">
        <f t="shared" si="8"/>
        <v>-4.9605879451623682</v>
      </c>
    </row>
    <row r="20" spans="1:9" x14ac:dyDescent="0.3">
      <c r="A20">
        <f t="shared" si="7"/>
        <v>0</v>
      </c>
      <c r="B20">
        <f t="shared" si="1"/>
        <v>0</v>
      </c>
      <c r="C20">
        <v>0</v>
      </c>
      <c r="D20">
        <v>0</v>
      </c>
      <c r="E20">
        <v>0</v>
      </c>
      <c r="F20">
        <f t="shared" si="4"/>
        <v>0</v>
      </c>
      <c r="G20">
        <f t="shared" si="5"/>
        <v>0</v>
      </c>
      <c r="H20">
        <f t="shared" si="6"/>
        <v>0</v>
      </c>
      <c r="I20">
        <f t="shared" si="8"/>
        <v>0</v>
      </c>
    </row>
    <row r="21" spans="1:9" x14ac:dyDescent="0.3">
      <c r="A21">
        <f t="shared" si="7"/>
        <v>5</v>
      </c>
      <c r="B21">
        <f t="shared" si="1"/>
        <v>8.7266462599716474E-2</v>
      </c>
      <c r="C21">
        <f t="shared" ref="C21:C38" si="9">$D$41/TAN(B21)</f>
        <v>58.102765872370156</v>
      </c>
      <c r="D21">
        <f t="shared" ref="D21:D38" si="10">DEGREES(ATAN(($D$41/(C21-(($B$42/2)/12)))))</f>
        <v>5.1772921945012662</v>
      </c>
      <c r="E21">
        <f t="shared" ref="E21:E38" si="11">DEGREES(ATAN(($D$41/(C21+(($B$42/2)/12)))))</f>
        <v>4.834420340135833</v>
      </c>
      <c r="F21">
        <f t="shared" si="4"/>
        <v>0.17729219450126621</v>
      </c>
      <c r="G21">
        <f t="shared" si="5"/>
        <v>0.16557965986416701</v>
      </c>
      <c r="H21">
        <f>A21+($B$43*F21)+$B$44</f>
        <v>4.9605879451623682</v>
      </c>
      <c r="I21">
        <f>A21-($B$43*G21)-$B$44</f>
        <v>5.0368083583878045</v>
      </c>
    </row>
    <row r="22" spans="1:9" x14ac:dyDescent="0.3">
      <c r="A22">
        <f t="shared" si="7"/>
        <v>10</v>
      </c>
      <c r="B22">
        <f t="shared" si="1"/>
        <v>0.17453292519943295</v>
      </c>
      <c r="C22">
        <f t="shared" si="9"/>
        <v>28.82901591639002</v>
      </c>
      <c r="D22">
        <f t="shared" si="10"/>
        <v>10.728737343023939</v>
      </c>
      <c r="E22">
        <f t="shared" si="11"/>
        <v>9.3631353217970563</v>
      </c>
      <c r="F22">
        <f t="shared" si="4"/>
        <v>0.72873734302393878</v>
      </c>
      <c r="G22">
        <f t="shared" si="5"/>
        <v>0.63686467820294368</v>
      </c>
      <c r="H22">
        <f>A22+($B$43*F22)+$B$44</f>
        <v>9.8380016886457788</v>
      </c>
      <c r="I22">
        <f t="shared" si="8"/>
        <v>10.141575017964515</v>
      </c>
    </row>
    <row r="23" spans="1:9" x14ac:dyDescent="0.3">
      <c r="A23">
        <f t="shared" si="7"/>
        <v>15</v>
      </c>
      <c r="B23">
        <f t="shared" si="1"/>
        <v>0.26179938779914941</v>
      </c>
      <c r="C23">
        <f t="shared" si="9"/>
        <v>18.971258271808459</v>
      </c>
      <c r="D23">
        <f t="shared" si="10"/>
        <v>16.674325912334528</v>
      </c>
      <c r="E23">
        <f t="shared" si="11"/>
        <v>13.625425761261335</v>
      </c>
      <c r="F23">
        <f t="shared" si="4"/>
        <v>1.6743259123345275</v>
      </c>
      <c r="G23">
        <f t="shared" si="5"/>
        <v>1.3745742387386652</v>
      </c>
      <c r="H23">
        <f t="shared" si="6"/>
        <v>14.627797349688034</v>
      </c>
      <c r="I23">
        <f t="shared" si="8"/>
        <v>15.305567853271604</v>
      </c>
    </row>
    <row r="24" spans="1:9" x14ac:dyDescent="0.3">
      <c r="A24">
        <f t="shared" si="7"/>
        <v>20</v>
      </c>
      <c r="B24">
        <f t="shared" si="1"/>
        <v>0.3490658503988659</v>
      </c>
      <c r="C24">
        <f t="shared" si="9"/>
        <v>13.966343548894329</v>
      </c>
      <c r="D24">
        <f t="shared" si="10"/>
        <v>23.015909393725874</v>
      </c>
      <c r="E24">
        <f t="shared" si="11"/>
        <v>17.660333303960357</v>
      </c>
      <c r="F24">
        <f t="shared" si="4"/>
        <v>3.0159093937258739</v>
      </c>
      <c r="G24">
        <f t="shared" si="5"/>
        <v>2.3396666960396431</v>
      </c>
      <c r="H24">
        <f t="shared" si="6"/>
        <v>19.329563341774737</v>
      </c>
      <c r="I24">
        <f t="shared" si="8"/>
        <v>20.520107906529613</v>
      </c>
    </row>
    <row r="25" spans="1:9" x14ac:dyDescent="0.3">
      <c r="A25">
        <f t="shared" si="7"/>
        <v>25</v>
      </c>
      <c r="B25">
        <f t="shared" si="1"/>
        <v>0.43633231299858238</v>
      </c>
      <c r="C25">
        <f t="shared" si="9"/>
        <v>10.901243512590256</v>
      </c>
      <c r="D25">
        <f t="shared" si="10"/>
        <v>29.729877773866466</v>
      </c>
      <c r="E25">
        <f t="shared" si="11"/>
        <v>21.505375903181218</v>
      </c>
      <c r="F25">
        <f t="shared" si="4"/>
        <v>4.7298777738664661</v>
      </c>
      <c r="G25">
        <f t="shared" si="5"/>
        <v>3.4946240968187823</v>
      </c>
      <c r="H25">
        <f t="shared" si="6"/>
        <v>23.948548170869486</v>
      </c>
      <c r="I25">
        <f t="shared" si="8"/>
        <v>25.776854936722817</v>
      </c>
    </row>
    <row r="26" spans="1:9" x14ac:dyDescent="0.3">
      <c r="A26">
        <f t="shared" si="7"/>
        <v>30</v>
      </c>
      <c r="B26">
        <f t="shared" si="1"/>
        <v>0.52359877559829882</v>
      </c>
      <c r="C26">
        <f t="shared" si="9"/>
        <v>8.804591605141793</v>
      </c>
      <c r="D26">
        <f t="shared" si="10"/>
        <v>36.76137094001303</v>
      </c>
      <c r="E26">
        <f t="shared" si="11"/>
        <v>25.195998911161549</v>
      </c>
      <c r="F26">
        <f t="shared" si="4"/>
        <v>6.7613709400130304</v>
      </c>
      <c r="G26">
        <f t="shared" si="5"/>
        <v>4.8040010888384508</v>
      </c>
      <c r="H26">
        <f t="shared" si="6"/>
        <v>28.496947240035105</v>
      </c>
      <c r="I26">
        <f t="shared" si="8"/>
        <v>31.067929442048786</v>
      </c>
    </row>
    <row r="27" spans="1:9" x14ac:dyDescent="0.3">
      <c r="A27">
        <f t="shared" si="7"/>
        <v>35</v>
      </c>
      <c r="B27">
        <f t="shared" si="1"/>
        <v>0.6108652381980153</v>
      </c>
      <c r="C27">
        <f t="shared" si="9"/>
        <v>7.2597523676057492</v>
      </c>
      <c r="D27">
        <f t="shared" si="10"/>
        <v>44.0228171455271</v>
      </c>
      <c r="E27">
        <f t="shared" si="11"/>
        <v>28.765498927634525</v>
      </c>
      <c r="F27">
        <f t="shared" si="4"/>
        <v>9.0228171455270996</v>
      </c>
      <c r="G27">
        <f t="shared" si="5"/>
        <v>6.2345010723654752</v>
      </c>
      <c r="H27">
        <f t="shared" si="6"/>
        <v>32.994227748549328</v>
      </c>
      <c r="I27">
        <f t="shared" si="8"/>
        <v>36.385929588386844</v>
      </c>
    </row>
    <row r="28" spans="1:9" x14ac:dyDescent="0.3">
      <c r="A28">
        <f>A27+5</f>
        <v>40</v>
      </c>
      <c r="B28">
        <f t="shared" si="1"/>
        <v>0.69813170079773179</v>
      </c>
      <c r="C28">
        <f t="shared" si="9"/>
        <v>6.0580807623539012</v>
      </c>
      <c r="D28">
        <f t="shared" si="10"/>
        <v>51.399249109553203</v>
      </c>
      <c r="E28">
        <f t="shared" si="11"/>
        <v>32.2452344850511</v>
      </c>
      <c r="F28">
        <f t="shared" si="4"/>
        <v>11.399249109553203</v>
      </c>
      <c r="G28">
        <f t="shared" si="5"/>
        <v>7.7547655149489003</v>
      </c>
      <c r="H28">
        <f t="shared" si="6"/>
        <v>37.465946922946323</v>
      </c>
      <c r="I28">
        <f t="shared" si="8"/>
        <v>41.723884373973142</v>
      </c>
    </row>
    <row r="29" spans="1:9" x14ac:dyDescent="0.3">
      <c r="A29">
        <f t="shared" si="7"/>
        <v>45</v>
      </c>
      <c r="B29">
        <f t="shared" si="1"/>
        <v>0.78539816339744828</v>
      </c>
      <c r="C29">
        <f t="shared" si="9"/>
        <v>5.0833333333333339</v>
      </c>
      <c r="D29">
        <f t="shared" si="10"/>
        <v>58.760785111791236</v>
      </c>
      <c r="E29">
        <f t="shared" si="11"/>
        <v>35.665001536861759</v>
      </c>
      <c r="F29">
        <f t="shared" si="4"/>
        <v>13.760785111791236</v>
      </c>
      <c r="G29">
        <f t="shared" si="5"/>
        <v>9.3349984631382412</v>
      </c>
      <c r="H29">
        <f t="shared" si="6"/>
        <v>41.940977469648807</v>
      </c>
      <c r="I29">
        <f t="shared" si="8"/>
        <v>47.075170158355633</v>
      </c>
    </row>
    <row r="30" spans="1:9" x14ac:dyDescent="0.3">
      <c r="A30">
        <f t="shared" si="7"/>
        <v>50</v>
      </c>
      <c r="B30">
        <f t="shared" si="1"/>
        <v>0.87266462599716477</v>
      </c>
      <c r="C30">
        <f t="shared" si="9"/>
        <v>4.2654231251511732</v>
      </c>
      <c r="D30">
        <f t="shared" si="10"/>
        <v>65.979522113211047</v>
      </c>
      <c r="E30">
        <f t="shared" si="11"/>
        <v>39.053498240879989</v>
      </c>
      <c r="F30">
        <f t="shared" si="4"/>
        <v>15.979522113211047</v>
      </c>
      <c r="G30">
        <f t="shared" si="5"/>
        <v>10.946501759120011</v>
      </c>
      <c r="H30">
        <f t="shared" si="6"/>
        <v>46.447752234233185</v>
      </c>
      <c r="I30">
        <f t="shared" si="8"/>
        <v>52.43340734105238</v>
      </c>
    </row>
    <row r="31" spans="1:9" x14ac:dyDescent="0.3">
      <c r="A31">
        <f t="shared" si="7"/>
        <v>55</v>
      </c>
      <c r="B31">
        <f t="shared" si="1"/>
        <v>0.95993108859688125</v>
      </c>
      <c r="C31">
        <f t="shared" si="9"/>
        <v>3.5593883192326916</v>
      </c>
      <c r="D31">
        <f t="shared" si="10"/>
        <v>72.945823830482183</v>
      </c>
      <c r="E31">
        <f t="shared" si="11"/>
        <v>42.438834467788986</v>
      </c>
      <c r="F31">
        <f t="shared" si="4"/>
        <v>17.945823830482183</v>
      </c>
      <c r="G31">
        <f t="shared" si="5"/>
        <v>12.561165532211014</v>
      </c>
      <c r="H31">
        <f t="shared" si="6"/>
        <v>51.010643362483812</v>
      </c>
      <c r="I31">
        <f t="shared" si="8"/>
        <v>57.792347097810506</v>
      </c>
    </row>
    <row r="32" spans="1:9" x14ac:dyDescent="0.3">
      <c r="A32">
        <f t="shared" si="7"/>
        <v>60</v>
      </c>
      <c r="B32">
        <f t="shared" si="1"/>
        <v>1.0471975511965976</v>
      </c>
      <c r="C32">
        <f t="shared" si="9"/>
        <v>2.9348638683805985</v>
      </c>
      <c r="D32">
        <f t="shared" si="10"/>
        <v>79.579309757222291</v>
      </c>
      <c r="E32">
        <f t="shared" si="11"/>
        <v>45.849060051482581</v>
      </c>
      <c r="F32">
        <f t="shared" si="4"/>
        <v>19.579309757222291</v>
      </c>
      <c r="G32">
        <f t="shared" si="5"/>
        <v>14.150939948517419</v>
      </c>
      <c r="H32">
        <f t="shared" si="6"/>
        <v>55.647519440969482</v>
      </c>
      <c r="I32">
        <f t="shared" si="8"/>
        <v>63.145753950555424</v>
      </c>
    </row>
    <row r="33" spans="1:9" x14ac:dyDescent="0.3">
      <c r="A33">
        <f t="shared" si="7"/>
        <v>65</v>
      </c>
      <c r="B33">
        <f t="shared" si="1"/>
        <v>1.1344640137963142</v>
      </c>
      <c r="C33">
        <f t="shared" si="9"/>
        <v>2.3703972622879093</v>
      </c>
      <c r="D33">
        <f t="shared" si="10"/>
        <v>85.832506105628113</v>
      </c>
      <c r="E33">
        <f t="shared" si="11"/>
        <v>49.312694762509487</v>
      </c>
      <c r="F33">
        <f t="shared" si="4"/>
        <v>20.832506105628113</v>
      </c>
      <c r="G33">
        <f t="shared" si="5"/>
        <v>15.687305237490513</v>
      </c>
      <c r="H33">
        <f t="shared" si="6"/>
        <v>60.368933892718871</v>
      </c>
      <c r="I33">
        <f t="shared" si="8"/>
        <v>68.487287954294146</v>
      </c>
    </row>
    <row r="34" spans="1:9" x14ac:dyDescent="0.3">
      <c r="A34">
        <f>A33+5</f>
        <v>70</v>
      </c>
      <c r="B34">
        <f t="shared" si="1"/>
        <v>1.2217304763960306</v>
      </c>
      <c r="C34">
        <f t="shared" si="9"/>
        <v>1.850182024186529</v>
      </c>
      <c r="D34">
        <f t="shared" si="10"/>
        <v>-88.31184519233102</v>
      </c>
      <c r="E34">
        <f t="shared" si="11"/>
        <v>52.85924386311904</v>
      </c>
      <c r="F34">
        <f t="shared" si="4"/>
        <v>-158.31184519233102</v>
      </c>
      <c r="G34">
        <f t="shared" si="5"/>
        <v>17.14075613688096</v>
      </c>
      <c r="H34">
        <f t="shared" si="6"/>
        <v>105.19272318625519</v>
      </c>
      <c r="I34">
        <f t="shared" si="8"/>
        <v>73.810390089228633</v>
      </c>
    </row>
    <row r="35" spans="1:9" x14ac:dyDescent="0.3">
      <c r="A35">
        <f t="shared" si="7"/>
        <v>75</v>
      </c>
      <c r="B35">
        <f t="shared" si="1"/>
        <v>1.3089969389957472</v>
      </c>
      <c r="C35">
        <f t="shared" si="9"/>
        <v>1.3620750615248736</v>
      </c>
      <c r="D35">
        <f t="shared" si="10"/>
        <v>-82.847148803376825</v>
      </c>
      <c r="E35">
        <f t="shared" si="11"/>
        <v>56.51967605035216</v>
      </c>
      <c r="F35">
        <f t="shared" si="4"/>
        <v>-157.84714880337683</v>
      </c>
      <c r="G35">
        <f t="shared" si="5"/>
        <v>18.48032394964784</v>
      </c>
      <c r="H35">
        <f t="shared" si="6"/>
        <v>110.08942117899068</v>
      </c>
      <c r="I35">
        <f t="shared" si="8"/>
        <v>79.108176014006716</v>
      </c>
    </row>
    <row r="36" spans="1:9" x14ac:dyDescent="0.3">
      <c r="A36">
        <f>A35+5</f>
        <v>80</v>
      </c>
      <c r="B36">
        <f t="shared" si="1"/>
        <v>1.3962634015954636</v>
      </c>
      <c r="C36">
        <f t="shared" si="9"/>
        <v>0.89632881860136404</v>
      </c>
      <c r="D36">
        <f t="shared" si="10"/>
        <v>-77.750308671972519</v>
      </c>
      <c r="E36">
        <f t="shared" si="11"/>
        <v>60.326824381530486</v>
      </c>
      <c r="F36">
        <f t="shared" si="4"/>
        <v>-157.7503086719725</v>
      </c>
      <c r="G36">
        <f t="shared" si="5"/>
        <v>19.673175618469514</v>
      </c>
      <c r="H36">
        <f t="shared" si="6"/>
        <v>115.06789361777949</v>
      </c>
      <c r="I36">
        <f t="shared" si="8"/>
        <v>84.37334693998578</v>
      </c>
    </row>
    <row r="37" spans="1:9" x14ac:dyDescent="0.3">
      <c r="A37">
        <f t="shared" si="7"/>
        <v>85</v>
      </c>
      <c r="B37">
        <f t="shared" si="1"/>
        <v>1.4835298641951802</v>
      </c>
      <c r="C37">
        <f t="shared" si="9"/>
        <v>0.44473403959011348</v>
      </c>
      <c r="D37">
        <f t="shared" si="10"/>
        <v>-72.988301396703619</v>
      </c>
      <c r="E37">
        <f t="shared" si="11"/>
        <v>64.315642911326563</v>
      </c>
      <c r="F37">
        <f t="shared" si="4"/>
        <v>-157.9883013967036</v>
      </c>
      <c r="G37">
        <f t="shared" si="5"/>
        <v>20.684357088673437</v>
      </c>
      <c r="H37">
        <f t="shared" si="6"/>
        <v>120.12079940048721</v>
      </c>
      <c r="I37">
        <f t="shared" si="8"/>
        <v>89.598132580812106</v>
      </c>
    </row>
    <row r="38" spans="1:9" x14ac:dyDescent="0.3">
      <c r="A38">
        <f>A37+5</f>
        <v>90</v>
      </c>
      <c r="B38">
        <f t="shared" si="1"/>
        <v>1.5707963267948966</v>
      </c>
      <c r="C38">
        <f t="shared" si="9"/>
        <v>3.1139189895594089E-16</v>
      </c>
      <c r="D38">
        <f t="shared" si="10"/>
        <v>-68.523209020459618</v>
      </c>
      <c r="E38">
        <f t="shared" si="11"/>
        <v>68.523209020459603</v>
      </c>
      <c r="F38">
        <f t="shared" si="4"/>
        <v>-158.5232090204596</v>
      </c>
      <c r="G38">
        <f t="shared" si="5"/>
        <v>21.476790979540397</v>
      </c>
      <c r="H38">
        <f t="shared" si="6"/>
        <v>125.23970936524816</v>
      </c>
      <c r="I38">
        <f t="shared" si="8"/>
        <v>94.774290634751836</v>
      </c>
    </row>
    <row r="40" spans="1:9" x14ac:dyDescent="0.3">
      <c r="A40" s="1" t="s">
        <v>82</v>
      </c>
      <c r="B40" s="1"/>
    </row>
    <row r="41" spans="1:9" x14ac:dyDescent="0.3">
      <c r="A41" t="s">
        <v>3</v>
      </c>
      <c r="B41">
        <f>'Input + Tire Forces'!B5</f>
        <v>61</v>
      </c>
      <c r="C41" t="s">
        <v>76</v>
      </c>
      <c r="D41">
        <f>B41/12</f>
        <v>5.083333333333333</v>
      </c>
    </row>
    <row r="42" spans="1:9" x14ac:dyDescent="0.3">
      <c r="A42" t="s">
        <v>71</v>
      </c>
      <c r="B42">
        <f>'Input + Tire Forces'!B6</f>
        <v>48</v>
      </c>
      <c r="C42" t="s">
        <v>76</v>
      </c>
      <c r="D42">
        <f>B42/12</f>
        <v>4</v>
      </c>
    </row>
    <row r="43" spans="1:9" x14ac:dyDescent="0.3">
      <c r="A43" t="s">
        <v>99</v>
      </c>
      <c r="B43">
        <f>'Input + Tire Forces'!I27</f>
        <v>-0.2223</v>
      </c>
    </row>
    <row r="44" spans="1:9" x14ac:dyDescent="0.3">
      <c r="A44" t="s">
        <v>100</v>
      </c>
      <c r="B44">
        <f>'Input + Tire Forces'!I28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49AD-697C-43FE-A427-35DDE1EAD0C5}">
  <dimension ref="A1:BH42"/>
  <sheetViews>
    <sheetView zoomScale="73" zoomScaleNormal="70" workbookViewId="0">
      <selection activeCell="AR3" sqref="AR3"/>
    </sheetView>
  </sheetViews>
  <sheetFormatPr defaultRowHeight="14.4" x14ac:dyDescent="0.3"/>
  <cols>
    <col min="1" max="1" width="50.77734375" customWidth="1"/>
  </cols>
  <sheetData>
    <row r="1" spans="1:60" ht="15" customHeight="1" x14ac:dyDescent="0.3">
      <c r="A1" s="61" t="s">
        <v>193</v>
      </c>
      <c r="B1" s="62" t="s">
        <v>194</v>
      </c>
      <c r="C1" s="62" t="s">
        <v>195</v>
      </c>
      <c r="D1" s="62" t="s">
        <v>196</v>
      </c>
      <c r="E1" s="63" t="s">
        <v>197</v>
      </c>
      <c r="F1" s="63" t="s">
        <v>198</v>
      </c>
      <c r="G1" s="62" t="s">
        <v>199</v>
      </c>
    </row>
    <row r="2" spans="1:60" x14ac:dyDescent="0.3">
      <c r="A2" t="s">
        <v>200</v>
      </c>
      <c r="B2" s="64">
        <v>-878.68</v>
      </c>
      <c r="C2" s="64">
        <v>248.1</v>
      </c>
      <c r="D2" s="64">
        <v>131.81</v>
      </c>
      <c r="E2" s="44">
        <f>CONVERT(B2,"mm","in")</f>
        <v>-34.593700787401566</v>
      </c>
      <c r="F2" s="44">
        <f t="shared" ref="F2:G17" si="0">CONVERT(C2,"mm","in")</f>
        <v>9.7677165354330704</v>
      </c>
      <c r="G2" s="64">
        <f t="shared" si="0"/>
        <v>5.1893700787401578</v>
      </c>
      <c r="I2" s="7" t="s">
        <v>68</v>
      </c>
      <c r="J2" t="s">
        <v>201</v>
      </c>
      <c r="K2" t="s">
        <v>202</v>
      </c>
      <c r="L2" t="s">
        <v>203</v>
      </c>
      <c r="M2" t="s">
        <v>204</v>
      </c>
      <c r="N2" t="s">
        <v>205</v>
      </c>
      <c r="O2" t="s">
        <v>206</v>
      </c>
      <c r="Q2" s="79" t="s">
        <v>12</v>
      </c>
      <c r="R2" s="79" t="s">
        <v>13</v>
      </c>
      <c r="S2" s="79" t="s">
        <v>14</v>
      </c>
      <c r="U2" s="7" t="s">
        <v>68</v>
      </c>
      <c r="AH2" s="19"/>
      <c r="AI2" s="28" t="s">
        <v>70</v>
      </c>
      <c r="AJ2" t="s">
        <v>201</v>
      </c>
      <c r="AK2" t="s">
        <v>202</v>
      </c>
      <c r="AL2" t="s">
        <v>203</v>
      </c>
      <c r="AM2" t="s">
        <v>204</v>
      </c>
      <c r="AN2" t="s">
        <v>205</v>
      </c>
      <c r="AO2" t="s">
        <v>206</v>
      </c>
      <c r="AQ2" s="79" t="s">
        <v>12</v>
      </c>
      <c r="AR2" s="79" t="s">
        <v>13</v>
      </c>
      <c r="AS2" s="79" t="s">
        <v>14</v>
      </c>
      <c r="AU2" s="28" t="s">
        <v>70</v>
      </c>
      <c r="BH2" s="21"/>
    </row>
    <row r="3" spans="1:60" x14ac:dyDescent="0.3">
      <c r="A3" t="s">
        <v>209</v>
      </c>
      <c r="B3" s="64">
        <v>-655.72</v>
      </c>
      <c r="C3" s="64">
        <v>248.1</v>
      </c>
      <c r="D3" s="64">
        <v>147.04</v>
      </c>
      <c r="E3" s="44">
        <f t="shared" ref="E3" si="1">CONVERT(B3,"mm","in")</f>
        <v>-25.815748031496064</v>
      </c>
      <c r="F3" s="44">
        <f t="shared" si="0"/>
        <v>9.7677165354330704</v>
      </c>
      <c r="G3" s="64">
        <f t="shared" si="0"/>
        <v>5.7889763779527561</v>
      </c>
      <c r="I3" t="s">
        <v>210</v>
      </c>
      <c r="J3">
        <f>E10-E11</f>
        <v>0.45551181102362648</v>
      </c>
      <c r="K3">
        <f t="shared" ref="K3:L3" si="2">F10-F11</f>
        <v>12.348425196850396</v>
      </c>
      <c r="L3">
        <f t="shared" si="2"/>
        <v>0.38149606299212824</v>
      </c>
      <c r="M3">
        <f>J3/$J$20</f>
        <v>3.6845623374721012E-2</v>
      </c>
      <c r="N3">
        <f>K3/$J$20</f>
        <v>0.99884440548670139</v>
      </c>
      <c r="O3">
        <f>L3/$J$20</f>
        <v>3.0858607649182822E-2</v>
      </c>
      <c r="Q3">
        <v>0</v>
      </c>
      <c r="R3">
        <v>0</v>
      </c>
      <c r="S3">
        <v>840</v>
      </c>
      <c r="U3" t="s">
        <v>207</v>
      </c>
      <c r="AB3" t="s">
        <v>208</v>
      </c>
      <c r="AH3" s="19"/>
      <c r="AI3" t="s">
        <v>210</v>
      </c>
      <c r="AJ3">
        <f>E28-E29</f>
        <v>-0.27362204724410333</v>
      </c>
      <c r="AK3">
        <f t="shared" ref="AK3:AL3" si="3">F28-F29</f>
        <v>10.596456692913385</v>
      </c>
      <c r="AL3">
        <f t="shared" si="3"/>
        <v>2.4039370078740152</v>
      </c>
      <c r="AM3">
        <f>AJ3/$AJ$20</f>
        <v>-2.5174162843773263E-2</v>
      </c>
      <c r="AN3">
        <f>AK3/$AJ$20</f>
        <v>0.97491020566925957</v>
      </c>
      <c r="AO3">
        <f>AL3/$AJ$20</f>
        <v>0.2211704148547835</v>
      </c>
      <c r="AQ3">
        <v>0</v>
      </c>
      <c r="AR3">
        <v>0</v>
      </c>
      <c r="AS3">
        <v>910</v>
      </c>
      <c r="AU3" t="s">
        <v>207</v>
      </c>
      <c r="BB3" t="s">
        <v>208</v>
      </c>
      <c r="BH3" s="21"/>
    </row>
    <row r="4" spans="1:60" x14ac:dyDescent="0.3">
      <c r="A4" t="s">
        <v>211</v>
      </c>
      <c r="B4" s="64">
        <v>-760.59</v>
      </c>
      <c r="C4" s="64">
        <v>570.42999999999995</v>
      </c>
      <c r="D4" s="64">
        <v>142.86000000000001</v>
      </c>
      <c r="E4" s="44">
        <f>CONVERT(B4,"mm","in")</f>
        <v>-29.944488188976379</v>
      </c>
      <c r="F4" s="44">
        <f t="shared" si="0"/>
        <v>22.457874015748029</v>
      </c>
      <c r="G4" s="64">
        <f t="shared" si="0"/>
        <v>5.6244094488188985</v>
      </c>
      <c r="I4" t="s">
        <v>212</v>
      </c>
      <c r="J4">
        <f>E4-E2</f>
        <v>4.6492125984251871</v>
      </c>
      <c r="K4">
        <f t="shared" ref="K4:L4" si="4">F4-F2</f>
        <v>12.690157480314959</v>
      </c>
      <c r="L4">
        <f t="shared" si="4"/>
        <v>0.43503937007874072</v>
      </c>
      <c r="M4">
        <f>J4/$J$21</f>
        <v>0.3438257627451029</v>
      </c>
      <c r="N4">
        <f>K4/$J$21</f>
        <v>0.93848215857082928</v>
      </c>
      <c r="O4">
        <f>L4/$J$21</f>
        <v>3.217270453326615E-2</v>
      </c>
      <c r="U4" s="47">
        <f>M3</f>
        <v>3.6845623374721012E-2</v>
      </c>
      <c r="V4" s="47">
        <f>M4</f>
        <v>0.3438257627451029</v>
      </c>
      <c r="W4" s="47">
        <f>M5</f>
        <v>-0.30936339124061235</v>
      </c>
      <c r="X4" s="47">
        <f>M6</f>
        <v>0.3841626455800522</v>
      </c>
      <c r="Y4" s="47">
        <f>M7</f>
        <v>-0.31323330545296268</v>
      </c>
      <c r="Z4" s="47">
        <f>M8</f>
        <v>-4.0885947282068742E-2</v>
      </c>
      <c r="AB4" cm="1">
        <f t="array" ref="AB4:AG9">MINVERSE(U4:Z9)</f>
        <v>0.77173153565501462</v>
      </c>
      <c r="AC4">
        <v>-0.22147632998115893</v>
      </c>
      <c r="AD4">
        <v>-0.10338964825244366</v>
      </c>
      <c r="AE4">
        <v>-2.9911987068552994E-2</v>
      </c>
      <c r="AF4">
        <v>-2.291227844278773E-3</v>
      </c>
      <c r="AG4">
        <v>-0.49272639579803157</v>
      </c>
      <c r="AH4" s="19"/>
      <c r="AI4" t="s">
        <v>212</v>
      </c>
      <c r="AJ4">
        <f>E22-E20</f>
        <v>10.421259842519689</v>
      </c>
      <c r="AK4">
        <f t="shared" ref="AK4:AL4" si="5">F22-F20</f>
        <v>11.600000000000001</v>
      </c>
      <c r="AL4">
        <f t="shared" si="5"/>
        <v>-0.72322834645669243</v>
      </c>
      <c r="AM4">
        <f>AJ4/$AJ$21</f>
        <v>0.66758287599967847</v>
      </c>
      <c r="AN4">
        <f>AK4/$AJ$21</f>
        <v>0.74309262782223362</v>
      </c>
      <c r="AO4">
        <f>AL4/$AJ$21</f>
        <v>-4.6329797627933815E-2</v>
      </c>
      <c r="AU4" s="47">
        <f>AM3</f>
        <v>-2.5174162843773263E-2</v>
      </c>
      <c r="AV4" s="47">
        <f>AM4</f>
        <v>0.66758287599967847</v>
      </c>
      <c r="AW4" s="47">
        <f>AM5</f>
        <v>1.3234902407550922E-3</v>
      </c>
      <c r="AX4" s="47">
        <f>AM6</f>
        <v>0.66058211814966095</v>
      </c>
      <c r="AY4" s="47">
        <f>AM7</f>
        <v>-5.0979494854925721E-2</v>
      </c>
      <c r="AZ4" s="47">
        <f>AM8</f>
        <v>-6.5154689713294758E-2</v>
      </c>
      <c r="BB4" cm="1">
        <f t="array" ref="BB4:BG9">MINVERSE(AU4:AZ9)</f>
        <v>-1.5620598194312174</v>
      </c>
      <c r="BC4">
        <v>9.7734245380030102E-2</v>
      </c>
      <c r="BD4">
        <v>-0.95131403515902235</v>
      </c>
      <c r="BE4">
        <v>-3.6278272181595468E-2</v>
      </c>
      <c r="BF4">
        <v>4.8313939607579133E-2</v>
      </c>
      <c r="BG4">
        <v>0.89888286938530459</v>
      </c>
      <c r="BH4" s="21"/>
    </row>
    <row r="5" spans="1:60" x14ac:dyDescent="0.3">
      <c r="A5" t="s">
        <v>213</v>
      </c>
      <c r="B5" s="64">
        <v>-879</v>
      </c>
      <c r="C5" s="64">
        <v>264.04000000000002</v>
      </c>
      <c r="D5" s="64">
        <v>269.94</v>
      </c>
      <c r="E5" s="44">
        <f t="shared" ref="E5:G18" si="6">CONVERT(B5,"mm","in")</f>
        <v>-34.606299212598422</v>
      </c>
      <c r="F5" s="44">
        <f t="shared" si="0"/>
        <v>10.395275590551181</v>
      </c>
      <c r="G5" s="64">
        <f t="shared" si="0"/>
        <v>10.627559055118111</v>
      </c>
      <c r="I5" t="s">
        <v>214</v>
      </c>
      <c r="J5">
        <f>E4-E3</f>
        <v>-4.1287401574803155</v>
      </c>
      <c r="K5">
        <f t="shared" ref="K5:L5" si="7">F4-F3</f>
        <v>12.690157480314959</v>
      </c>
      <c r="L5">
        <f t="shared" si="7"/>
        <v>-0.16456692913385762</v>
      </c>
      <c r="M5">
        <f>J5/$J$22</f>
        <v>-0.30936339124061235</v>
      </c>
      <c r="N5">
        <f>K5/$J$22</f>
        <v>0.95086394487066417</v>
      </c>
      <c r="O5">
        <f>L5/$J$22</f>
        <v>-1.233087608835467E-2</v>
      </c>
      <c r="U5" s="47">
        <f>N3</f>
        <v>0.99884440548670139</v>
      </c>
      <c r="V5" s="47">
        <f>N4</f>
        <v>0.93848215857082928</v>
      </c>
      <c r="W5" s="47">
        <f>N5</f>
        <v>0.95086394487066417</v>
      </c>
      <c r="X5" s="47">
        <f>N6</f>
        <v>0.91249452962574784</v>
      </c>
      <c r="Y5" s="47">
        <f>N7</f>
        <v>0.94470818673821888</v>
      </c>
      <c r="Z5" s="47">
        <f>N8</f>
        <v>0.80017041823120172</v>
      </c>
      <c r="AB5">
        <v>0.39647816587217033</v>
      </c>
      <c r="AC5">
        <v>0.33998308574682773</v>
      </c>
      <c r="AD5">
        <v>0.28794186750287987</v>
      </c>
      <c r="AE5">
        <v>8.7894073511049872E-2</v>
      </c>
      <c r="AF5">
        <v>0.22657350495302345</v>
      </c>
      <c r="AG5">
        <v>0.22374455185158654</v>
      </c>
      <c r="AH5" s="19"/>
      <c r="AI5" t="s">
        <v>214</v>
      </c>
      <c r="AJ5">
        <f>E22-E21</f>
        <v>1.5354330708660768E-2</v>
      </c>
      <c r="AK5">
        <f t="shared" ref="AK5:AL5" si="8">F22-F21</f>
        <v>11.600000000000001</v>
      </c>
      <c r="AL5">
        <f t="shared" si="8"/>
        <v>0.17913385826771666</v>
      </c>
      <c r="AM5">
        <f>AJ5/$AJ$22</f>
        <v>1.3234902407550922E-3</v>
      </c>
      <c r="AN5">
        <f>AK5/$AJ$22</f>
        <v>0.99987990906691504</v>
      </c>
      <c r="AO5">
        <f>AL5/$AJ$22</f>
        <v>1.5440719475476738E-2</v>
      </c>
      <c r="AU5" s="47">
        <f>AN3</f>
        <v>0.97491020566925957</v>
      </c>
      <c r="AV5" s="47">
        <f>AN4</f>
        <v>0.74309262782223362</v>
      </c>
      <c r="AW5" s="47">
        <f>AN5</f>
        <v>0.99987990906691504</v>
      </c>
      <c r="AX5" s="47">
        <f>AN6</f>
        <v>0.74246369295370274</v>
      </c>
      <c r="AY5" s="47">
        <f>AN7</f>
        <v>0.97296543446738559</v>
      </c>
      <c r="AZ5" s="47">
        <f>AN8</f>
        <v>0.66195858752700198</v>
      </c>
      <c r="BB5">
        <v>0.82359829492318315</v>
      </c>
      <c r="BC5">
        <v>-1.1486647027364462E-2</v>
      </c>
      <c r="BD5">
        <v>0.10114931911410248</v>
      </c>
      <c r="BE5">
        <v>2.7368663161365589E-3</v>
      </c>
      <c r="BF5">
        <v>0.19509387070744716</v>
      </c>
      <c r="BG5">
        <v>-4.3874993582276998E-2</v>
      </c>
      <c r="BH5" s="21"/>
    </row>
    <row r="6" spans="1:60" x14ac:dyDescent="0.3">
      <c r="A6" t="s">
        <v>215</v>
      </c>
      <c r="B6" s="64">
        <v>-649.03</v>
      </c>
      <c r="C6" s="64">
        <v>264.04000000000002</v>
      </c>
      <c r="D6" s="64">
        <v>285.64999999999998</v>
      </c>
      <c r="E6" s="44">
        <f t="shared" si="6"/>
        <v>-25.55236220472441</v>
      </c>
      <c r="F6" s="44">
        <f t="shared" si="0"/>
        <v>10.395275590551181</v>
      </c>
      <c r="G6" s="64">
        <f t="shared" si="0"/>
        <v>11.246062992125985</v>
      </c>
      <c r="I6" t="s">
        <v>216</v>
      </c>
      <c r="J6">
        <f>E7-E5</f>
        <v>5.0649606299212557</v>
      </c>
      <c r="K6">
        <f t="shared" ref="K6:L6" si="9">F7-F5</f>
        <v>12.030708661417323</v>
      </c>
      <c r="L6">
        <f t="shared" si="9"/>
        <v>1.8539370078740145</v>
      </c>
      <c r="M6">
        <f>J6/$J$23</f>
        <v>0.3841626455800522</v>
      </c>
      <c r="N6">
        <f>K6/$J$23</f>
        <v>0.91249452962574784</v>
      </c>
      <c r="O6">
        <f>L6/$J$23</f>
        <v>0.14061577132036271</v>
      </c>
      <c r="U6" s="47">
        <f>O3</f>
        <v>3.0858607649182822E-2</v>
      </c>
      <c r="V6" s="47">
        <f>O4</f>
        <v>3.217270453326615E-2</v>
      </c>
      <c r="W6" s="47">
        <f>O5</f>
        <v>-1.233087608835467E-2</v>
      </c>
      <c r="X6" s="47">
        <f>O6</f>
        <v>0.14061577132036271</v>
      </c>
      <c r="Y6" s="47">
        <f>O7</f>
        <v>9.7012052162593315E-2</v>
      </c>
      <c r="Z6" s="47">
        <f>O8</f>
        <v>0.59837750718300875</v>
      </c>
      <c r="AB6">
        <v>-1.0839701470959613</v>
      </c>
      <c r="AC6">
        <v>0.36204394952078944</v>
      </c>
      <c r="AD6">
        <v>0.18861828420998006</v>
      </c>
      <c r="AE6">
        <v>9.5400982332545056E-2</v>
      </c>
      <c r="AF6">
        <v>-0.2216443778270164</v>
      </c>
      <c r="AG6">
        <v>0.21535842998740576</v>
      </c>
      <c r="AH6" s="19"/>
      <c r="AI6" t="s">
        <v>216</v>
      </c>
      <c r="AJ6">
        <f>E25-E23</f>
        <v>9.3125984251968497</v>
      </c>
      <c r="AK6">
        <f t="shared" ref="AK6:AL6" si="10">F25-F23</f>
        <v>10.466929133858265</v>
      </c>
      <c r="AL6">
        <f t="shared" si="10"/>
        <v>1.5685039370078737</v>
      </c>
      <c r="AM6">
        <f>AJ6/$AJ$23</f>
        <v>0.66058211814966095</v>
      </c>
      <c r="AN6">
        <f>AK6/$AJ$23</f>
        <v>0.74246369295370274</v>
      </c>
      <c r="AO6">
        <f>AL6/$AJ$23</f>
        <v>0.11126063916074444</v>
      </c>
      <c r="AU6" s="47">
        <f>AO3</f>
        <v>0.2211704148547835</v>
      </c>
      <c r="AV6" s="47">
        <f>AO4</f>
        <v>-4.6329797627933815E-2</v>
      </c>
      <c r="AW6" s="47">
        <f>AO5</f>
        <v>1.5440719475476738E-2</v>
      </c>
      <c r="AX6" s="47">
        <f>AO6</f>
        <v>0.11126063916074444</v>
      </c>
      <c r="AY6" s="47">
        <f>AO7</f>
        <v>0.22525397762531987</v>
      </c>
      <c r="AZ6" s="47">
        <f>AO8</f>
        <v>-0.74670321735453959</v>
      </c>
      <c r="BB6">
        <v>-0.49978062829122133</v>
      </c>
      <c r="BC6">
        <v>0.37621747065244704</v>
      </c>
      <c r="BD6">
        <v>1.2604015346827608</v>
      </c>
      <c r="BE6">
        <v>0.1583253879634533</v>
      </c>
      <c r="BF6">
        <v>-0.14487079419837431</v>
      </c>
      <c r="BG6">
        <v>2.0815852775898949E-2</v>
      </c>
      <c r="BH6" s="21"/>
    </row>
    <row r="7" spans="1:60" x14ac:dyDescent="0.3">
      <c r="A7" t="s">
        <v>217</v>
      </c>
      <c r="B7" s="64">
        <v>-750.35</v>
      </c>
      <c r="C7" s="64">
        <v>569.62</v>
      </c>
      <c r="D7" s="64">
        <v>317.02999999999997</v>
      </c>
      <c r="E7" s="44">
        <f t="shared" si="6"/>
        <v>-29.541338582677167</v>
      </c>
      <c r="F7" s="44">
        <f t="shared" si="0"/>
        <v>22.425984251968504</v>
      </c>
      <c r="G7" s="64">
        <f t="shared" si="0"/>
        <v>12.481496062992125</v>
      </c>
      <c r="I7" t="s">
        <v>218</v>
      </c>
      <c r="J7">
        <f>E7-E6</f>
        <v>-3.9889763779527563</v>
      </c>
      <c r="K7">
        <f t="shared" ref="K7:L7" si="11">F7-F6</f>
        <v>12.030708661417323</v>
      </c>
      <c r="L7">
        <f t="shared" si="11"/>
        <v>1.2354330708661401</v>
      </c>
      <c r="M7">
        <f>J7/$J$24</f>
        <v>-0.31323330545296268</v>
      </c>
      <c r="N7">
        <f>K7/$J$24</f>
        <v>0.94470818673821888</v>
      </c>
      <c r="O7">
        <f>L7/$J$24</f>
        <v>9.7012052162593315E-2</v>
      </c>
      <c r="U7" s="47">
        <f>J37</f>
        <v>2.3953357960686494</v>
      </c>
      <c r="V7" s="47">
        <f>J38</f>
        <v>3.2590894670649493</v>
      </c>
      <c r="W7" s="47">
        <f>J39</f>
        <v>3.3713727039192447</v>
      </c>
      <c r="X7" s="47">
        <f>J40</f>
        <v>-3.261303371429876</v>
      </c>
      <c r="Y7" s="47">
        <f>J41</f>
        <v>-3.2999901026475804</v>
      </c>
      <c r="Z7" s="47">
        <f>J42</f>
        <v>-4.0460714028226032</v>
      </c>
      <c r="AB7">
        <v>0.71946970459965298</v>
      </c>
      <c r="AC7">
        <v>0.31966505393376021</v>
      </c>
      <c r="AD7">
        <v>-0.90084445762203946</v>
      </c>
      <c r="AE7">
        <v>-7.9852888466419983E-2</v>
      </c>
      <c r="AF7">
        <v>-0.21297022734177395</v>
      </c>
      <c r="AG7">
        <v>4.8524982819152476E-2</v>
      </c>
      <c r="AH7" s="19"/>
      <c r="AI7" t="s">
        <v>218</v>
      </c>
      <c r="AJ7">
        <f>E25-E24</f>
        <v>-0.54842519685038837</v>
      </c>
      <c r="AK7">
        <f t="shared" ref="AK7:AL7" si="12">F25-F24</f>
        <v>10.466929133858265</v>
      </c>
      <c r="AL7">
        <f t="shared" si="12"/>
        <v>2.4232283464566908</v>
      </c>
      <c r="AM7">
        <f>AJ7/$AJ$24</f>
        <v>-5.0979494854925721E-2</v>
      </c>
      <c r="AN7">
        <f>AK7/$AJ$24</f>
        <v>0.97296543446738559</v>
      </c>
      <c r="AO7">
        <f>AL7/$AJ$24</f>
        <v>0.22525397762531987</v>
      </c>
      <c r="AU7" s="47">
        <f>AJ37</f>
        <v>-3.9851368031434529</v>
      </c>
      <c r="AV7" s="47">
        <f>AJ38</f>
        <v>2.921411467305532</v>
      </c>
      <c r="AW7" s="47">
        <f>AJ39</f>
        <v>3.8185672568074374</v>
      </c>
      <c r="AX7" s="47">
        <f>AJ40</f>
        <v>-3.0017043963789467</v>
      </c>
      <c r="AY7" s="47">
        <f>AJ41</f>
        <v>-4.0809606056710583</v>
      </c>
      <c r="AZ7" s="47">
        <f>AJ42</f>
        <v>4.6869239655017036</v>
      </c>
      <c r="BB7">
        <v>0.68882018258269284</v>
      </c>
      <c r="BC7">
        <v>6.1191604812938873E-2</v>
      </c>
      <c r="BD7">
        <v>-0.22550136906071364</v>
      </c>
      <c r="BE7">
        <v>-1.5210498807076029E-2</v>
      </c>
      <c r="BF7">
        <v>-0.18772729749205333</v>
      </c>
      <c r="BG7">
        <v>9.4463401584676376E-3</v>
      </c>
      <c r="BH7" s="21"/>
    </row>
    <row r="8" spans="1:60" x14ac:dyDescent="0.3">
      <c r="A8" t="s">
        <v>219</v>
      </c>
      <c r="B8" s="64">
        <v>-748.8</v>
      </c>
      <c r="C8" s="64">
        <v>520.64</v>
      </c>
      <c r="D8" s="64">
        <v>294.32</v>
      </c>
      <c r="E8" s="44">
        <f t="shared" si="6"/>
        <v>-29.480314960629922</v>
      </c>
      <c r="F8" s="44">
        <f t="shared" si="0"/>
        <v>20.49763779527559</v>
      </c>
      <c r="G8" s="64">
        <f t="shared" si="0"/>
        <v>11.587401574803149</v>
      </c>
      <c r="I8" t="s">
        <v>220</v>
      </c>
      <c r="J8">
        <f>E8-E9</f>
        <v>-0.53110236220472729</v>
      </c>
      <c r="K8">
        <f t="shared" ref="K8:L8" si="13">F8-F9</f>
        <v>10.394094488188976</v>
      </c>
      <c r="L8">
        <f t="shared" si="13"/>
        <v>7.7728346456692901</v>
      </c>
      <c r="M8">
        <f>J8/$J$25</f>
        <v>-4.0885947282068742E-2</v>
      </c>
      <c r="N8">
        <f>K8/$J$25</f>
        <v>0.80017041823120172</v>
      </c>
      <c r="O8">
        <f>L8/$J$25</f>
        <v>0.59837750718300875</v>
      </c>
      <c r="U8" s="47">
        <f>K37</f>
        <v>8.8774383912573196E-3</v>
      </c>
      <c r="V8" s="47">
        <f>K38</f>
        <v>1.1908079449331663</v>
      </c>
      <c r="W8" s="47">
        <f>K39</f>
        <v>-1.0824939565836773</v>
      </c>
      <c r="X8" s="47">
        <f>K40</f>
        <v>-1.3165957397854808</v>
      </c>
      <c r="Y8" s="47">
        <f>K41</f>
        <v>1.0181748929555148</v>
      </c>
      <c r="Z8" s="47">
        <f>K42</f>
        <v>-2.0255610839710184E-2</v>
      </c>
      <c r="AB8">
        <v>-0.69531513321291238</v>
      </c>
      <c r="AC8">
        <v>0.39980292325379974</v>
      </c>
      <c r="AD8">
        <v>-1.2588108121564543</v>
      </c>
      <c r="AE8">
        <v>-0.10368206726908678</v>
      </c>
      <c r="AF8">
        <v>0.20614366628955116</v>
      </c>
      <c r="AG8">
        <v>3.4342335063313086E-2</v>
      </c>
      <c r="AH8" s="19"/>
      <c r="AI8" t="s">
        <v>220</v>
      </c>
      <c r="AJ8">
        <f>E26-E27</f>
        <v>-0.7070866141732246</v>
      </c>
      <c r="AK8">
        <f t="shared" ref="AK8:AL8" si="14">F26-F27</f>
        <v>7.1838582677165341</v>
      </c>
      <c r="AL8">
        <f t="shared" si="14"/>
        <v>-8.1035433070866141</v>
      </c>
      <c r="AM8">
        <f>AJ8/$AJ$25</f>
        <v>-6.5154689713294758E-2</v>
      </c>
      <c r="AN8">
        <f>AK8/$AJ$25</f>
        <v>0.66195858752700198</v>
      </c>
      <c r="AO8">
        <f>AL8/$AJ$25</f>
        <v>-0.74670321735453959</v>
      </c>
      <c r="AU8" s="47">
        <f>AK37</f>
        <v>0.3338578281630179</v>
      </c>
      <c r="AV8" s="47">
        <f>AK38</f>
        <v>2.5615481664965665</v>
      </c>
      <c r="AW8" s="47">
        <f>AK39</f>
        <v>6.0383808018492384E-3</v>
      </c>
      <c r="AX8" s="47">
        <f>AK40</f>
        <v>-2.4911831873804395</v>
      </c>
      <c r="AY8" s="47">
        <f>AK41</f>
        <v>0.18359962023656359</v>
      </c>
      <c r="AZ8" s="47">
        <f>AK42</f>
        <v>0.45310895910945126</v>
      </c>
      <c r="BB8">
        <v>1.00468945368966</v>
      </c>
      <c r="BC8">
        <v>0.39297910567123995</v>
      </c>
      <c r="BD8">
        <v>0.7177169140249734</v>
      </c>
      <c r="BE8">
        <v>-9.1348522092567067E-2</v>
      </c>
      <c r="BF8">
        <v>9.4826466388874528E-2</v>
      </c>
      <c r="BG8">
        <v>-0.89609985146770832</v>
      </c>
      <c r="BH8" s="21"/>
    </row>
    <row r="9" spans="1:60" x14ac:dyDescent="0.3">
      <c r="A9" t="s">
        <v>221</v>
      </c>
      <c r="B9" s="64">
        <v>-735.31</v>
      </c>
      <c r="C9" s="64">
        <v>256.63</v>
      </c>
      <c r="D9" s="64">
        <v>96.89</v>
      </c>
      <c r="E9" s="44">
        <f t="shared" si="6"/>
        <v>-28.949212598425195</v>
      </c>
      <c r="F9" s="44">
        <f t="shared" si="0"/>
        <v>10.103543307086614</v>
      </c>
      <c r="G9" s="64">
        <f t="shared" si="0"/>
        <v>3.8145669291338584</v>
      </c>
      <c r="U9" s="47">
        <f>L37</f>
        <v>-2.5727168843236878</v>
      </c>
      <c r="V9" s="47">
        <f>L38</f>
        <v>-9.3461563383854362E-2</v>
      </c>
      <c r="W9" s="47">
        <f>L39</f>
        <v>-1.1089900560752608</v>
      </c>
      <c r="X9" s="47">
        <f>L40</f>
        <v>0.36613617691242173</v>
      </c>
      <c r="Y9" s="47">
        <f>L41</f>
        <v>-0.73999724062800087</v>
      </c>
      <c r="Z9" s="47">
        <f>L42</f>
        <v>-0.30354650783502557</v>
      </c>
      <c r="AB9">
        <v>-0.13979716081929863</v>
      </c>
      <c r="AC9">
        <v>-0.13933520943077199</v>
      </c>
      <c r="AD9">
        <v>2.0807018381027516</v>
      </c>
      <c r="AE9">
        <v>3.4357266579742383E-2</v>
      </c>
      <c r="AF9">
        <v>-5.5065716844878437E-6</v>
      </c>
      <c r="AG9">
        <v>8.4719594132517744E-4</v>
      </c>
      <c r="AH9" s="19"/>
      <c r="AU9" s="47">
        <f>AL37</f>
        <v>1.0180336336100291</v>
      </c>
      <c r="AV9" s="47">
        <f>AL38</f>
        <v>1.0105097234200384</v>
      </c>
      <c r="AW9" s="47">
        <f>AL39</f>
        <v>6.3715887758686141E-2</v>
      </c>
      <c r="AX9" s="47">
        <f>AL40</f>
        <v>1.1977207761674795</v>
      </c>
      <c r="AY9" s="47">
        <f>AL41</f>
        <v>-0.13056029570925279</v>
      </c>
      <c r="AZ9" s="47">
        <f>AL42</f>
        <v>-0.81064930374149402</v>
      </c>
      <c r="BB9">
        <v>-0.11839598590890042</v>
      </c>
      <c r="BC9">
        <v>0.16510641300056142</v>
      </c>
      <c r="BD9">
        <v>-1.418298532697954</v>
      </c>
      <c r="BE9">
        <v>-3.7464374319524846E-2</v>
      </c>
      <c r="BF9">
        <v>-1.5611978277807497E-4</v>
      </c>
      <c r="BG9">
        <v>4.8396523217998964E-4</v>
      </c>
      <c r="BH9" s="21"/>
    </row>
    <row r="10" spans="1:60" x14ac:dyDescent="0.3">
      <c r="A10" t="s">
        <v>222</v>
      </c>
      <c r="B10" s="64">
        <v>-810.79</v>
      </c>
      <c r="C10" s="64">
        <v>564.66999999999996</v>
      </c>
      <c r="D10" s="64">
        <v>170.11</v>
      </c>
      <c r="E10" s="44">
        <f t="shared" si="6"/>
        <v>-31.920866141732283</v>
      </c>
      <c r="F10" s="44">
        <f t="shared" si="0"/>
        <v>22.231102362204727</v>
      </c>
      <c r="G10" s="64">
        <f t="shared" si="0"/>
        <v>6.6972440944881901</v>
      </c>
      <c r="I10" s="7" t="s">
        <v>67</v>
      </c>
      <c r="J10" t="s">
        <v>201</v>
      </c>
      <c r="K10" t="s">
        <v>202</v>
      </c>
      <c r="L10" t="s">
        <v>203</v>
      </c>
      <c r="M10" t="s">
        <v>204</v>
      </c>
      <c r="N10" t="s">
        <v>205</v>
      </c>
      <c r="O10" t="s">
        <v>206</v>
      </c>
      <c r="AH10" s="19"/>
      <c r="AI10" s="28" t="s">
        <v>69</v>
      </c>
      <c r="AJ10" t="s">
        <v>201</v>
      </c>
      <c r="AK10" t="s">
        <v>202</v>
      </c>
      <c r="AL10" t="s">
        <v>203</v>
      </c>
      <c r="AM10" t="s">
        <v>204</v>
      </c>
      <c r="AN10" t="s">
        <v>205</v>
      </c>
      <c r="AO10" t="s">
        <v>206</v>
      </c>
      <c r="BH10" s="21"/>
    </row>
    <row r="11" spans="1:60" x14ac:dyDescent="0.3">
      <c r="A11" t="s">
        <v>226</v>
      </c>
      <c r="B11" s="64">
        <v>-822.36</v>
      </c>
      <c r="C11" s="64">
        <v>251.02</v>
      </c>
      <c r="D11" s="64">
        <v>160.41999999999999</v>
      </c>
      <c r="E11" s="44">
        <f t="shared" si="6"/>
        <v>-32.376377952755909</v>
      </c>
      <c r="F11" s="44">
        <f t="shared" si="0"/>
        <v>9.8826771653543304</v>
      </c>
      <c r="G11" s="64">
        <f t="shared" si="0"/>
        <v>6.3157480314960619</v>
      </c>
      <c r="I11" t="s">
        <v>210</v>
      </c>
      <c r="J11">
        <f>J3</f>
        <v>0.45551181102362648</v>
      </c>
      <c r="K11">
        <f>-K3</f>
        <v>-12.348425196850396</v>
      </c>
      <c r="L11">
        <f t="shared" ref="L11:O11" si="15">L3</f>
        <v>0.38149606299212824</v>
      </c>
      <c r="M11">
        <f>M3</f>
        <v>3.6845623374721012E-2</v>
      </c>
      <c r="N11">
        <f>-N3</f>
        <v>-0.99884440548670139</v>
      </c>
      <c r="O11">
        <f t="shared" si="15"/>
        <v>3.0858607649182822E-2</v>
      </c>
      <c r="U11" t="s">
        <v>224</v>
      </c>
      <c r="Z11" t="s">
        <v>225</v>
      </c>
      <c r="AH11" s="19"/>
      <c r="AI11" t="s">
        <v>210</v>
      </c>
      <c r="AJ11">
        <f>AJ3</f>
        <v>-0.27362204724410333</v>
      </c>
      <c r="AK11">
        <f>-AK3</f>
        <v>-10.596456692913385</v>
      </c>
      <c r="AL11">
        <f t="shared" ref="AL11:AO11" si="16">AL3</f>
        <v>2.4039370078740152</v>
      </c>
      <c r="AM11">
        <f t="shared" si="16"/>
        <v>-2.5174162843773263E-2</v>
      </c>
      <c r="AN11">
        <f>-AN3</f>
        <v>-0.97491020566925957</v>
      </c>
      <c r="AO11">
        <f t="shared" si="16"/>
        <v>0.2211704148547835</v>
      </c>
      <c r="AU11" t="s">
        <v>224</v>
      </c>
      <c r="AZ11" t="s">
        <v>225</v>
      </c>
      <c r="BH11" s="21"/>
    </row>
    <row r="12" spans="1:60" x14ac:dyDescent="0.3">
      <c r="A12" t="s">
        <v>228</v>
      </c>
      <c r="B12" s="64">
        <v>-750</v>
      </c>
      <c r="C12" s="64">
        <v>242.26</v>
      </c>
      <c r="D12" s="64">
        <v>311.98</v>
      </c>
      <c r="E12" s="44">
        <f t="shared" si="6"/>
        <v>-29.527559055118108</v>
      </c>
      <c r="F12" s="44">
        <f t="shared" si="0"/>
        <v>9.5377952755905522</v>
      </c>
      <c r="G12" s="64">
        <f t="shared" si="0"/>
        <v>12.282677165354331</v>
      </c>
      <c r="I12" t="s">
        <v>212</v>
      </c>
      <c r="J12">
        <f t="shared" ref="J12:O12" si="17">J4</f>
        <v>4.6492125984251871</v>
      </c>
      <c r="K12">
        <f t="shared" ref="K12:K16" si="18">-K4</f>
        <v>-12.690157480314959</v>
      </c>
      <c r="L12">
        <f t="shared" si="17"/>
        <v>0.43503937007874072</v>
      </c>
      <c r="M12">
        <f t="shared" si="17"/>
        <v>0.3438257627451029</v>
      </c>
      <c r="N12">
        <f t="shared" ref="N12:N16" si="19">-N4</f>
        <v>-0.93848215857082928</v>
      </c>
      <c r="O12">
        <f t="shared" si="17"/>
        <v>3.217270453326615E-2</v>
      </c>
      <c r="U12" s="15" t="s">
        <v>227</v>
      </c>
      <c r="V12" cm="1">
        <f t="array" ref="V12:V17">MMULT(AB4:AG9,Z12:Z17)</f>
        <v>-86.847304532052675</v>
      </c>
      <c r="Z12" s="47">
        <f>Q3</f>
        <v>0</v>
      </c>
      <c r="AH12" s="19"/>
      <c r="AI12" t="s">
        <v>212</v>
      </c>
      <c r="AJ12">
        <f t="shared" ref="AJ12:AO12" si="20">AJ4</f>
        <v>10.421259842519689</v>
      </c>
      <c r="AK12">
        <f t="shared" ref="AK12:AK16" si="21">-AK4</f>
        <v>-11.600000000000001</v>
      </c>
      <c r="AL12">
        <f t="shared" si="20"/>
        <v>-0.72322834645669243</v>
      </c>
      <c r="AM12">
        <f t="shared" si="20"/>
        <v>0.66758287599967847</v>
      </c>
      <c r="AN12">
        <f t="shared" ref="AN12:AN16" si="22">-AN4</f>
        <v>-0.74309262782223362</v>
      </c>
      <c r="AO12">
        <f t="shared" si="20"/>
        <v>-4.6329797627933815E-2</v>
      </c>
      <c r="AU12" s="15" t="s">
        <v>227</v>
      </c>
      <c r="AV12" cm="1">
        <f t="array" ref="AV12:AV17">MMULT(BB4:BG9,AZ12:AZ17)</f>
        <v>-865.6957719947103</v>
      </c>
      <c r="AZ12" s="47">
        <f>AQ3</f>
        <v>0</v>
      </c>
      <c r="BH12" s="21"/>
    </row>
    <row r="13" spans="1:60" x14ac:dyDescent="0.3">
      <c r="A13" t="s">
        <v>230</v>
      </c>
      <c r="B13" s="64">
        <v>-738.46</v>
      </c>
      <c r="C13" s="64">
        <v>269.44</v>
      </c>
      <c r="D13" s="64">
        <v>143.04</v>
      </c>
      <c r="E13" s="44">
        <f t="shared" si="6"/>
        <v>-29.073228346456695</v>
      </c>
      <c r="F13" s="44">
        <f t="shared" si="0"/>
        <v>10.607874015748031</v>
      </c>
      <c r="G13" s="64">
        <f t="shared" si="0"/>
        <v>5.6314960629921265</v>
      </c>
      <c r="I13" t="s">
        <v>214</v>
      </c>
      <c r="J13">
        <f t="shared" ref="J13:O13" si="23">J5</f>
        <v>-4.1287401574803155</v>
      </c>
      <c r="K13">
        <f t="shared" si="18"/>
        <v>-12.690157480314959</v>
      </c>
      <c r="L13">
        <f t="shared" si="23"/>
        <v>-0.16456692913385762</v>
      </c>
      <c r="M13">
        <f t="shared" si="23"/>
        <v>-0.30936339124061235</v>
      </c>
      <c r="N13">
        <f t="shared" si="19"/>
        <v>-0.95086394487066417</v>
      </c>
      <c r="O13">
        <f t="shared" si="23"/>
        <v>-1.233087608835467E-2</v>
      </c>
      <c r="U13" s="15" t="s">
        <v>229</v>
      </c>
      <c r="V13">
        <v>241.87116870241908</v>
      </c>
      <c r="Z13" s="47">
        <f>R3</f>
        <v>0</v>
      </c>
      <c r="AH13" s="19"/>
      <c r="AI13" t="s">
        <v>214</v>
      </c>
      <c r="AJ13">
        <f t="shared" ref="AJ13:AO13" si="24">AJ5</f>
        <v>1.5354330708660768E-2</v>
      </c>
      <c r="AK13">
        <f t="shared" si="21"/>
        <v>-11.600000000000001</v>
      </c>
      <c r="AL13">
        <f t="shared" si="24"/>
        <v>0.17913385826771666</v>
      </c>
      <c r="AM13">
        <f t="shared" si="24"/>
        <v>1.3234902407550922E-3</v>
      </c>
      <c r="AN13">
        <f t="shared" si="22"/>
        <v>-0.99987990906691504</v>
      </c>
      <c r="AO13">
        <f t="shared" si="24"/>
        <v>1.5440719475476738E-2</v>
      </c>
      <c r="AU13" s="15" t="s">
        <v>229</v>
      </c>
      <c r="AV13">
        <v>92.045880393833258</v>
      </c>
      <c r="AZ13" s="47">
        <f>AR3</f>
        <v>0</v>
      </c>
      <c r="BH13" s="21"/>
    </row>
    <row r="14" spans="1:60" x14ac:dyDescent="0.3">
      <c r="A14" t="s">
        <v>232</v>
      </c>
      <c r="B14" s="64">
        <v>-743.71</v>
      </c>
      <c r="C14" s="64">
        <v>647.70000000000005</v>
      </c>
      <c r="D14" s="64">
        <v>232.41</v>
      </c>
      <c r="E14" s="44">
        <f t="shared" si="6"/>
        <v>-29.279921259842521</v>
      </c>
      <c r="F14" s="44">
        <f t="shared" si="0"/>
        <v>25.5</v>
      </c>
      <c r="G14" s="64">
        <f t="shared" si="0"/>
        <v>9.15</v>
      </c>
      <c r="I14" t="s">
        <v>216</v>
      </c>
      <c r="J14">
        <f t="shared" ref="J14:O14" si="25">J6</f>
        <v>5.0649606299212557</v>
      </c>
      <c r="K14">
        <f t="shared" si="18"/>
        <v>-12.030708661417323</v>
      </c>
      <c r="L14">
        <f t="shared" si="25"/>
        <v>1.8539370078740145</v>
      </c>
      <c r="M14">
        <f t="shared" si="25"/>
        <v>0.3841626455800522</v>
      </c>
      <c r="N14">
        <f t="shared" si="19"/>
        <v>-0.91249452962574784</v>
      </c>
      <c r="O14">
        <f t="shared" si="25"/>
        <v>0.14061577132036271</v>
      </c>
      <c r="U14" s="15" t="s">
        <v>231</v>
      </c>
      <c r="V14">
        <v>158.43935873638324</v>
      </c>
      <c r="Z14" s="47">
        <f>S3</f>
        <v>840</v>
      </c>
      <c r="AH14" s="19"/>
      <c r="AI14" t="s">
        <v>216</v>
      </c>
      <c r="AJ14">
        <f t="shared" ref="AJ14:AO14" si="26">AJ6</f>
        <v>9.3125984251968497</v>
      </c>
      <c r="AK14">
        <f t="shared" si="21"/>
        <v>-10.466929133858265</v>
      </c>
      <c r="AL14">
        <f t="shared" si="26"/>
        <v>1.5685039370078737</v>
      </c>
      <c r="AM14">
        <f t="shared" si="26"/>
        <v>0.66058211814966095</v>
      </c>
      <c r="AN14">
        <f t="shared" si="22"/>
        <v>-0.74246369295370274</v>
      </c>
      <c r="AO14">
        <f t="shared" si="26"/>
        <v>0.11126063916074444</v>
      </c>
      <c r="AU14" s="15" t="s">
        <v>231</v>
      </c>
      <c r="AV14">
        <v>1146.9653965613124</v>
      </c>
      <c r="AZ14" s="47">
        <f>AS3</f>
        <v>910</v>
      </c>
      <c r="BH14" s="21"/>
    </row>
    <row r="15" spans="1:60" x14ac:dyDescent="0.3">
      <c r="A15" t="s">
        <v>234</v>
      </c>
      <c r="B15" s="64">
        <v>-743.71</v>
      </c>
      <c r="C15" s="64">
        <v>609.6</v>
      </c>
      <c r="D15" s="64">
        <v>232.41</v>
      </c>
      <c r="E15" s="44">
        <f t="shared" si="6"/>
        <v>-29.279921259842521</v>
      </c>
      <c r="F15" s="44">
        <f t="shared" si="0"/>
        <v>24</v>
      </c>
      <c r="G15" s="64">
        <f t="shared" si="0"/>
        <v>9.15</v>
      </c>
      <c r="I15" t="s">
        <v>218</v>
      </c>
      <c r="J15">
        <f t="shared" ref="J15:O15" si="27">J7</f>
        <v>-3.9889763779527563</v>
      </c>
      <c r="K15">
        <f t="shared" si="18"/>
        <v>-12.030708661417323</v>
      </c>
      <c r="L15">
        <f t="shared" si="27"/>
        <v>1.2354330708661401</v>
      </c>
      <c r="M15">
        <f t="shared" si="27"/>
        <v>-0.31323330545296268</v>
      </c>
      <c r="N15">
        <f t="shared" si="19"/>
        <v>-0.94470818673821888</v>
      </c>
      <c r="O15">
        <f t="shared" si="27"/>
        <v>9.7012052162593315E-2</v>
      </c>
      <c r="U15" s="15" t="s">
        <v>233</v>
      </c>
      <c r="V15">
        <v>-756.70934440251312</v>
      </c>
      <c r="Z15" s="47">
        <f>(V4*S22)-(U4*T22)</f>
        <v>0</v>
      </c>
      <c r="AH15" s="19"/>
      <c r="AI15" t="s">
        <v>218</v>
      </c>
      <c r="AJ15">
        <f t="shared" ref="AJ15:AO15" si="28">AJ7</f>
        <v>-0.54842519685038837</v>
      </c>
      <c r="AK15">
        <f t="shared" si="21"/>
        <v>-10.466929133858265</v>
      </c>
      <c r="AL15">
        <f t="shared" si="28"/>
        <v>2.4232283464566908</v>
      </c>
      <c r="AM15">
        <f t="shared" si="28"/>
        <v>-5.0979494854925721E-2</v>
      </c>
      <c r="AN15">
        <f t="shared" si="22"/>
        <v>-0.97296543446738559</v>
      </c>
      <c r="AO15">
        <f t="shared" si="28"/>
        <v>0.22525397762531987</v>
      </c>
      <c r="AU15" s="15" t="s">
        <v>233</v>
      </c>
      <c r="AV15">
        <v>-205.20624584524941</v>
      </c>
      <c r="AZ15" s="47">
        <f>(AV4*AS27)-(AU4*AT27)</f>
        <v>0</v>
      </c>
      <c r="BH15" s="21"/>
    </row>
    <row r="16" spans="1:60" x14ac:dyDescent="0.3">
      <c r="A16" t="s">
        <v>236</v>
      </c>
      <c r="B16" s="64">
        <v>-723.06</v>
      </c>
      <c r="C16" s="64">
        <v>212.05</v>
      </c>
      <c r="D16" s="64">
        <v>103.92</v>
      </c>
      <c r="E16" s="44">
        <f t="shared" si="6"/>
        <v>-28.466929133858262</v>
      </c>
      <c r="F16" s="44">
        <f t="shared" si="0"/>
        <v>8.3484251968503944</v>
      </c>
      <c r="G16" s="64">
        <f t="shared" si="0"/>
        <v>4.0913385826771655</v>
      </c>
      <c r="I16" t="s">
        <v>220</v>
      </c>
      <c r="J16">
        <f t="shared" ref="J16:O16" si="29">J8</f>
        <v>-0.53110236220472729</v>
      </c>
      <c r="K16">
        <f t="shared" si="18"/>
        <v>-10.394094488188976</v>
      </c>
      <c r="L16">
        <f t="shared" si="29"/>
        <v>7.7728346456692901</v>
      </c>
      <c r="M16">
        <f t="shared" si="29"/>
        <v>-4.0885947282068742E-2</v>
      </c>
      <c r="N16">
        <f t="shared" si="19"/>
        <v>-0.80017041823120172</v>
      </c>
      <c r="O16">
        <f t="shared" si="29"/>
        <v>0.59837750718300875</v>
      </c>
      <c r="U16" s="15" t="s">
        <v>235</v>
      </c>
      <c r="V16">
        <v>-1057.4010822114217</v>
      </c>
      <c r="Z16" s="47">
        <f>(T3*T22)-(V4*R22)</f>
        <v>0</v>
      </c>
      <c r="AH16" s="19"/>
      <c r="AI16" t="s">
        <v>220</v>
      </c>
      <c r="AJ16">
        <f t="shared" ref="AJ16:AO16" si="30">AJ8</f>
        <v>-0.7070866141732246</v>
      </c>
      <c r="AK16">
        <f t="shared" si="21"/>
        <v>-7.1838582677165341</v>
      </c>
      <c r="AL16">
        <f t="shared" si="30"/>
        <v>-8.1035433070866141</v>
      </c>
      <c r="AM16">
        <f t="shared" si="30"/>
        <v>-6.5154689713294758E-2</v>
      </c>
      <c r="AN16">
        <f t="shared" si="22"/>
        <v>-0.66195858752700198</v>
      </c>
      <c r="AO16">
        <f t="shared" si="30"/>
        <v>-0.74670321735453959</v>
      </c>
      <c r="AU16" s="15" t="s">
        <v>235</v>
      </c>
      <c r="AV16">
        <v>653.12239176272578</v>
      </c>
      <c r="AZ16" s="47">
        <f>(AT3*AT27)-(AV4*AR21)</f>
        <v>0</v>
      </c>
      <c r="BH16" s="21"/>
    </row>
    <row r="17" spans="1:60" x14ac:dyDescent="0.3">
      <c r="A17" t="s">
        <v>238</v>
      </c>
      <c r="B17" s="64">
        <v>-748.4</v>
      </c>
      <c r="C17" s="64">
        <v>212.05</v>
      </c>
      <c r="D17" s="64">
        <v>102.19</v>
      </c>
      <c r="E17" s="44">
        <f t="shared" si="6"/>
        <v>-29.464566929133859</v>
      </c>
      <c r="F17" s="44">
        <f t="shared" si="0"/>
        <v>8.3484251968503944</v>
      </c>
      <c r="G17" s="64">
        <f t="shared" si="0"/>
        <v>4.0232283464566931</v>
      </c>
      <c r="U17" s="15" t="s">
        <v>237</v>
      </c>
      <c r="V17">
        <v>1747.7895440063114</v>
      </c>
      <c r="Z17" s="47">
        <f>(U4*R22)-(T3*S22)</f>
        <v>0</v>
      </c>
      <c r="AH17" s="19"/>
      <c r="AU17" s="15" t="s">
        <v>237</v>
      </c>
      <c r="AV17">
        <v>-1290.6516647551382</v>
      </c>
      <c r="AZ17" s="47">
        <f>(AU4*AR21)-(AT3*AS27)</f>
        <v>0</v>
      </c>
      <c r="BH17" s="21"/>
    </row>
    <row r="18" spans="1:60" ht="15" thickBot="1" x14ac:dyDescent="0.35">
      <c r="A18" t="s">
        <v>239</v>
      </c>
      <c r="B18" s="64">
        <v>-743.71</v>
      </c>
      <c r="C18" s="64">
        <v>609.6</v>
      </c>
      <c r="D18" s="64">
        <v>3.81</v>
      </c>
      <c r="E18" s="44">
        <f t="shared" si="6"/>
        <v>-29.279921259842521</v>
      </c>
      <c r="F18" s="44">
        <f t="shared" si="6"/>
        <v>24</v>
      </c>
      <c r="G18" s="64">
        <f t="shared" si="6"/>
        <v>0.15</v>
      </c>
      <c r="I18" s="1" t="s">
        <v>223</v>
      </c>
      <c r="AH18" s="19"/>
      <c r="AI18" s="1" t="s">
        <v>223</v>
      </c>
      <c r="BH18" s="21"/>
    </row>
    <row r="19" spans="1:60" ht="15.6" customHeight="1" x14ac:dyDescent="0.3">
      <c r="A19" s="61" t="s">
        <v>240</v>
      </c>
      <c r="B19" s="62" t="s">
        <v>194</v>
      </c>
      <c r="C19" s="62" t="s">
        <v>195</v>
      </c>
      <c r="D19" s="62" t="s">
        <v>196</v>
      </c>
      <c r="E19" s="63" t="s">
        <v>197</v>
      </c>
      <c r="F19" s="63" t="s">
        <v>198</v>
      </c>
      <c r="G19" s="62" t="s">
        <v>199</v>
      </c>
      <c r="Q19" s="79" t="s">
        <v>12</v>
      </c>
      <c r="R19" s="79" t="s">
        <v>13</v>
      </c>
      <c r="S19" s="79" t="s">
        <v>14</v>
      </c>
      <c r="U19" s="7" t="s">
        <v>67</v>
      </c>
      <c r="AH19" s="19"/>
      <c r="AQ19" s="79" t="s">
        <v>12</v>
      </c>
      <c r="AR19" s="79" t="s">
        <v>13</v>
      </c>
      <c r="AS19" s="79" t="s">
        <v>14</v>
      </c>
      <c r="AU19" s="28" t="s">
        <v>69</v>
      </c>
      <c r="BH19" s="21"/>
    </row>
    <row r="20" spans="1:60" x14ac:dyDescent="0.3">
      <c r="A20" t="s">
        <v>200</v>
      </c>
      <c r="B20" s="64">
        <v>542.55999999999995</v>
      </c>
      <c r="C20" s="64">
        <v>278.26</v>
      </c>
      <c r="D20" s="64">
        <v>153.21</v>
      </c>
      <c r="E20" s="44">
        <v>21.360629921259839</v>
      </c>
      <c r="F20" s="44">
        <v>10.955118110236221</v>
      </c>
      <c r="G20" s="64">
        <v>6.0318897637795272</v>
      </c>
      <c r="I20" t="s">
        <v>210</v>
      </c>
      <c r="J20">
        <f t="shared" ref="J20:J25" si="31">SQRT((J3)^2+(K3)^2+(L3)^2)</f>
        <v>12.362711478404334</v>
      </c>
      <c r="Q20">
        <v>0</v>
      </c>
      <c r="R20">
        <v>0</v>
      </c>
      <c r="S20">
        <v>840</v>
      </c>
      <c r="U20" t="s">
        <v>207</v>
      </c>
      <c r="AB20" t="s">
        <v>208</v>
      </c>
      <c r="AH20" s="19"/>
      <c r="AI20" t="s">
        <v>210</v>
      </c>
      <c r="AJ20">
        <f t="shared" ref="AJ20:AJ25" si="32">SQRT((AJ3)^2+(AK3)^2+(AL3)^2)</f>
        <v>10.869161725144824</v>
      </c>
      <c r="AQ20">
        <v>0</v>
      </c>
      <c r="AR20">
        <v>0</v>
      </c>
      <c r="AS20">
        <v>910</v>
      </c>
      <c r="AU20" t="s">
        <v>207</v>
      </c>
      <c r="BB20" t="s">
        <v>208</v>
      </c>
      <c r="BH20" s="21"/>
    </row>
    <row r="21" spans="1:60" x14ac:dyDescent="0.3">
      <c r="A21" t="s">
        <v>209</v>
      </c>
      <c r="B21" s="64">
        <v>806.87</v>
      </c>
      <c r="C21" s="64">
        <v>278.26</v>
      </c>
      <c r="D21" s="64">
        <v>130.29</v>
      </c>
      <c r="E21" s="44">
        <v>31.766535433070867</v>
      </c>
      <c r="F21" s="44">
        <v>10.955118110236221</v>
      </c>
      <c r="G21" s="64">
        <v>5.1295275590551181</v>
      </c>
      <c r="I21" t="s">
        <v>212</v>
      </c>
      <c r="J21">
        <f t="shared" si="31"/>
        <v>13.522001845661304</v>
      </c>
      <c r="U21" s="47">
        <f>M11</f>
        <v>3.6845623374721012E-2</v>
      </c>
      <c r="V21" s="47">
        <f>M12</f>
        <v>0.3438257627451029</v>
      </c>
      <c r="W21" s="47">
        <f>M13</f>
        <v>-0.30936339124061235</v>
      </c>
      <c r="X21" s="47">
        <f>M14</f>
        <v>0.3841626455800522</v>
      </c>
      <c r="Y21" s="47">
        <f>M15</f>
        <v>-0.31323330545296268</v>
      </c>
      <c r="Z21" s="47">
        <f>M16</f>
        <v>-4.0885947282068742E-2</v>
      </c>
      <c r="AB21" cm="1">
        <f t="array" ref="AB21:AG26">MINVERSE(U21:Z26)</f>
        <v>0.77173153565501462</v>
      </c>
      <c r="AC21">
        <v>0.22147632998115893</v>
      </c>
      <c r="AD21">
        <v>-0.10338964825244366</v>
      </c>
      <c r="AE21">
        <v>2.9911987068552994E-2</v>
      </c>
      <c r="AF21">
        <v>-2.291227844278773E-3</v>
      </c>
      <c r="AG21">
        <v>0.49272639579803157</v>
      </c>
      <c r="AH21" s="19"/>
      <c r="AI21" t="s">
        <v>212</v>
      </c>
      <c r="AJ21">
        <f t="shared" si="32"/>
        <v>15.610436122877285</v>
      </c>
      <c r="AU21" s="47">
        <f>AM11</f>
        <v>-2.5174162843773263E-2</v>
      </c>
      <c r="AV21" s="47">
        <f>AM12</f>
        <v>0.66758287599967847</v>
      </c>
      <c r="AW21" s="47">
        <f>AM13</f>
        <v>1.3234902407550922E-3</v>
      </c>
      <c r="AX21" s="47">
        <f>AM14</f>
        <v>0.66058211814966095</v>
      </c>
      <c r="AY21" s="47">
        <f>AM15</f>
        <v>-5.0979494854925721E-2</v>
      </c>
      <c r="AZ21" s="47">
        <f>AM16</f>
        <v>-6.5154689713294758E-2</v>
      </c>
      <c r="BB21" cm="1">
        <f t="array" ref="BB21:BG26">MINVERSE(AU21:AZ26)</f>
        <v>-1.5620598194312174</v>
      </c>
      <c r="BC21">
        <v>-9.7734245380030102E-2</v>
      </c>
      <c r="BD21">
        <v>-0.95131403515902235</v>
      </c>
      <c r="BE21">
        <v>3.6278272181595468E-2</v>
      </c>
      <c r="BF21">
        <v>4.8313939607579133E-2</v>
      </c>
      <c r="BG21">
        <v>-0.89888286938530459</v>
      </c>
      <c r="BH21" s="21"/>
    </row>
    <row r="22" spans="1:60" x14ac:dyDescent="0.3">
      <c r="A22" t="s">
        <v>211</v>
      </c>
      <c r="B22" s="64">
        <v>807.26</v>
      </c>
      <c r="C22" s="64">
        <v>572.9</v>
      </c>
      <c r="D22" s="64">
        <v>134.84</v>
      </c>
      <c r="E22" s="44">
        <v>31.781889763779528</v>
      </c>
      <c r="F22" s="44">
        <v>22.555118110236222</v>
      </c>
      <c r="G22" s="64">
        <v>5.3086614173228348</v>
      </c>
      <c r="I22" t="s">
        <v>214</v>
      </c>
      <c r="J22">
        <f t="shared" si="31"/>
        <v>13.345923513843051</v>
      </c>
      <c r="U22" s="47">
        <f>N11</f>
        <v>-0.99884440548670139</v>
      </c>
      <c r="V22" s="47">
        <f>N12</f>
        <v>-0.93848215857082928</v>
      </c>
      <c r="W22" s="47">
        <f>N13</f>
        <v>-0.95086394487066417</v>
      </c>
      <c r="X22" s="47">
        <f>N14</f>
        <v>-0.91249452962574784</v>
      </c>
      <c r="Y22" s="47">
        <f>N15</f>
        <v>-0.94470818673821888</v>
      </c>
      <c r="Z22" s="47">
        <f>N16</f>
        <v>-0.80017041823120172</v>
      </c>
      <c r="AB22">
        <v>0.39647816587217033</v>
      </c>
      <c r="AC22">
        <v>-0.33998308574682773</v>
      </c>
      <c r="AD22">
        <v>0.28794186750287987</v>
      </c>
      <c r="AE22">
        <v>-8.7894073511049872E-2</v>
      </c>
      <c r="AF22">
        <v>0.22657350495302345</v>
      </c>
      <c r="AG22">
        <v>-0.22374455185158654</v>
      </c>
      <c r="AH22" s="19"/>
      <c r="AI22" t="s">
        <v>214</v>
      </c>
      <c r="AJ22">
        <f t="shared" si="32"/>
        <v>11.601393222137133</v>
      </c>
      <c r="AU22" s="47">
        <f>AN11</f>
        <v>-0.97491020566925957</v>
      </c>
      <c r="AV22" s="47">
        <f>AN12</f>
        <v>-0.74309262782223362</v>
      </c>
      <c r="AW22" s="47">
        <f>AN13</f>
        <v>-0.99987990906691504</v>
      </c>
      <c r="AX22" s="47">
        <f>AN14</f>
        <v>-0.74246369295370274</v>
      </c>
      <c r="AY22" s="47">
        <f>AN15</f>
        <v>-0.97296543446738559</v>
      </c>
      <c r="AZ22" s="47">
        <f>AN16</f>
        <v>-0.66195858752700198</v>
      </c>
      <c r="BB22">
        <v>0.82359829492318315</v>
      </c>
      <c r="BC22">
        <v>1.1486647027364462E-2</v>
      </c>
      <c r="BD22">
        <v>0.10114931911410248</v>
      </c>
      <c r="BE22">
        <v>-2.7368663161365589E-3</v>
      </c>
      <c r="BF22">
        <v>0.19509387070744716</v>
      </c>
      <c r="BG22">
        <v>4.3874993582276998E-2</v>
      </c>
      <c r="BH22" s="21"/>
    </row>
    <row r="23" spans="1:60" x14ac:dyDescent="0.3">
      <c r="A23" t="s">
        <v>213</v>
      </c>
      <c r="B23" s="64">
        <v>568.21</v>
      </c>
      <c r="C23" s="64">
        <v>296.63</v>
      </c>
      <c r="D23" s="64">
        <v>288.2</v>
      </c>
      <c r="E23" s="44">
        <v>22.370472440944884</v>
      </c>
      <c r="F23" s="44">
        <v>11.678346456692914</v>
      </c>
      <c r="G23" s="64">
        <v>11.346456692913385</v>
      </c>
      <c r="I23" t="s">
        <v>216</v>
      </c>
      <c r="J23">
        <f t="shared" si="31"/>
        <v>13.184417298755337</v>
      </c>
      <c r="U23" s="47">
        <f>O11</f>
        <v>3.0858607649182822E-2</v>
      </c>
      <c r="V23" s="47">
        <f>O12</f>
        <v>3.217270453326615E-2</v>
      </c>
      <c r="W23" s="47">
        <f>O13</f>
        <v>-1.233087608835467E-2</v>
      </c>
      <c r="X23" s="47">
        <f>O14</f>
        <v>0.14061577132036271</v>
      </c>
      <c r="Y23" s="47">
        <f>O15</f>
        <v>9.7012052162593315E-2</v>
      </c>
      <c r="Z23" s="47">
        <f>O16</f>
        <v>0.59837750718300875</v>
      </c>
      <c r="AB23">
        <v>-1.0839701470959613</v>
      </c>
      <c r="AC23">
        <v>-0.36204394952078944</v>
      </c>
      <c r="AD23">
        <v>0.18861828420998006</v>
      </c>
      <c r="AE23">
        <v>-9.5400982332545056E-2</v>
      </c>
      <c r="AF23">
        <v>-0.2216443778270164</v>
      </c>
      <c r="AG23">
        <v>-0.21535842998740576</v>
      </c>
      <c r="AH23" s="19"/>
      <c r="AI23" t="s">
        <v>216</v>
      </c>
      <c r="AJ23">
        <f t="shared" si="32"/>
        <v>14.097563602360479</v>
      </c>
      <c r="AU23" s="47">
        <f>AO11</f>
        <v>0.2211704148547835</v>
      </c>
      <c r="AV23" s="47">
        <f>AO12</f>
        <v>-4.6329797627933815E-2</v>
      </c>
      <c r="AW23" s="47">
        <f>AO13</f>
        <v>1.5440719475476738E-2</v>
      </c>
      <c r="AX23" s="47">
        <f>AO14</f>
        <v>0.11126063916074444</v>
      </c>
      <c r="AY23" s="47">
        <f>AO15</f>
        <v>0.22525397762531987</v>
      </c>
      <c r="AZ23" s="47">
        <f>AO16</f>
        <v>-0.74670321735453959</v>
      </c>
      <c r="BB23">
        <v>-0.49978062829122133</v>
      </c>
      <c r="BC23">
        <v>-0.37621747065244704</v>
      </c>
      <c r="BD23">
        <v>1.2604015346827608</v>
      </c>
      <c r="BE23">
        <v>-0.1583253879634533</v>
      </c>
      <c r="BF23">
        <v>-0.14487079419837431</v>
      </c>
      <c r="BG23">
        <v>-2.0815852775898949E-2</v>
      </c>
      <c r="BH23" s="21"/>
    </row>
    <row r="24" spans="1:60" x14ac:dyDescent="0.3">
      <c r="A24" t="s">
        <v>215</v>
      </c>
      <c r="B24" s="64">
        <v>818.68</v>
      </c>
      <c r="C24" s="64">
        <v>296.63</v>
      </c>
      <c r="D24" s="64">
        <v>266.49</v>
      </c>
      <c r="E24" s="44">
        <v>32.231496062992122</v>
      </c>
      <c r="F24" s="44">
        <v>11.678346456692914</v>
      </c>
      <c r="G24" s="64">
        <v>10.491732283464568</v>
      </c>
      <c r="I24" t="s">
        <v>218</v>
      </c>
      <c r="J24">
        <f t="shared" si="31"/>
        <v>12.734841118457529</v>
      </c>
      <c r="U24" s="47">
        <f>O37</f>
        <v>-2.3953357960686494</v>
      </c>
      <c r="V24" s="47">
        <f>O38</f>
        <v>-3.2590894670649493</v>
      </c>
      <c r="W24" s="47">
        <f>O39</f>
        <v>-3.3713727039192447</v>
      </c>
      <c r="X24" s="47">
        <f>O40</f>
        <v>3.261303371429876</v>
      </c>
      <c r="Y24" s="47">
        <f>O41</f>
        <v>3.2999901026475804</v>
      </c>
      <c r="Z24" s="47">
        <f>O42</f>
        <v>4.0460714028226032</v>
      </c>
      <c r="AB24">
        <v>0.71946970459965298</v>
      </c>
      <c r="AC24">
        <v>-0.31966505393376021</v>
      </c>
      <c r="AD24">
        <v>-0.90084445762203946</v>
      </c>
      <c r="AE24">
        <v>7.9852888466419983E-2</v>
      </c>
      <c r="AF24">
        <v>-0.21297022734177395</v>
      </c>
      <c r="AG24">
        <v>-4.8524982819152476E-2</v>
      </c>
      <c r="AH24" s="19"/>
      <c r="AI24" t="s">
        <v>218</v>
      </c>
      <c r="AJ24">
        <f t="shared" si="32"/>
        <v>10.757760515498687</v>
      </c>
      <c r="AU24" s="47">
        <f>AO37</f>
        <v>3.9851368031434529</v>
      </c>
      <c r="AV24" s="47">
        <f>AO38</f>
        <v>-2.921411467305532</v>
      </c>
      <c r="AW24" s="47">
        <f>AO39</f>
        <v>-3.8185672568074374</v>
      </c>
      <c r="AX24" s="47">
        <f>AO40</f>
        <v>3.0017043963789467</v>
      </c>
      <c r="AY24" s="47">
        <f>AO41</f>
        <v>4.0809606056710583</v>
      </c>
      <c r="AZ24" s="47">
        <f>AO42</f>
        <v>-4.6869239655017036</v>
      </c>
      <c r="BB24">
        <v>0.68882018258269284</v>
      </c>
      <c r="BC24">
        <v>-6.1191604812938873E-2</v>
      </c>
      <c r="BD24">
        <v>-0.22550136906071364</v>
      </c>
      <c r="BE24">
        <v>1.5210498807076029E-2</v>
      </c>
      <c r="BF24">
        <v>-0.18772729749205333</v>
      </c>
      <c r="BG24">
        <v>-9.4463401584676376E-3</v>
      </c>
      <c r="BH24" s="21"/>
    </row>
    <row r="25" spans="1:60" x14ac:dyDescent="0.3">
      <c r="A25" t="s">
        <v>217</v>
      </c>
      <c r="B25" s="64">
        <v>804.75</v>
      </c>
      <c r="C25" s="64">
        <v>562.49</v>
      </c>
      <c r="D25" s="64">
        <v>328.04</v>
      </c>
      <c r="E25" s="44">
        <v>31.683070866141733</v>
      </c>
      <c r="F25" s="44">
        <v>22.145275590551179</v>
      </c>
      <c r="G25" s="64">
        <v>12.914960629921259</v>
      </c>
      <c r="I25" t="s">
        <v>220</v>
      </c>
      <c r="J25">
        <f t="shared" si="31"/>
        <v>12.989850975952601</v>
      </c>
      <c r="U25" s="47">
        <f>P37</f>
        <v>8.8774383912573196E-3</v>
      </c>
      <c r="V25" s="47">
        <f>P38</f>
        <v>1.1908079449331663</v>
      </c>
      <c r="W25" s="47">
        <f>P39</f>
        <v>-1.0824939565836773</v>
      </c>
      <c r="X25" s="47">
        <f>P40</f>
        <v>-1.3165957397854808</v>
      </c>
      <c r="Y25" s="47">
        <f>P41</f>
        <v>1.0181748929555148</v>
      </c>
      <c r="Z25" s="47">
        <f>P42</f>
        <v>-2.0255610839710184E-2</v>
      </c>
      <c r="AB25">
        <v>-0.69531513321291238</v>
      </c>
      <c r="AC25">
        <v>-0.39980292325379974</v>
      </c>
      <c r="AD25">
        <v>-1.2588108121564543</v>
      </c>
      <c r="AE25">
        <v>0.10368206726908678</v>
      </c>
      <c r="AF25">
        <v>0.20614366628955116</v>
      </c>
      <c r="AG25">
        <v>-3.4342335063313086E-2</v>
      </c>
      <c r="AH25" s="19"/>
      <c r="AI25" t="s">
        <v>220</v>
      </c>
      <c r="AJ25">
        <f t="shared" si="32"/>
        <v>10.852428540212113</v>
      </c>
      <c r="AU25" s="47">
        <f>AP37</f>
        <v>0.3338578281630179</v>
      </c>
      <c r="AV25" s="47">
        <f>AP38</f>
        <v>2.5615481664965665</v>
      </c>
      <c r="AW25" s="47">
        <f>AP39</f>
        <v>6.0383808018492384E-3</v>
      </c>
      <c r="AX25" s="47">
        <f>AP40</f>
        <v>-2.4911831873804395</v>
      </c>
      <c r="AY25" s="47">
        <f>AP41</f>
        <v>0.18359962023656359</v>
      </c>
      <c r="AZ25" s="47">
        <f>AP42</f>
        <v>0.45310895910945126</v>
      </c>
      <c r="BB25">
        <v>1.00468945368966</v>
      </c>
      <c r="BC25">
        <v>-0.39297910567123995</v>
      </c>
      <c r="BD25">
        <v>0.7177169140249734</v>
      </c>
      <c r="BE25">
        <v>9.1348522092567067E-2</v>
      </c>
      <c r="BF25">
        <v>9.4826466388874528E-2</v>
      </c>
      <c r="BG25">
        <v>0.89609985146770832</v>
      </c>
      <c r="BH25" s="21"/>
    </row>
    <row r="26" spans="1:60" x14ac:dyDescent="0.3">
      <c r="A26" t="s">
        <v>219</v>
      </c>
      <c r="B26" s="64">
        <v>783.32</v>
      </c>
      <c r="C26" s="64">
        <v>520.85</v>
      </c>
      <c r="D26" s="64">
        <v>152.68</v>
      </c>
      <c r="E26" s="44">
        <v>30.839370078740163</v>
      </c>
      <c r="F26" s="44">
        <v>20.505905511811022</v>
      </c>
      <c r="G26" s="64">
        <v>6.0110236220472446</v>
      </c>
      <c r="U26" s="47">
        <f>Q37</f>
        <v>2.5727168843236878</v>
      </c>
      <c r="V26" s="47">
        <f>Q38</f>
        <v>9.3461563383854362E-2</v>
      </c>
      <c r="W26" s="47">
        <f>Q39</f>
        <v>1.1089900560752608</v>
      </c>
      <c r="X26" s="47">
        <f>Q40</f>
        <v>-0.36613617691242173</v>
      </c>
      <c r="Y26" s="47">
        <f>Q41</f>
        <v>0.73999724062800087</v>
      </c>
      <c r="Z26" s="47">
        <f>Q42</f>
        <v>0.30354650783502557</v>
      </c>
      <c r="AB26">
        <v>-0.13979716081929863</v>
      </c>
      <c r="AC26">
        <v>0.13933520943077199</v>
      </c>
      <c r="AD26">
        <v>2.0807018381027516</v>
      </c>
      <c r="AE26">
        <v>-3.4357266579742383E-2</v>
      </c>
      <c r="AF26">
        <v>-5.5065716844878437E-6</v>
      </c>
      <c r="AG26">
        <v>-8.4719594132517744E-4</v>
      </c>
      <c r="AH26" s="19"/>
      <c r="AU26" s="47">
        <f>AQ37</f>
        <v>-1.0180336336100291</v>
      </c>
      <c r="AV26" s="47">
        <f>AQ38</f>
        <v>-1.0105097234200384</v>
      </c>
      <c r="AW26" s="47">
        <f>AQ39</f>
        <v>-6.3715887758686141E-2</v>
      </c>
      <c r="AX26" s="47">
        <f>AQ40</f>
        <v>-1.1977207761674795</v>
      </c>
      <c r="AY26" s="47">
        <f>AQ41</f>
        <v>0.13056029570925279</v>
      </c>
      <c r="AZ26" s="47">
        <f>AQ42</f>
        <v>0.81064930374149402</v>
      </c>
      <c r="BB26">
        <v>-0.11839598590890042</v>
      </c>
      <c r="BC26">
        <v>-0.16510641300056142</v>
      </c>
      <c r="BD26">
        <v>-1.418298532697954</v>
      </c>
      <c r="BE26">
        <v>3.7464374319524846E-2</v>
      </c>
      <c r="BF26">
        <v>-1.5611978277807497E-4</v>
      </c>
      <c r="BG26">
        <v>-4.8396523217998964E-4</v>
      </c>
      <c r="BH26" s="21"/>
    </row>
    <row r="27" spans="1:60" x14ac:dyDescent="0.3">
      <c r="A27" t="s">
        <v>221</v>
      </c>
      <c r="B27" s="64">
        <v>801.28</v>
      </c>
      <c r="C27" s="64">
        <v>338.38</v>
      </c>
      <c r="D27" s="64">
        <v>358.51</v>
      </c>
      <c r="E27" s="44">
        <v>31.546456692913388</v>
      </c>
      <c r="F27" s="44">
        <v>13.322047244094488</v>
      </c>
      <c r="G27" s="64">
        <v>14.114566929133858</v>
      </c>
      <c r="I27" s="1" t="s">
        <v>455</v>
      </c>
      <c r="N27" s="1" t="s">
        <v>454</v>
      </c>
      <c r="AH27" s="19"/>
      <c r="AI27" s="1" t="s">
        <v>456</v>
      </c>
      <c r="AN27" s="1" t="s">
        <v>456</v>
      </c>
      <c r="BH27" s="21"/>
    </row>
    <row r="28" spans="1:60" x14ac:dyDescent="0.3">
      <c r="A28" t="s">
        <v>222</v>
      </c>
      <c r="B28" s="64">
        <v>833.43</v>
      </c>
      <c r="C28" s="64">
        <v>562.49</v>
      </c>
      <c r="D28" s="64">
        <v>325.55</v>
      </c>
      <c r="E28" s="44">
        <v>32.81220472440944</v>
      </c>
      <c r="F28" s="44">
        <v>22.145275590551179</v>
      </c>
      <c r="G28" s="64">
        <v>12.816929133858268</v>
      </c>
      <c r="J28" t="s">
        <v>241</v>
      </c>
      <c r="K28" t="s">
        <v>242</v>
      </c>
      <c r="L28" t="s">
        <v>243</v>
      </c>
      <c r="O28" t="s">
        <v>241</v>
      </c>
      <c r="P28" t="s">
        <v>242</v>
      </c>
      <c r="Q28" t="s">
        <v>243</v>
      </c>
      <c r="U28" t="s">
        <v>224</v>
      </c>
      <c r="Z28" t="s">
        <v>225</v>
      </c>
      <c r="AH28" s="19"/>
      <c r="AJ28" t="s">
        <v>241</v>
      </c>
      <c r="AK28" t="s">
        <v>242</v>
      </c>
      <c r="AL28" t="s">
        <v>243</v>
      </c>
      <c r="AO28" t="s">
        <v>241</v>
      </c>
      <c r="AP28" t="s">
        <v>242</v>
      </c>
      <c r="AQ28" t="s">
        <v>243</v>
      </c>
      <c r="AU28" t="s">
        <v>224</v>
      </c>
      <c r="AZ28" t="s">
        <v>225</v>
      </c>
      <c r="BH28" s="21"/>
    </row>
    <row r="29" spans="1:60" x14ac:dyDescent="0.3">
      <c r="A29" t="s">
        <v>226</v>
      </c>
      <c r="B29" s="64">
        <v>840.38</v>
      </c>
      <c r="C29" s="64">
        <v>293.33999999999997</v>
      </c>
      <c r="D29" s="64">
        <v>264.49</v>
      </c>
      <c r="E29" s="44">
        <v>33.085826771653544</v>
      </c>
      <c r="F29" s="44">
        <v>11.548818897637794</v>
      </c>
      <c r="G29" s="64">
        <v>10.412992125984253</v>
      </c>
      <c r="I29" t="s">
        <v>210</v>
      </c>
      <c r="J29">
        <f>E10-E15</f>
        <v>-2.6409448818897623</v>
      </c>
      <c r="K29">
        <f>F10-F15</f>
        <v>-1.7688976377952734</v>
      </c>
      <c r="L29">
        <f>G10-G15</f>
        <v>-2.4527559055118102</v>
      </c>
      <c r="N29" t="s">
        <v>210</v>
      </c>
      <c r="O29">
        <f>J29</f>
        <v>-2.6409448818897623</v>
      </c>
      <c r="P29">
        <f>-K29</f>
        <v>1.7688976377952734</v>
      </c>
      <c r="Q29">
        <f t="shared" ref="Q29" si="33">L29</f>
        <v>-2.4527559055118102</v>
      </c>
      <c r="U29" s="15" t="s">
        <v>227</v>
      </c>
      <c r="V29" cm="1">
        <f t="array" ref="V29:V34">MMULT(AB21:AG26,Z29:Z34)</f>
        <v>-86.847304532052675</v>
      </c>
      <c r="Z29" s="47">
        <f>Q20</f>
        <v>0</v>
      </c>
      <c r="AH29" s="19"/>
      <c r="AI29" t="s">
        <v>210</v>
      </c>
      <c r="AJ29">
        <f>E28-E33</f>
        <v>1.092125984251954</v>
      </c>
      <c r="AK29">
        <f t="shared" ref="AK29:AL29" si="34">F28-F33</f>
        <v>-1.8547244094488207</v>
      </c>
      <c r="AL29">
        <f t="shared" si="34"/>
        <v>3.6669291338582681</v>
      </c>
      <c r="AN29" t="s">
        <v>210</v>
      </c>
      <c r="AO29">
        <f>AJ29</f>
        <v>1.092125984251954</v>
      </c>
      <c r="AP29">
        <f>-AK29</f>
        <v>1.8547244094488207</v>
      </c>
      <c r="AQ29">
        <f>AL29</f>
        <v>3.6669291338582681</v>
      </c>
      <c r="AU29" s="15" t="s">
        <v>227</v>
      </c>
      <c r="AV29" cm="1">
        <f t="array" ref="AV29:AV34">MMULT(BB21:BG26,AZ29:AZ34)</f>
        <v>-865.6957719947103</v>
      </c>
      <c r="AZ29" s="47">
        <f>AQ20</f>
        <v>0</v>
      </c>
      <c r="BH29" s="21"/>
    </row>
    <row r="30" spans="1:60" x14ac:dyDescent="0.3">
      <c r="A30" t="s">
        <v>228</v>
      </c>
      <c r="B30" s="64">
        <v>801.9</v>
      </c>
      <c r="C30" s="64">
        <v>91.24</v>
      </c>
      <c r="D30" s="64">
        <v>365.68</v>
      </c>
      <c r="E30" s="44">
        <v>31.570866141732285</v>
      </c>
      <c r="F30" s="44">
        <v>3.5921259842519686</v>
      </c>
      <c r="G30" s="64">
        <v>14.396850393700788</v>
      </c>
      <c r="I30" t="s">
        <v>212</v>
      </c>
      <c r="J30">
        <f>E4-E15</f>
        <v>-0.66456692913385851</v>
      </c>
      <c r="K30">
        <f>F4-F15</f>
        <v>-1.542125984251971</v>
      </c>
      <c r="L30">
        <f>G4-G15</f>
        <v>-3.5255905511811019</v>
      </c>
      <c r="N30" t="s">
        <v>212</v>
      </c>
      <c r="O30">
        <f t="shared" ref="O30:O34" si="35">J30</f>
        <v>-0.66456692913385851</v>
      </c>
      <c r="P30">
        <f t="shared" ref="P30:P34" si="36">-K30</f>
        <v>1.542125984251971</v>
      </c>
      <c r="Q30">
        <f t="shared" ref="Q30:Q34" si="37">L30</f>
        <v>-3.5255905511811019</v>
      </c>
      <c r="U30" s="15" t="s">
        <v>229</v>
      </c>
      <c r="V30">
        <v>241.87116870241908</v>
      </c>
      <c r="Z30" s="47">
        <f>R20</f>
        <v>0</v>
      </c>
      <c r="AH30" s="19"/>
      <c r="AI30" t="s">
        <v>212</v>
      </c>
      <c r="AJ30">
        <f>E22-E33</f>
        <v>6.1811023622041716E-2</v>
      </c>
      <c r="AK30">
        <f t="shared" ref="AK30:AL30" si="38">F22-F33</f>
        <v>-1.4448818897637778</v>
      </c>
      <c r="AL30">
        <f t="shared" si="38"/>
        <v>-3.8413385826771655</v>
      </c>
      <c r="AN30" t="s">
        <v>212</v>
      </c>
      <c r="AO30">
        <f t="shared" ref="AO30:AO34" si="39">AJ30</f>
        <v>6.1811023622041716E-2</v>
      </c>
      <c r="AP30">
        <f t="shared" ref="AP30:AP33" si="40">-AK30</f>
        <v>1.4448818897637778</v>
      </c>
      <c r="AQ30">
        <f t="shared" ref="AQ30:AQ34" si="41">AL30</f>
        <v>-3.8413385826771655</v>
      </c>
      <c r="AU30" s="15" t="s">
        <v>229</v>
      </c>
      <c r="AV30">
        <v>92.045880393833258</v>
      </c>
      <c r="AZ30" s="47">
        <f>AR20</f>
        <v>0</v>
      </c>
      <c r="BH30" s="21"/>
    </row>
    <row r="31" spans="1:60" x14ac:dyDescent="0.3">
      <c r="A31" t="s">
        <v>230</v>
      </c>
      <c r="B31" s="64">
        <v>801.45</v>
      </c>
      <c r="C31" s="64">
        <v>262.2</v>
      </c>
      <c r="D31" s="64">
        <v>360.45</v>
      </c>
      <c r="E31" s="44">
        <v>31.553149606299211</v>
      </c>
      <c r="F31" s="44">
        <v>10.322834645669291</v>
      </c>
      <c r="G31" s="64">
        <v>14.190944881889763</v>
      </c>
      <c r="I31" t="s">
        <v>214</v>
      </c>
      <c r="J31">
        <f>E4-E15</f>
        <v>-0.66456692913385851</v>
      </c>
      <c r="K31">
        <f>F4-F15</f>
        <v>-1.542125984251971</v>
      </c>
      <c r="L31">
        <f>G4-G15</f>
        <v>-3.5255905511811019</v>
      </c>
      <c r="N31" t="s">
        <v>214</v>
      </c>
      <c r="O31">
        <f t="shared" si="35"/>
        <v>-0.66456692913385851</v>
      </c>
      <c r="P31">
        <f t="shared" si="36"/>
        <v>1.542125984251971</v>
      </c>
      <c r="Q31">
        <f t="shared" si="37"/>
        <v>-3.5255905511811019</v>
      </c>
      <c r="U31" s="15" t="s">
        <v>231</v>
      </c>
      <c r="V31">
        <v>158.43935873638324</v>
      </c>
      <c r="Z31" s="47">
        <f>S20</f>
        <v>840</v>
      </c>
      <c r="AH31" s="19"/>
      <c r="AI31" t="s">
        <v>214</v>
      </c>
      <c r="AJ31">
        <f>E22-E33</f>
        <v>6.1811023622041716E-2</v>
      </c>
      <c r="AK31">
        <f t="shared" ref="AK31:AL31" si="42">F22-F33</f>
        <v>-1.4448818897637778</v>
      </c>
      <c r="AL31">
        <f t="shared" si="42"/>
        <v>-3.8413385826771655</v>
      </c>
      <c r="AN31" t="s">
        <v>214</v>
      </c>
      <c r="AO31">
        <f t="shared" si="39"/>
        <v>6.1811023622041716E-2</v>
      </c>
      <c r="AP31">
        <f t="shared" si="40"/>
        <v>1.4448818897637778</v>
      </c>
      <c r="AQ31">
        <f t="shared" si="41"/>
        <v>-3.8413385826771655</v>
      </c>
      <c r="AU31" s="15" t="s">
        <v>231</v>
      </c>
      <c r="AV31">
        <v>1146.9653965613124</v>
      </c>
      <c r="AZ31" s="47">
        <f>AS20</f>
        <v>910</v>
      </c>
      <c r="BH31" s="21"/>
    </row>
    <row r="32" spans="1:60" x14ac:dyDescent="0.3">
      <c r="A32" t="s">
        <v>232</v>
      </c>
      <c r="B32" s="64">
        <v>805.69</v>
      </c>
      <c r="C32" s="64">
        <v>647.70000000000005</v>
      </c>
      <c r="D32" s="64">
        <v>232.41</v>
      </c>
      <c r="E32" s="44">
        <v>31.720078740157486</v>
      </c>
      <c r="F32" s="44">
        <v>25.5</v>
      </c>
      <c r="G32" s="64">
        <v>9.15</v>
      </c>
      <c r="I32" t="s">
        <v>216</v>
      </c>
      <c r="J32">
        <f>E7-E15</f>
        <v>-0.26141732283464592</v>
      </c>
      <c r="K32">
        <f>F7-F15</f>
        <v>-1.5740157480314956</v>
      </c>
      <c r="L32">
        <f>G7-G15</f>
        <v>3.3314960629921249</v>
      </c>
      <c r="N32" t="s">
        <v>216</v>
      </c>
      <c r="O32">
        <f t="shared" si="35"/>
        <v>-0.26141732283464592</v>
      </c>
      <c r="P32">
        <f t="shared" si="36"/>
        <v>1.5740157480314956</v>
      </c>
      <c r="Q32">
        <f t="shared" si="37"/>
        <v>3.3314960629921249</v>
      </c>
      <c r="U32" s="15" t="s">
        <v>233</v>
      </c>
      <c r="V32">
        <v>-756.70934440251312</v>
      </c>
      <c r="Z32" s="47">
        <f>(V21*S39)-(U21*T40)</f>
        <v>0</v>
      </c>
      <c r="AH32" s="19"/>
      <c r="AI32" t="s">
        <v>216</v>
      </c>
      <c r="AJ32">
        <f>E25-E33</f>
        <v>-3.7007874015753117E-2</v>
      </c>
      <c r="AK32">
        <f t="shared" ref="AK32:AL32" si="43">F25-F33</f>
        <v>-1.8547244094488207</v>
      </c>
      <c r="AL32">
        <f t="shared" si="43"/>
        <v>3.7649606299212586</v>
      </c>
      <c r="AN32" t="s">
        <v>216</v>
      </c>
      <c r="AO32">
        <f t="shared" si="39"/>
        <v>-3.7007874015753117E-2</v>
      </c>
      <c r="AP32">
        <f t="shared" si="40"/>
        <v>1.8547244094488207</v>
      </c>
      <c r="AQ32">
        <f t="shared" si="41"/>
        <v>3.7649606299212586</v>
      </c>
      <c r="AU32" s="15" t="s">
        <v>233</v>
      </c>
      <c r="AV32">
        <v>-205.20624584524941</v>
      </c>
      <c r="AZ32" s="47">
        <f>(AV21*AS46)-(AU21*AT46)</f>
        <v>0</v>
      </c>
      <c r="BH32" s="21"/>
    </row>
    <row r="33" spans="1:60" x14ac:dyDescent="0.3">
      <c r="A33" t="s">
        <v>234</v>
      </c>
      <c r="B33" s="64">
        <v>805.69</v>
      </c>
      <c r="C33" s="64">
        <v>609.6</v>
      </c>
      <c r="D33" s="64">
        <v>232.41</v>
      </c>
      <c r="E33" s="44">
        <v>31.720078740157486</v>
      </c>
      <c r="F33" s="44">
        <v>24</v>
      </c>
      <c r="G33" s="64">
        <v>9.15</v>
      </c>
      <c r="I33" t="s">
        <v>218</v>
      </c>
      <c r="J33">
        <f>E7-E15</f>
        <v>-0.26141732283464592</v>
      </c>
      <c r="K33">
        <f>F7-F15</f>
        <v>-1.5740157480314956</v>
      </c>
      <c r="L33">
        <f>G7-G15</f>
        <v>3.3314960629921249</v>
      </c>
      <c r="N33" t="s">
        <v>218</v>
      </c>
      <c r="O33">
        <f t="shared" si="35"/>
        <v>-0.26141732283464592</v>
      </c>
      <c r="P33">
        <f t="shared" si="36"/>
        <v>1.5740157480314956</v>
      </c>
      <c r="Q33">
        <f t="shared" si="37"/>
        <v>3.3314960629921249</v>
      </c>
      <c r="U33" s="15" t="s">
        <v>235</v>
      </c>
      <c r="V33">
        <v>-1057.4010822114217</v>
      </c>
      <c r="Z33" s="47">
        <f>(T20*T40)-(V21*R39)</f>
        <v>0</v>
      </c>
      <c r="AH33" s="19"/>
      <c r="AI33" t="s">
        <v>218</v>
      </c>
      <c r="AJ33">
        <f>E25-E33</f>
        <v>-3.7007874015753117E-2</v>
      </c>
      <c r="AK33">
        <f t="shared" ref="AK33:AL33" si="44">F25-F33</f>
        <v>-1.8547244094488207</v>
      </c>
      <c r="AL33">
        <f t="shared" si="44"/>
        <v>3.7649606299212586</v>
      </c>
      <c r="AN33" t="s">
        <v>218</v>
      </c>
      <c r="AO33">
        <f t="shared" si="39"/>
        <v>-3.7007874015753117E-2</v>
      </c>
      <c r="AP33">
        <f t="shared" si="40"/>
        <v>1.8547244094488207</v>
      </c>
      <c r="AQ33">
        <f t="shared" si="41"/>
        <v>3.7649606299212586</v>
      </c>
      <c r="AU33" s="15" t="s">
        <v>235</v>
      </c>
      <c r="AV33">
        <v>653.12239176272578</v>
      </c>
      <c r="AZ33" s="47">
        <f>(AT20*AT46)-(AV21*AR39)</f>
        <v>0</v>
      </c>
      <c r="BH33" s="21"/>
    </row>
    <row r="34" spans="1:60" x14ac:dyDescent="0.3">
      <c r="A34" t="s">
        <v>236</v>
      </c>
      <c r="B34" s="64">
        <v>805.14</v>
      </c>
      <c r="C34" s="64">
        <v>260.45</v>
      </c>
      <c r="D34" s="64">
        <v>291.32</v>
      </c>
      <c r="E34" s="44">
        <v>31.698425196850394</v>
      </c>
      <c r="F34" s="44">
        <v>10.253937007874017</v>
      </c>
      <c r="G34" s="64">
        <v>11.469291338582678</v>
      </c>
      <c r="I34" t="s">
        <v>220</v>
      </c>
      <c r="J34">
        <f>E8-E15</f>
        <v>-0.20039370078740149</v>
      </c>
      <c r="K34">
        <f>F8-F15</f>
        <v>-3.5023622047244096</v>
      </c>
      <c r="L34">
        <f>G8-G15</f>
        <v>2.4374015748031486</v>
      </c>
      <c r="N34" t="s">
        <v>220</v>
      </c>
      <c r="O34">
        <f t="shared" si="35"/>
        <v>-0.20039370078740149</v>
      </c>
      <c r="P34">
        <f t="shared" si="36"/>
        <v>3.5023622047244096</v>
      </c>
      <c r="Q34">
        <f t="shared" si="37"/>
        <v>2.4374015748031486</v>
      </c>
      <c r="U34" s="15" t="s">
        <v>237</v>
      </c>
      <c r="V34">
        <v>1747.7895440063114</v>
      </c>
      <c r="Z34" s="47">
        <f>(U21*R39)-(T20*S39)</f>
        <v>0</v>
      </c>
      <c r="AH34" s="19"/>
      <c r="AI34" t="s">
        <v>220</v>
      </c>
      <c r="AJ34">
        <f>E26-E33</f>
        <v>-0.88070866141732296</v>
      </c>
      <c r="AK34">
        <f t="shared" ref="AK34:AL34" si="45">F26-F33</f>
        <v>-3.4940944881889777</v>
      </c>
      <c r="AL34">
        <f t="shared" si="45"/>
        <v>-3.1389763779527557</v>
      </c>
      <c r="AN34" t="s">
        <v>220</v>
      </c>
      <c r="AO34">
        <f t="shared" si="39"/>
        <v>-0.88070866141732296</v>
      </c>
      <c r="AP34">
        <f>-AK34</f>
        <v>3.4940944881889777</v>
      </c>
      <c r="AQ34">
        <f t="shared" si="41"/>
        <v>-3.1389763779527557</v>
      </c>
      <c r="AU34" s="15" t="s">
        <v>237</v>
      </c>
      <c r="AV34">
        <v>-1290.6516647551382</v>
      </c>
      <c r="AZ34" s="47">
        <f>(AU21*AR39)-(AT20*AS46)</f>
        <v>0</v>
      </c>
      <c r="BH34" s="21"/>
    </row>
    <row r="35" spans="1:60" x14ac:dyDescent="0.3">
      <c r="A35" t="s">
        <v>238</v>
      </c>
      <c r="B35" s="64">
        <v>785.91</v>
      </c>
      <c r="C35" s="64">
        <v>260.45</v>
      </c>
      <c r="D35" s="64">
        <v>292.99</v>
      </c>
      <c r="E35" s="44">
        <v>30.941338582677169</v>
      </c>
      <c r="F35" s="44">
        <v>10.253937007874017</v>
      </c>
      <c r="G35" s="64">
        <v>11.53503937007874</v>
      </c>
      <c r="S35" s="1" t="s">
        <v>16</v>
      </c>
      <c r="AH35" s="19"/>
      <c r="AS35" s="1" t="s">
        <v>16</v>
      </c>
      <c r="BH35" s="21"/>
    </row>
    <row r="36" spans="1:60" ht="15" thickBot="1" x14ac:dyDescent="0.35">
      <c r="A36" s="65" t="s">
        <v>239</v>
      </c>
      <c r="B36" s="66">
        <v>805.69</v>
      </c>
      <c r="C36" s="66">
        <v>609.6</v>
      </c>
      <c r="D36" s="66">
        <v>3.81</v>
      </c>
      <c r="E36" s="67">
        <v>31.720078740157486</v>
      </c>
      <c r="F36" s="67">
        <v>24</v>
      </c>
      <c r="G36" s="66">
        <v>0.15</v>
      </c>
      <c r="J36" t="s">
        <v>245</v>
      </c>
      <c r="K36" t="s">
        <v>246</v>
      </c>
      <c r="L36" t="s">
        <v>247</v>
      </c>
      <c r="O36" t="s">
        <v>245</v>
      </c>
      <c r="P36" t="s">
        <v>246</v>
      </c>
      <c r="Q36" t="s">
        <v>247</v>
      </c>
      <c r="AH36" s="19"/>
      <c r="AJ36" t="s">
        <v>245</v>
      </c>
      <c r="AK36" t="s">
        <v>246</v>
      </c>
      <c r="AL36" t="s">
        <v>247</v>
      </c>
      <c r="AO36" t="s">
        <v>245</v>
      </c>
      <c r="AP36" t="s">
        <v>246</v>
      </c>
      <c r="AQ36" t="s">
        <v>247</v>
      </c>
      <c r="BH36" s="21"/>
    </row>
    <row r="37" spans="1:60" x14ac:dyDescent="0.3">
      <c r="A37" t="s">
        <v>453</v>
      </c>
      <c r="I37" t="s">
        <v>210</v>
      </c>
      <c r="J37">
        <f t="shared" ref="J37:J42" si="46">(O3*K29)-(N3*L29)</f>
        <v>2.3953357960686494</v>
      </c>
      <c r="K37">
        <f t="shared" ref="K37:K42" si="47">(O3*J29)-(M3*L29)</f>
        <v>8.8774383912573196E-3</v>
      </c>
      <c r="L37">
        <f t="shared" ref="L37:L42" si="48">(N3*J29)-(M3*K29)</f>
        <v>-2.5727168843236878</v>
      </c>
      <c r="N37" t="s">
        <v>210</v>
      </c>
      <c r="O37">
        <f>(O11*P29)-(N11*Q29)</f>
        <v>-2.3953357960686494</v>
      </c>
      <c r="P37">
        <f>(O11*O29)-(M11*Q29)</f>
        <v>8.8774383912573196E-3</v>
      </c>
      <c r="Q37">
        <f>(N11*O29)-(M11*P29)</f>
        <v>2.5727168843236878</v>
      </c>
      <c r="S37" t="s">
        <v>244</v>
      </c>
      <c r="T37" t="s">
        <v>241</v>
      </c>
      <c r="U37" t="s">
        <v>242</v>
      </c>
      <c r="V37" t="s">
        <v>243</v>
      </c>
      <c r="AH37" s="19"/>
      <c r="AI37" t="s">
        <v>210</v>
      </c>
      <c r="AJ37">
        <f t="shared" ref="AJ37:AJ42" si="49">(AO3*AK29)-(AN3*AL29)</f>
        <v>-3.9851368031434529</v>
      </c>
      <c r="AK37">
        <f t="shared" ref="AK37:AK42" si="50">(AO3*AJ29)-(AM3*AL29)</f>
        <v>0.3338578281630179</v>
      </c>
      <c r="AL37">
        <f t="shared" ref="AL37:AL42" si="51">(AN3*AJ29)-(AM3*AK29)</f>
        <v>1.0180336336100291</v>
      </c>
      <c r="AN37" t="s">
        <v>210</v>
      </c>
      <c r="AO37">
        <f>(AO11*AP29)-(AN11*AQ29)</f>
        <v>3.9851368031434529</v>
      </c>
      <c r="AP37">
        <f>(AO11*AO29)-(AM11*AQ29)</f>
        <v>0.3338578281630179</v>
      </c>
      <c r="AQ37">
        <f>(AN11*AO29)-(AM11*AP29)</f>
        <v>-1.0180336336100291</v>
      </c>
      <c r="AS37" t="s">
        <v>244</v>
      </c>
      <c r="AT37" t="s">
        <v>241</v>
      </c>
      <c r="AU37" t="s">
        <v>242</v>
      </c>
      <c r="AV37" t="s">
        <v>243</v>
      </c>
      <c r="BH37" s="21"/>
    </row>
    <row r="38" spans="1:60" x14ac:dyDescent="0.3">
      <c r="I38" t="s">
        <v>212</v>
      </c>
      <c r="J38">
        <f t="shared" si="46"/>
        <v>3.2590894670649493</v>
      </c>
      <c r="K38">
        <f t="shared" si="47"/>
        <v>1.1908079449331663</v>
      </c>
      <c r="L38">
        <f t="shared" si="48"/>
        <v>-9.3461563383854362E-2</v>
      </c>
      <c r="N38" t="s">
        <v>212</v>
      </c>
      <c r="O38">
        <f>(O12*P30)-(N12*Q30)</f>
        <v>-3.2590894670649493</v>
      </c>
      <c r="P38">
        <f t="shared" ref="P38:P42" si="52">(O12*O30)-(M12*Q30)</f>
        <v>1.1908079449331663</v>
      </c>
      <c r="Q38">
        <f t="shared" ref="Q38:Q42" si="53">(N12*O30)-(M12*P30)</f>
        <v>9.3461563383854362E-2</v>
      </c>
      <c r="T38">
        <f>E15-E18</f>
        <v>0</v>
      </c>
      <c r="U38">
        <f>F15-F18</f>
        <v>0</v>
      </c>
      <c r="V38">
        <f>G15-G18</f>
        <v>9</v>
      </c>
      <c r="AH38" s="19"/>
      <c r="AI38" t="s">
        <v>212</v>
      </c>
      <c r="AJ38">
        <f t="shared" si="49"/>
        <v>2.921411467305532</v>
      </c>
      <c r="AK38">
        <f t="shared" si="50"/>
        <v>2.5615481664965665</v>
      </c>
      <c r="AL38">
        <f t="shared" si="51"/>
        <v>1.0105097234200384</v>
      </c>
      <c r="AN38" t="s">
        <v>212</v>
      </c>
      <c r="AO38">
        <f t="shared" ref="AO38:AO42" si="54">(AO12*AP30)-(AN12*AQ30)</f>
        <v>-2.921411467305532</v>
      </c>
      <c r="AP38">
        <f t="shared" ref="AP38:AP42" si="55">(AO12*AO30)-(AM12*AQ30)</f>
        <v>2.5615481664965665</v>
      </c>
      <c r="AQ38">
        <f t="shared" ref="AQ38:AQ42" si="56">(AN12*AO30)-(AM12*AP30)</f>
        <v>-1.0105097234200384</v>
      </c>
      <c r="AT38">
        <f>E33-E36</f>
        <v>0</v>
      </c>
      <c r="AU38">
        <f t="shared" ref="AU38:AV38" si="57">F33-F36</f>
        <v>0</v>
      </c>
      <c r="AV38">
        <f t="shared" si="57"/>
        <v>9</v>
      </c>
      <c r="BH38" s="21"/>
    </row>
    <row r="39" spans="1:60" x14ac:dyDescent="0.3">
      <c r="I39" t="s">
        <v>214</v>
      </c>
      <c r="J39">
        <f t="shared" si="46"/>
        <v>3.3713727039192447</v>
      </c>
      <c r="K39">
        <f t="shared" si="47"/>
        <v>-1.0824939565836773</v>
      </c>
      <c r="L39">
        <f t="shared" si="48"/>
        <v>-1.1089900560752608</v>
      </c>
      <c r="N39" t="s">
        <v>214</v>
      </c>
      <c r="O39">
        <f t="shared" ref="O39:O42" si="58">(O13*P31)-(N13*Q31)</f>
        <v>-3.3713727039192447</v>
      </c>
      <c r="P39">
        <f t="shared" si="52"/>
        <v>-1.0824939565836773</v>
      </c>
      <c r="Q39">
        <f t="shared" si="53"/>
        <v>1.1089900560752608</v>
      </c>
      <c r="AH39" s="19"/>
      <c r="AI39" t="s">
        <v>214</v>
      </c>
      <c r="AJ39">
        <f t="shared" si="49"/>
        <v>3.8185672568074374</v>
      </c>
      <c r="AK39">
        <f t="shared" si="50"/>
        <v>6.0383808018492384E-3</v>
      </c>
      <c r="AL39">
        <f t="shared" si="51"/>
        <v>6.3715887758686141E-2</v>
      </c>
      <c r="AN39" t="s">
        <v>214</v>
      </c>
      <c r="AO39">
        <f t="shared" si="54"/>
        <v>-3.8185672568074374</v>
      </c>
      <c r="AP39">
        <f t="shared" si="55"/>
        <v>6.0383808018492384E-3</v>
      </c>
      <c r="AQ39">
        <f t="shared" si="56"/>
        <v>-6.3715887758686141E-2</v>
      </c>
      <c r="BH39" s="21"/>
    </row>
    <row r="40" spans="1:60" x14ac:dyDescent="0.3">
      <c r="I40" t="s">
        <v>216</v>
      </c>
      <c r="J40">
        <f t="shared" si="46"/>
        <v>-3.261303371429876</v>
      </c>
      <c r="K40">
        <f t="shared" si="47"/>
        <v>-1.3165957397854808</v>
      </c>
      <c r="L40">
        <f t="shared" si="48"/>
        <v>0.36613617691242173</v>
      </c>
      <c r="N40" t="s">
        <v>216</v>
      </c>
      <c r="O40">
        <f t="shared" si="58"/>
        <v>3.261303371429876</v>
      </c>
      <c r="P40">
        <f t="shared" si="52"/>
        <v>-1.3165957397854808</v>
      </c>
      <c r="Q40">
        <f t="shared" si="53"/>
        <v>-0.36613617691242173</v>
      </c>
      <c r="AH40" s="19"/>
      <c r="AI40" t="s">
        <v>216</v>
      </c>
      <c r="AJ40">
        <f t="shared" si="49"/>
        <v>-3.0017043963789467</v>
      </c>
      <c r="AK40">
        <f t="shared" si="50"/>
        <v>-2.4911831873804395</v>
      </c>
      <c r="AL40">
        <f t="shared" si="51"/>
        <v>1.1977207761674795</v>
      </c>
      <c r="AN40" t="s">
        <v>216</v>
      </c>
      <c r="AO40">
        <f t="shared" si="54"/>
        <v>3.0017043963789467</v>
      </c>
      <c r="AP40">
        <f t="shared" si="55"/>
        <v>-2.4911831873804395</v>
      </c>
      <c r="AQ40">
        <f t="shared" si="56"/>
        <v>-1.1977207761674795</v>
      </c>
      <c r="BH40" s="21"/>
    </row>
    <row r="41" spans="1:60" x14ac:dyDescent="0.3">
      <c r="I41" t="s">
        <v>218</v>
      </c>
      <c r="J41">
        <f t="shared" si="46"/>
        <v>-3.2999901026475804</v>
      </c>
      <c r="K41">
        <f t="shared" si="47"/>
        <v>1.0181748929555148</v>
      </c>
      <c r="L41">
        <f t="shared" si="48"/>
        <v>-0.73999724062800087</v>
      </c>
      <c r="N41" t="s">
        <v>218</v>
      </c>
      <c r="O41">
        <f t="shared" si="58"/>
        <v>3.2999901026475804</v>
      </c>
      <c r="P41">
        <f t="shared" si="52"/>
        <v>1.0181748929555148</v>
      </c>
      <c r="Q41">
        <f t="shared" si="53"/>
        <v>0.73999724062800087</v>
      </c>
      <c r="AH41" s="19"/>
      <c r="AI41" t="s">
        <v>218</v>
      </c>
      <c r="AJ41">
        <f t="shared" si="49"/>
        <v>-4.0809606056710583</v>
      </c>
      <c r="AK41">
        <f t="shared" si="50"/>
        <v>0.18359962023656359</v>
      </c>
      <c r="AL41">
        <f t="shared" si="51"/>
        <v>-0.13056029570925279</v>
      </c>
      <c r="AN41" t="s">
        <v>218</v>
      </c>
      <c r="AO41">
        <f t="shared" si="54"/>
        <v>4.0809606056710583</v>
      </c>
      <c r="AP41">
        <f t="shared" si="55"/>
        <v>0.18359962023656359</v>
      </c>
      <c r="AQ41">
        <f t="shared" si="56"/>
        <v>0.13056029570925279</v>
      </c>
      <c r="BH41" s="21"/>
    </row>
    <row r="42" spans="1:60" x14ac:dyDescent="0.3">
      <c r="I42" t="s">
        <v>220</v>
      </c>
      <c r="J42">
        <f t="shared" si="46"/>
        <v>-4.0460714028226032</v>
      </c>
      <c r="K42">
        <f t="shared" si="47"/>
        <v>-2.0255610839710184E-2</v>
      </c>
      <c r="L42">
        <f t="shared" si="48"/>
        <v>-0.30354650783502557</v>
      </c>
      <c r="N42" t="s">
        <v>220</v>
      </c>
      <c r="O42">
        <f t="shared" si="58"/>
        <v>4.0460714028226032</v>
      </c>
      <c r="P42">
        <f t="shared" si="52"/>
        <v>-2.0255610839710184E-2</v>
      </c>
      <c r="Q42">
        <f t="shared" si="53"/>
        <v>0.30354650783502557</v>
      </c>
      <c r="AH42" s="19"/>
      <c r="AI42" t="s">
        <v>220</v>
      </c>
      <c r="AJ42">
        <f t="shared" si="49"/>
        <v>4.6869239655017036</v>
      </c>
      <c r="AK42">
        <f t="shared" si="50"/>
        <v>0.45310895910945126</v>
      </c>
      <c r="AL42">
        <f t="shared" si="51"/>
        <v>-0.81064930374149402</v>
      </c>
      <c r="AN42" t="s">
        <v>220</v>
      </c>
      <c r="AO42">
        <f t="shared" si="54"/>
        <v>-4.6869239655017036</v>
      </c>
      <c r="AP42">
        <f t="shared" si="55"/>
        <v>0.45310895910945126</v>
      </c>
      <c r="AQ42">
        <f t="shared" si="56"/>
        <v>0.81064930374149402</v>
      </c>
      <c r="BH42" s="21"/>
    </row>
  </sheetData>
  <pageMargins left="0.7" right="0.7" top="0.75" bottom="0.75" header="0.3" footer="0.3"/>
  <pageSetup orientation="portrait" r:id="rId1"/>
  <ignoredErrors>
    <ignoredError sqref="K11:K16 P29:P34 AK11:AK16 AP29:AP34 N11:N16 AN11:AN16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93A64-7CA3-4D9C-87CD-C736403FA7F3}">
  <dimension ref="A1:O24"/>
  <sheetViews>
    <sheetView workbookViewId="0">
      <selection activeCell="Q31" sqref="Q31"/>
    </sheetView>
  </sheetViews>
  <sheetFormatPr defaultRowHeight="14.4" x14ac:dyDescent="0.3"/>
  <cols>
    <col min="1" max="1" width="30.6640625" customWidth="1"/>
    <col min="4" max="4" width="7.77734375" customWidth="1"/>
    <col min="5" max="5" width="31.109375" customWidth="1"/>
    <col min="9" max="9" width="26.6640625" customWidth="1"/>
    <col min="10" max="10" width="18.44140625" customWidth="1"/>
    <col min="14" max="14" width="14.109375" customWidth="1"/>
  </cols>
  <sheetData>
    <row r="1" spans="1:10" x14ac:dyDescent="0.3">
      <c r="A1" s="1" t="s">
        <v>67</v>
      </c>
      <c r="E1" s="1" t="s">
        <v>68</v>
      </c>
      <c r="F1" s="1"/>
      <c r="G1" s="1"/>
      <c r="I1" t="s">
        <v>23</v>
      </c>
      <c r="J1">
        <f>'Input + Tire Forces'!L18</f>
        <v>168</v>
      </c>
    </row>
    <row r="2" spans="1:10" x14ac:dyDescent="0.3">
      <c r="A2" t="s">
        <v>138</v>
      </c>
      <c r="B2">
        <f>(1/(2*PI()))*SQRT((O17*O19^2)/J1)</f>
        <v>8.6826139755357079E-2</v>
      </c>
      <c r="C2" t="s">
        <v>139</v>
      </c>
      <c r="E2" t="s">
        <v>138</v>
      </c>
      <c r="F2">
        <f>(1/(2*PI()))*SQRT((O17*O19^2)/J2)</f>
        <v>8.6826139755357079E-2</v>
      </c>
      <c r="G2" t="s">
        <v>139</v>
      </c>
      <c r="I2" t="s">
        <v>24</v>
      </c>
      <c r="J2">
        <f>'Input + Tire Forces'!L19</f>
        <v>168</v>
      </c>
    </row>
    <row r="3" spans="1:10" x14ac:dyDescent="0.3">
      <c r="A3" t="s">
        <v>140</v>
      </c>
      <c r="B3">
        <f xml:space="preserve"> 2* SQRT((O17*O19^2)*J1)</f>
        <v>183.30302779823359</v>
      </c>
      <c r="C3" t="s">
        <v>141</v>
      </c>
      <c r="E3" t="s">
        <v>140</v>
      </c>
      <c r="F3">
        <f xml:space="preserve"> 2* SQRT((O17*O19^2)*J2)</f>
        <v>183.30302779823359</v>
      </c>
      <c r="G3" t="s">
        <v>141</v>
      </c>
      <c r="I3" t="s">
        <v>25</v>
      </c>
      <c r="J3">
        <f>'Input + Tire Forces'!L20</f>
        <v>182</v>
      </c>
    </row>
    <row r="4" spans="1:10" x14ac:dyDescent="0.3">
      <c r="A4" t="s">
        <v>142</v>
      </c>
      <c r="B4">
        <f>C18/$B$3</f>
        <v>0.81831708838497152</v>
      </c>
      <c r="E4" t="s">
        <v>142</v>
      </c>
      <c r="F4">
        <f>G18/$F$3</f>
        <v>0.81831708838497152</v>
      </c>
      <c r="I4" t="s">
        <v>26</v>
      </c>
      <c r="J4">
        <f>'Input + Tire Forces'!L21</f>
        <v>182</v>
      </c>
    </row>
    <row r="5" spans="1:10" x14ac:dyDescent="0.3">
      <c r="A5" t="s">
        <v>143</v>
      </c>
      <c r="B5">
        <f>C19/$B$3</f>
        <v>0.81831708838497152</v>
      </c>
      <c r="E5" t="s">
        <v>143</v>
      </c>
      <c r="F5">
        <f>G19/$F$3</f>
        <v>0.81831708838497152</v>
      </c>
    </row>
    <row r="6" spans="1:10" x14ac:dyDescent="0.3">
      <c r="A6" t="s">
        <v>144</v>
      </c>
      <c r="B6">
        <f>((1/(2*PI()))*SQRT(K21/J1))*SQRT(1-B4^2)</f>
        <v>4.8143312807822351E-2</v>
      </c>
      <c r="C6" t="s">
        <v>139</v>
      </c>
      <c r="E6" t="s">
        <v>144</v>
      </c>
      <c r="F6">
        <f>((1/(2*PI()))*SQRT(K21/J2))*SQRT(1-F4^2)</f>
        <v>4.8143312807822351E-2</v>
      </c>
      <c r="G6" t="s">
        <v>139</v>
      </c>
    </row>
    <row r="7" spans="1:10" x14ac:dyDescent="0.3">
      <c r="A7" t="s">
        <v>145</v>
      </c>
      <c r="B7">
        <f>((1/(2*PI()))*SQRT(K21/J1))*SQRT(1-B5^2)</f>
        <v>4.8143312807822351E-2</v>
      </c>
      <c r="C7" t="s">
        <v>139</v>
      </c>
      <c r="E7" t="s">
        <v>145</v>
      </c>
      <c r="F7">
        <f>((1/(2*PI()))*SQRT(K21/J2))*SQRT(1-F5^2)</f>
        <v>4.8143312807822351E-2</v>
      </c>
      <c r="G7" t="s">
        <v>139</v>
      </c>
    </row>
    <row r="9" spans="1:10" x14ac:dyDescent="0.3">
      <c r="A9" s="1" t="s">
        <v>69</v>
      </c>
      <c r="E9" s="1" t="s">
        <v>70</v>
      </c>
      <c r="F9" s="1"/>
      <c r="G9" s="1"/>
      <c r="I9" t="s">
        <v>146</v>
      </c>
      <c r="J9" t="s">
        <v>147</v>
      </c>
    </row>
    <row r="10" spans="1:10" x14ac:dyDescent="0.3">
      <c r="A10" t="s">
        <v>138</v>
      </c>
      <c r="B10">
        <f>(1/(2*PI()))*SQRT((O18*O20^2)/J3)</f>
        <v>9.3266235201356601E-2</v>
      </c>
      <c r="C10" t="s">
        <v>139</v>
      </c>
      <c r="E10" t="s">
        <v>138</v>
      </c>
      <c r="F10">
        <f>(1/(2*PI()))*SQRT((O18*O20^2)/J4)</f>
        <v>9.3266235201356601E-2</v>
      </c>
      <c r="G10" t="s">
        <v>139</v>
      </c>
      <c r="I10">
        <f>$B$2+(0.1*$B$2)</f>
        <v>9.5508753730892793E-2</v>
      </c>
      <c r="J10" s="58">
        <v>0.1</v>
      </c>
    </row>
    <row r="11" spans="1:10" x14ac:dyDescent="0.3">
      <c r="A11" t="s">
        <v>140</v>
      </c>
      <c r="B11">
        <f xml:space="preserve"> 2* SQRT((O18*O20^2)*J3)</f>
        <v>213.30729007701541</v>
      </c>
      <c r="C11" t="s">
        <v>141</v>
      </c>
      <c r="E11" t="s">
        <v>140</v>
      </c>
      <c r="F11">
        <f xml:space="preserve"> 2* SQRT((O18*O20^2)*J4)</f>
        <v>213.30729007701541</v>
      </c>
      <c r="G11" t="s">
        <v>141</v>
      </c>
      <c r="I11">
        <f>$B$2+(0.2*$B$2)</f>
        <v>0.10419136770642849</v>
      </c>
      <c r="J11" s="58">
        <v>0.2</v>
      </c>
    </row>
    <row r="12" spans="1:10" x14ac:dyDescent="0.3">
      <c r="A12" t="s">
        <v>142</v>
      </c>
      <c r="B12">
        <f>C21/$B$11</f>
        <v>0.70321084640774312</v>
      </c>
      <c r="E12" t="s">
        <v>142</v>
      </c>
      <c r="F12">
        <f>G21/$F$11</f>
        <v>0.70321084640774312</v>
      </c>
    </row>
    <row r="13" spans="1:10" x14ac:dyDescent="0.3">
      <c r="A13" t="s">
        <v>143</v>
      </c>
      <c r="B13">
        <f>C22/$B$11</f>
        <v>0.70321084640774312</v>
      </c>
      <c r="E13" t="s">
        <v>143</v>
      </c>
      <c r="F13">
        <f>G22/$F$11</f>
        <v>0.70321084640774312</v>
      </c>
    </row>
    <row r="14" spans="1:10" x14ac:dyDescent="0.3">
      <c r="A14" t="s">
        <v>144</v>
      </c>
      <c r="B14">
        <f>((1/(2*PI()))*SQRT(K22/J3))*SQRT(1-B12^2)</f>
        <v>9.270962040810099E-2</v>
      </c>
      <c r="C14" t="s">
        <v>139</v>
      </c>
      <c r="E14" t="s">
        <v>144</v>
      </c>
      <c r="F14">
        <f>((1/(2*PI()))*SQRT(K22/J4))*SQRT(1-F12^2)</f>
        <v>9.270962040810099E-2</v>
      </c>
      <c r="G14" t="s">
        <v>139</v>
      </c>
    </row>
    <row r="15" spans="1:10" x14ac:dyDescent="0.3">
      <c r="A15" t="s">
        <v>145</v>
      </c>
      <c r="B15">
        <f>((1/(2*PI()))*SQRT(K22/J3))*SQRT(1-B13^2)</f>
        <v>9.270962040810099E-2</v>
      </c>
      <c r="C15" t="s">
        <v>139</v>
      </c>
      <c r="E15" t="s">
        <v>145</v>
      </c>
      <c r="F15">
        <f>((1/(2*PI()))*SQRT(K22/J4))*SQRT(1-F13^2)</f>
        <v>9.270962040810099E-2</v>
      </c>
      <c r="G15" t="s">
        <v>139</v>
      </c>
    </row>
    <row r="17" spans="1:15" x14ac:dyDescent="0.3">
      <c r="A17" s="1" t="s">
        <v>67</v>
      </c>
      <c r="E17" s="1" t="s">
        <v>68</v>
      </c>
      <c r="J17" t="s">
        <v>49</v>
      </c>
      <c r="K17">
        <f>'Input + Tire Forces'!L40</f>
        <v>671</v>
      </c>
      <c r="N17" t="s">
        <v>47</v>
      </c>
      <c r="O17">
        <f>'Input + Tire Forces'!Q40</f>
        <v>200</v>
      </c>
    </row>
    <row r="18" spans="1:15" x14ac:dyDescent="0.3">
      <c r="A18" t="s">
        <v>148</v>
      </c>
      <c r="B18" t="s">
        <v>149</v>
      </c>
      <c r="C18">
        <v>150</v>
      </c>
      <c r="E18" t="s">
        <v>148</v>
      </c>
      <c r="F18" t="s">
        <v>149</v>
      </c>
      <c r="G18">
        <v>150</v>
      </c>
      <c r="J18" t="s">
        <v>50</v>
      </c>
      <c r="K18">
        <f>'Input + Tire Forces'!L41</f>
        <v>533</v>
      </c>
      <c r="N18" t="s">
        <v>48</v>
      </c>
      <c r="O18">
        <f>'Input + Tire Forces'!Q41</f>
        <v>250</v>
      </c>
    </row>
    <row r="19" spans="1:15" x14ac:dyDescent="0.3">
      <c r="B19" t="s">
        <v>150</v>
      </c>
      <c r="C19">
        <v>150</v>
      </c>
      <c r="F19" t="s">
        <v>150</v>
      </c>
      <c r="G19">
        <v>150</v>
      </c>
      <c r="J19" t="s">
        <v>51</v>
      </c>
      <c r="K19" s="26">
        <f>(O17*(O19)^2)+(K23*(O21)^2)</f>
        <v>50</v>
      </c>
      <c r="N19" t="s">
        <v>45</v>
      </c>
      <c r="O19">
        <f>'Input + Tire Forces'!Q42</f>
        <v>0.5</v>
      </c>
    </row>
    <row r="20" spans="1:15" x14ac:dyDescent="0.3">
      <c r="A20" s="1" t="s">
        <v>69</v>
      </c>
      <c r="E20" s="1" t="s">
        <v>70</v>
      </c>
      <c r="J20" t="s">
        <v>52</v>
      </c>
      <c r="K20" s="26">
        <f>(O18*(O20)^2)+(K24*(O22)^2)</f>
        <v>158.5</v>
      </c>
      <c r="N20" t="s">
        <v>46</v>
      </c>
      <c r="O20">
        <f>'Input + Tire Forces'!Q43</f>
        <v>0.5</v>
      </c>
    </row>
    <row r="21" spans="1:15" x14ac:dyDescent="0.3">
      <c r="A21" t="s">
        <v>148</v>
      </c>
      <c r="B21" t="s">
        <v>149</v>
      </c>
      <c r="C21">
        <v>150</v>
      </c>
      <c r="E21" t="s">
        <v>148</v>
      </c>
      <c r="F21" t="s">
        <v>149</v>
      </c>
      <c r="G21">
        <v>150</v>
      </c>
      <c r="J21" t="s">
        <v>53</v>
      </c>
      <c r="K21" s="26">
        <f>(K17*K19)/(K17+K19)</f>
        <v>46.532593619972261</v>
      </c>
      <c r="N21" t="s">
        <v>57</v>
      </c>
      <c r="O21">
        <f>'Input + Tire Forces'!Q44</f>
        <v>0.5</v>
      </c>
    </row>
    <row r="22" spans="1:15" x14ac:dyDescent="0.3">
      <c r="B22" t="s">
        <v>150</v>
      </c>
      <c r="C22">
        <v>150</v>
      </c>
      <c r="F22" t="s">
        <v>150</v>
      </c>
      <c r="G22">
        <v>150</v>
      </c>
      <c r="J22" t="s">
        <v>54</v>
      </c>
      <c r="K22">
        <f>(K18*K20)/(K18+K20)</f>
        <v>122.16992046276211</v>
      </c>
      <c r="N22" t="s">
        <v>58</v>
      </c>
      <c r="O22">
        <f>'Input + Tire Forces'!Q45</f>
        <v>0.5</v>
      </c>
    </row>
    <row r="23" spans="1:15" x14ac:dyDescent="0.3">
      <c r="A23" s="1"/>
      <c r="J23" t="s">
        <v>55</v>
      </c>
      <c r="K23" s="26">
        <f>'Input + Tire Forces'!L46</f>
        <v>0</v>
      </c>
    </row>
    <row r="24" spans="1:15" x14ac:dyDescent="0.3">
      <c r="J24" t="s">
        <v>56</v>
      </c>
      <c r="K24" s="26">
        <f>'Input + Tire Forces'!L47</f>
        <v>384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FCE5-C61C-4DF0-B865-783ED70CEEEB}">
  <dimension ref="A1:R36"/>
  <sheetViews>
    <sheetView zoomScale="99" zoomScaleNormal="99" workbookViewId="0">
      <selection activeCell="I32" sqref="I32"/>
    </sheetView>
  </sheetViews>
  <sheetFormatPr defaultRowHeight="14.4" x14ac:dyDescent="0.3"/>
  <cols>
    <col min="1" max="1" width="27" customWidth="1"/>
    <col min="3" max="3" width="10.88671875" customWidth="1"/>
    <col min="4" max="4" width="10.77734375" customWidth="1"/>
    <col min="5" max="5" width="10.5546875" customWidth="1"/>
    <col min="6" max="6" width="10.6640625" customWidth="1"/>
    <col min="7" max="7" width="13.77734375" customWidth="1"/>
    <col min="8" max="9" width="12.5546875" customWidth="1"/>
    <col min="11" max="11" width="17" customWidth="1"/>
    <col min="15" max="15" width="6" customWidth="1"/>
    <col min="17" max="17" width="9.5546875" customWidth="1"/>
  </cols>
  <sheetData>
    <row r="1" spans="1:18" x14ac:dyDescent="0.3">
      <c r="A1" s="15" t="s">
        <v>418</v>
      </c>
      <c r="C1" s="104" t="s">
        <v>396</v>
      </c>
      <c r="D1" s="104" t="s">
        <v>397</v>
      </c>
      <c r="E1" s="104" t="s">
        <v>398</v>
      </c>
      <c r="F1" s="104" t="s">
        <v>399</v>
      </c>
      <c r="G1" s="104" t="s">
        <v>400</v>
      </c>
      <c r="H1" s="104" t="s">
        <v>401</v>
      </c>
      <c r="I1" s="104" t="s">
        <v>402</v>
      </c>
      <c r="K1" t="s">
        <v>403</v>
      </c>
      <c r="Q1" s="120" t="s">
        <v>419</v>
      </c>
      <c r="R1" s="120"/>
    </row>
    <row r="2" spans="1:18" x14ac:dyDescent="0.3">
      <c r="A2" t="s">
        <v>404</v>
      </c>
      <c r="B2" t="s">
        <v>149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405</v>
      </c>
      <c r="Q2" t="s">
        <v>420</v>
      </c>
      <c r="R2" t="s">
        <v>421</v>
      </c>
    </row>
    <row r="3" spans="1:18" ht="15.6" x14ac:dyDescent="0.3">
      <c r="K3" t="s">
        <v>406</v>
      </c>
      <c r="Q3" s="106">
        <v>150</v>
      </c>
      <c r="R3">
        <v>26.27</v>
      </c>
    </row>
    <row r="4" spans="1:18" ht="15.6" x14ac:dyDescent="0.3">
      <c r="B4" t="s">
        <v>150</v>
      </c>
      <c r="C4" s="105" t="s">
        <v>396</v>
      </c>
      <c r="D4" s="105" t="s">
        <v>407</v>
      </c>
      <c r="E4" s="105" t="s">
        <v>408</v>
      </c>
      <c r="F4" s="105" t="s">
        <v>409</v>
      </c>
      <c r="G4" s="105" t="s">
        <v>410</v>
      </c>
      <c r="Q4" s="106">
        <v>175</v>
      </c>
      <c r="R4">
        <v>30.65</v>
      </c>
    </row>
    <row r="5" spans="1:18" ht="15.6" x14ac:dyDescent="0.3">
      <c r="C5">
        <v>124</v>
      </c>
      <c r="D5">
        <v>100</v>
      </c>
      <c r="E5">
        <v>70</v>
      </c>
      <c r="F5">
        <v>50</v>
      </c>
      <c r="G5">
        <v>30</v>
      </c>
      <c r="Q5" s="106">
        <v>200</v>
      </c>
      <c r="R5">
        <v>35.03</v>
      </c>
    </row>
    <row r="6" spans="1:18" ht="15.6" x14ac:dyDescent="0.3">
      <c r="Q6" s="106">
        <v>225</v>
      </c>
      <c r="R6">
        <v>39.4</v>
      </c>
    </row>
    <row r="7" spans="1:18" ht="15.6" x14ac:dyDescent="0.3">
      <c r="A7" t="s">
        <v>411</v>
      </c>
      <c r="B7" t="s">
        <v>149</v>
      </c>
      <c r="C7" s="104" t="s">
        <v>396</v>
      </c>
      <c r="D7" s="104" t="s">
        <v>397</v>
      </c>
      <c r="E7" s="104" t="s">
        <v>398</v>
      </c>
      <c r="F7" s="104" t="s">
        <v>399</v>
      </c>
      <c r="G7" s="104" t="s">
        <v>400</v>
      </c>
      <c r="H7" s="104" t="s">
        <v>401</v>
      </c>
      <c r="I7" s="104" t="s">
        <v>402</v>
      </c>
      <c r="Q7" s="106">
        <v>250</v>
      </c>
      <c r="R7">
        <v>43.78</v>
      </c>
    </row>
    <row r="8" spans="1:18" ht="15.6" x14ac:dyDescent="0.3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6">
        <v>300</v>
      </c>
      <c r="R8">
        <v>52.54</v>
      </c>
    </row>
    <row r="9" spans="1:18" ht="15.6" x14ac:dyDescent="0.3">
      <c r="Q9" s="106">
        <v>350</v>
      </c>
      <c r="R9">
        <v>61.29</v>
      </c>
    </row>
    <row r="10" spans="1:18" ht="15.6" x14ac:dyDescent="0.3">
      <c r="B10" t="s">
        <v>150</v>
      </c>
      <c r="C10" s="105" t="s">
        <v>396</v>
      </c>
      <c r="D10" s="105" t="s">
        <v>407</v>
      </c>
      <c r="E10" s="105" t="s">
        <v>408</v>
      </c>
      <c r="F10" s="105" t="s">
        <v>409</v>
      </c>
      <c r="G10" s="105" t="s">
        <v>410</v>
      </c>
      <c r="Q10" s="106">
        <v>400</v>
      </c>
      <c r="R10">
        <v>70.05</v>
      </c>
    </row>
    <row r="11" spans="1:18" ht="15.6" x14ac:dyDescent="0.3">
      <c r="C11">
        <v>140</v>
      </c>
      <c r="D11">
        <v>140</v>
      </c>
      <c r="E11">
        <v>110</v>
      </c>
      <c r="F11">
        <v>60</v>
      </c>
      <c r="G11">
        <v>20</v>
      </c>
      <c r="Q11" s="106">
        <v>450</v>
      </c>
      <c r="R11">
        <v>78.81</v>
      </c>
    </row>
    <row r="12" spans="1:18" ht="15.6" x14ac:dyDescent="0.3">
      <c r="Q12" s="106">
        <v>500</v>
      </c>
      <c r="R12">
        <v>87.56</v>
      </c>
    </row>
    <row r="13" spans="1:18" ht="15.6" x14ac:dyDescent="0.3">
      <c r="A13" t="s">
        <v>412</v>
      </c>
      <c r="B13" t="s">
        <v>149</v>
      </c>
      <c r="C13" s="104" t="s">
        <v>396</v>
      </c>
      <c r="D13" s="104" t="s">
        <v>397</v>
      </c>
      <c r="E13" s="104" t="s">
        <v>398</v>
      </c>
      <c r="F13" s="104" t="s">
        <v>399</v>
      </c>
      <c r="G13" s="104" t="s">
        <v>400</v>
      </c>
      <c r="H13" s="104" t="s">
        <v>401</v>
      </c>
      <c r="I13" s="104" t="s">
        <v>402</v>
      </c>
      <c r="Q13" s="106">
        <v>550</v>
      </c>
      <c r="R13">
        <v>96.32</v>
      </c>
    </row>
    <row r="14" spans="1:18" ht="15.6" x14ac:dyDescent="0.3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6">
        <v>600</v>
      </c>
      <c r="R14">
        <v>105.1</v>
      </c>
    </row>
    <row r="15" spans="1:18" ht="15.6" x14ac:dyDescent="0.3">
      <c r="Q15" s="106">
        <v>650</v>
      </c>
      <c r="R15">
        <v>113.8</v>
      </c>
    </row>
    <row r="16" spans="1:18" x14ac:dyDescent="0.3">
      <c r="B16" t="s">
        <v>150</v>
      </c>
      <c r="C16" s="105" t="s">
        <v>396</v>
      </c>
      <c r="D16" s="105" t="s">
        <v>407</v>
      </c>
      <c r="E16" s="105" t="s">
        <v>408</v>
      </c>
      <c r="F16" s="105" t="s">
        <v>409</v>
      </c>
      <c r="G16" s="105" t="s">
        <v>410</v>
      </c>
    </row>
    <row r="17" spans="1:9" x14ac:dyDescent="0.3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">
      <c r="A19" t="s">
        <v>413</v>
      </c>
      <c r="B19" t="s">
        <v>149</v>
      </c>
      <c r="C19" s="104" t="s">
        <v>396</v>
      </c>
      <c r="D19" s="104" t="s">
        <v>397</v>
      </c>
      <c r="E19" s="104" t="s">
        <v>398</v>
      </c>
      <c r="F19" s="104" t="s">
        <v>399</v>
      </c>
      <c r="G19" s="104" t="s">
        <v>400</v>
      </c>
      <c r="H19" s="104" t="s">
        <v>401</v>
      </c>
      <c r="I19" s="104" t="s">
        <v>402</v>
      </c>
    </row>
    <row r="20" spans="1:9" x14ac:dyDescent="0.3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">
      <c r="B22" t="s">
        <v>150</v>
      </c>
      <c r="C22" s="105" t="s">
        <v>396</v>
      </c>
      <c r="D22" s="105" t="s">
        <v>407</v>
      </c>
      <c r="E22" s="105" t="s">
        <v>408</v>
      </c>
      <c r="F22" s="105" t="s">
        <v>409</v>
      </c>
      <c r="G22" s="105" t="s">
        <v>410</v>
      </c>
    </row>
    <row r="23" spans="1:9" x14ac:dyDescent="0.3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">
      <c r="A25" t="s">
        <v>414</v>
      </c>
      <c r="B25" t="s">
        <v>149</v>
      </c>
      <c r="C25" s="104" t="s">
        <v>396</v>
      </c>
      <c r="D25" s="104" t="s">
        <v>397</v>
      </c>
      <c r="E25" s="104" t="s">
        <v>398</v>
      </c>
      <c r="F25" s="104" t="s">
        <v>399</v>
      </c>
      <c r="G25" s="104" t="s">
        <v>400</v>
      </c>
      <c r="H25" s="104" t="s">
        <v>401</v>
      </c>
      <c r="I25" s="104" t="s">
        <v>402</v>
      </c>
    </row>
    <row r="26" spans="1:9" x14ac:dyDescent="0.3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">
      <c r="B28" t="s">
        <v>150</v>
      </c>
      <c r="C28" s="105" t="s">
        <v>396</v>
      </c>
      <c r="D28" s="105" t="s">
        <v>407</v>
      </c>
      <c r="E28" s="105" t="s">
        <v>408</v>
      </c>
      <c r="F28" s="105" t="s">
        <v>409</v>
      </c>
      <c r="G28" s="105" t="s">
        <v>410</v>
      </c>
    </row>
    <row r="29" spans="1:9" x14ac:dyDescent="0.3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">
      <c r="A31" t="s">
        <v>415</v>
      </c>
      <c r="B31" t="s">
        <v>149</v>
      </c>
      <c r="C31" s="104" t="s">
        <v>396</v>
      </c>
      <c r="D31" s="104" t="s">
        <v>397</v>
      </c>
      <c r="E31" s="104" t="s">
        <v>398</v>
      </c>
      <c r="F31" s="104" t="s">
        <v>399</v>
      </c>
      <c r="G31" s="104" t="s">
        <v>400</v>
      </c>
      <c r="H31" s="104" t="s">
        <v>401</v>
      </c>
      <c r="I31" s="104" t="s">
        <v>402</v>
      </c>
    </row>
    <row r="32" spans="1:9" x14ac:dyDescent="0.3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">
      <c r="B34" t="s">
        <v>150</v>
      </c>
      <c r="C34" s="105" t="s">
        <v>396</v>
      </c>
      <c r="D34" s="105" t="s">
        <v>407</v>
      </c>
      <c r="E34" s="105" t="s">
        <v>408</v>
      </c>
      <c r="F34" s="105" t="s">
        <v>409</v>
      </c>
      <c r="G34" s="105" t="s">
        <v>410</v>
      </c>
    </row>
    <row r="35" spans="1:7" x14ac:dyDescent="0.3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">
      <c r="A36" t="s">
        <v>416</v>
      </c>
    </row>
  </sheetData>
  <mergeCells count="1">
    <mergeCell ref="Q1:R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720E-8235-42B7-B2E4-24C054A1F589}">
  <dimension ref="A1:U54"/>
  <sheetViews>
    <sheetView topLeftCell="B1" zoomScale="95" zoomScaleNormal="95" workbookViewId="0">
      <selection activeCell="E40" sqref="E40"/>
    </sheetView>
  </sheetViews>
  <sheetFormatPr defaultRowHeight="14.4" x14ac:dyDescent="0.3"/>
  <cols>
    <col min="1" max="1" width="29.44140625" customWidth="1"/>
    <col min="4" max="4" width="22.77734375" customWidth="1"/>
    <col min="6" max="6" width="10.33203125" customWidth="1"/>
    <col min="8" max="8" width="23.6640625" customWidth="1"/>
    <col min="12" max="12" width="17.5546875" customWidth="1"/>
  </cols>
  <sheetData>
    <row r="1" spans="1:15" x14ac:dyDescent="0.3">
      <c r="A1" s="1" t="s">
        <v>248</v>
      </c>
      <c r="B1" s="1"/>
      <c r="D1" s="68" t="s">
        <v>249</v>
      </c>
      <c r="E1" s="47"/>
      <c r="F1" s="47"/>
      <c r="G1" s="47"/>
      <c r="H1" s="47"/>
      <c r="I1" s="47"/>
      <c r="J1" s="47"/>
      <c r="L1" s="69" t="s">
        <v>250</v>
      </c>
    </row>
    <row r="2" spans="1:15" x14ac:dyDescent="0.3">
      <c r="A2" t="s">
        <v>118</v>
      </c>
      <c r="B2">
        <f>'Input + Tire Forces'!B2</f>
        <v>700</v>
      </c>
      <c r="D2" s="47" t="s">
        <v>49</v>
      </c>
      <c r="E2" s="47">
        <f>'Input + Tire Forces'!L40</f>
        <v>671</v>
      </c>
      <c r="F2" s="47"/>
      <c r="G2" s="47"/>
      <c r="H2" s="47" t="s">
        <v>47</v>
      </c>
      <c r="I2" s="47">
        <f>'Input + Tire Forces'!Q40</f>
        <v>200</v>
      </c>
      <c r="J2" s="47"/>
      <c r="L2" s="1">
        <f>(B2*B3)/((1/G10)+(1/G11))^-1</f>
        <v>0.4230370295537092</v>
      </c>
    </row>
    <row r="3" spans="1:15" x14ac:dyDescent="0.3">
      <c r="A3" t="s">
        <v>251</v>
      </c>
      <c r="B3">
        <f>'Input + Tire Forces'!T34</f>
        <v>7.3839600000000001</v>
      </c>
      <c r="D3" s="47" t="s">
        <v>50</v>
      </c>
      <c r="E3" s="47">
        <f>'Input + Tire Forces'!L41</f>
        <v>533</v>
      </c>
      <c r="F3" s="47"/>
      <c r="G3" s="47"/>
      <c r="H3" s="47" t="s">
        <v>48</v>
      </c>
      <c r="I3" s="47">
        <f>'Input + Tire Forces'!Q41</f>
        <v>250</v>
      </c>
      <c r="J3" s="47"/>
      <c r="O3" t="s">
        <v>252</v>
      </c>
    </row>
    <row r="4" spans="1:15" x14ac:dyDescent="0.3">
      <c r="A4" t="s">
        <v>71</v>
      </c>
      <c r="B4">
        <f>'Input + Tire Forces'!B6</f>
        <v>48</v>
      </c>
      <c r="D4" s="47" t="s">
        <v>51</v>
      </c>
      <c r="E4" s="70">
        <f>(I2*(I4)^2)+(E8*(I6)^2)</f>
        <v>105.9442420150765</v>
      </c>
      <c r="F4" s="47"/>
      <c r="G4" s="47"/>
      <c r="H4" s="47" t="s">
        <v>45</v>
      </c>
      <c r="I4" s="47">
        <f>'Input + Tire Forces'!Q42</f>
        <v>0.5</v>
      </c>
      <c r="J4" s="47"/>
      <c r="O4" t="s">
        <v>253</v>
      </c>
    </row>
    <row r="5" spans="1:15" x14ac:dyDescent="0.3">
      <c r="A5" t="s">
        <v>72</v>
      </c>
      <c r="B5">
        <f>'Input + Tire Forces'!B7</f>
        <v>48</v>
      </c>
      <c r="D5" s="47" t="s">
        <v>52</v>
      </c>
      <c r="E5" s="70">
        <f>(I3*(I5)^2)+(E9*(I7)^2)</f>
        <v>144.08854494898566</v>
      </c>
      <c r="F5" s="47"/>
      <c r="G5" s="47"/>
      <c r="H5" s="47" t="s">
        <v>46</v>
      </c>
      <c r="I5" s="47">
        <f>'Input + Tire Forces'!Q43</f>
        <v>0.5</v>
      </c>
      <c r="J5" s="47"/>
    </row>
    <row r="6" spans="1:15" x14ac:dyDescent="0.3">
      <c r="D6" s="47" t="s">
        <v>53</v>
      </c>
      <c r="E6" s="70">
        <f>(E2*E4)/(E2+E4)</f>
        <v>91.497668105167392</v>
      </c>
      <c r="F6" s="47"/>
      <c r="G6" s="47"/>
      <c r="H6" s="47" t="s">
        <v>57</v>
      </c>
      <c r="I6" s="47">
        <f>'Input + Tire Forces'!Q44</f>
        <v>0.5</v>
      </c>
      <c r="J6" s="47"/>
    </row>
    <row r="7" spans="1:15" x14ac:dyDescent="0.3">
      <c r="A7" s="71" t="s">
        <v>254</v>
      </c>
      <c r="D7" s="47" t="s">
        <v>54</v>
      </c>
      <c r="E7" s="47">
        <f>(E3*E5)/(E3+E5)</f>
        <v>113.42562952914186</v>
      </c>
      <c r="F7" s="47"/>
      <c r="G7" s="47"/>
      <c r="H7" s="47" t="s">
        <v>58</v>
      </c>
      <c r="I7" s="47">
        <f>'Input + Tire Forces'!Q45</f>
        <v>0.5</v>
      </c>
      <c r="J7" s="47"/>
    </row>
    <row r="8" spans="1:15" x14ac:dyDescent="0.3">
      <c r="A8" s="25" t="s">
        <v>255</v>
      </c>
      <c r="B8">
        <v>2.8</v>
      </c>
      <c r="D8" s="47" t="s">
        <v>55</v>
      </c>
      <c r="E8" s="70">
        <f>E26</f>
        <v>223.77696806030602</v>
      </c>
      <c r="F8" s="47"/>
      <c r="G8" s="47"/>
      <c r="H8" s="47"/>
      <c r="I8" s="47"/>
      <c r="J8" s="47"/>
      <c r="L8" s="1"/>
    </row>
    <row r="9" spans="1:15" x14ac:dyDescent="0.3">
      <c r="A9" s="25" t="s">
        <v>256</v>
      </c>
      <c r="B9">
        <v>3</v>
      </c>
      <c r="D9" s="47" t="s">
        <v>56</v>
      </c>
      <c r="E9" s="70">
        <f>I26</f>
        <v>326.35417979594263</v>
      </c>
      <c r="F9" s="47"/>
      <c r="G9" s="47"/>
      <c r="H9" s="47"/>
      <c r="I9" s="47"/>
      <c r="J9" s="47"/>
      <c r="M9" s="26"/>
    </row>
    <row r="10" spans="1:15" x14ac:dyDescent="0.3">
      <c r="A10" t="s">
        <v>257</v>
      </c>
      <c r="B10">
        <f>(B2*B3)/B8</f>
        <v>1845.99</v>
      </c>
      <c r="D10" s="47" t="s">
        <v>59</v>
      </c>
      <c r="E10" s="70">
        <f>((E6*B4^2)/2)/57.3</f>
        <v>1839.5342697583392</v>
      </c>
      <c r="F10" s="47" t="s">
        <v>61</v>
      </c>
      <c r="G10" s="47">
        <f>E10*12</f>
        <v>22074.41123710007</v>
      </c>
      <c r="H10" s="47"/>
      <c r="I10" s="47"/>
      <c r="J10" s="47"/>
      <c r="L10" s="27" t="s">
        <v>258</v>
      </c>
      <c r="M10" s="72"/>
    </row>
    <row r="11" spans="1:15" x14ac:dyDescent="0.3">
      <c r="A11" t="s">
        <v>259</v>
      </c>
      <c r="B11">
        <f>(B2*B3)/B9</f>
        <v>1722.924</v>
      </c>
      <c r="D11" s="47" t="s">
        <v>60</v>
      </c>
      <c r="E11" s="47">
        <f>((E7*B5^2)/2)/57.3</f>
        <v>2280.3896198529046</v>
      </c>
      <c r="F11" s="47" t="s">
        <v>61</v>
      </c>
      <c r="G11" s="47">
        <f>E11*12</f>
        <v>27364.675438234855</v>
      </c>
      <c r="H11" s="47"/>
      <c r="I11" s="47"/>
      <c r="J11" s="47"/>
      <c r="L11" s="15" t="s">
        <v>260</v>
      </c>
      <c r="M11" s="72">
        <v>3770000</v>
      </c>
    </row>
    <row r="12" spans="1:15" x14ac:dyDescent="0.3">
      <c r="D12" s="47"/>
      <c r="E12" s="47"/>
      <c r="F12" s="47"/>
      <c r="G12" s="47"/>
      <c r="H12" s="47"/>
      <c r="I12" s="47"/>
      <c r="J12" s="47"/>
      <c r="L12" s="15" t="s">
        <v>261</v>
      </c>
      <c r="M12" s="72">
        <v>26900000</v>
      </c>
    </row>
    <row r="13" spans="1:15" x14ac:dyDescent="0.3">
      <c r="A13" t="s">
        <v>262</v>
      </c>
      <c r="B13" s="26">
        <f>ABS((((PI()/180)*((B10*E2*(B4^2/2))/((E2*(B4^2/2)*(PI()/180))-B10)))-((PI()*(I2*I4^2)*(B4^2/2))/180)))</f>
        <v>1133.3039138404531</v>
      </c>
      <c r="D13" s="103" t="s">
        <v>263</v>
      </c>
      <c r="E13" s="47"/>
      <c r="F13" s="47"/>
      <c r="G13" s="47"/>
      <c r="H13" s="47"/>
      <c r="I13" s="47"/>
      <c r="J13" s="47"/>
      <c r="L13" s="15" t="s">
        <v>264</v>
      </c>
      <c r="M13" s="72">
        <v>11600000</v>
      </c>
    </row>
    <row r="14" spans="1:15" x14ac:dyDescent="0.3">
      <c r="A14" t="s">
        <v>265</v>
      </c>
      <c r="B14" s="26">
        <f>ABS((((PI()/180)*((B11*E3*(B5^2/2))/((E3*(B5^2/2)*(PI()/180))-B11)))-((PI()*(I3*I5^2)*(B5^2/2))/180)))</f>
        <v>796.34850915520019</v>
      </c>
      <c r="D14" s="73" t="s">
        <v>266</v>
      </c>
      <c r="E14" s="47" t="s">
        <v>267</v>
      </c>
      <c r="F14" s="47" t="s">
        <v>268</v>
      </c>
      <c r="G14" s="47"/>
      <c r="H14" s="73" t="s">
        <v>269</v>
      </c>
      <c r="I14" s="47" t="s">
        <v>267</v>
      </c>
      <c r="J14" s="47" t="s">
        <v>268</v>
      </c>
      <c r="L14" s="15" t="s">
        <v>270</v>
      </c>
      <c r="M14" s="72">
        <v>11600000</v>
      </c>
    </row>
    <row r="15" spans="1:15" x14ac:dyDescent="0.3">
      <c r="D15" s="47" t="s">
        <v>271</v>
      </c>
      <c r="E15" s="47">
        <v>0.625</v>
      </c>
      <c r="F15" s="47">
        <v>0</v>
      </c>
      <c r="G15" s="47"/>
      <c r="H15" s="47" t="s">
        <v>271</v>
      </c>
      <c r="I15" s="47">
        <v>0.625</v>
      </c>
      <c r="J15" s="47">
        <v>0</v>
      </c>
      <c r="L15" s="15"/>
      <c r="M15" s="15"/>
    </row>
    <row r="16" spans="1:15" x14ac:dyDescent="0.3">
      <c r="A16" s="1" t="s">
        <v>442</v>
      </c>
      <c r="D16" s="47" t="s">
        <v>273</v>
      </c>
      <c r="E16" s="47">
        <v>24.36</v>
      </c>
      <c r="F16" s="47"/>
      <c r="G16" s="47"/>
      <c r="H16" s="47" t="s">
        <v>273</v>
      </c>
      <c r="I16" s="47">
        <v>24.62</v>
      </c>
      <c r="J16" s="47"/>
      <c r="L16" s="27" t="s">
        <v>274</v>
      </c>
      <c r="M16" s="15"/>
    </row>
    <row r="17" spans="1:21" x14ac:dyDescent="0.3">
      <c r="A17" t="s">
        <v>439</v>
      </c>
      <c r="B17" s="26">
        <f>(((360*'Input + Tire Forces'!$L$4*$B$2*$B$3)/(PI()*$B$4^2))*(1/B8))-($I$2*$I$4^2)</f>
        <v>106.08041774279795</v>
      </c>
      <c r="D17" s="47" t="s">
        <v>276</v>
      </c>
      <c r="E17" s="47">
        <v>0.5</v>
      </c>
      <c r="F17" s="47">
        <v>0</v>
      </c>
      <c r="G17" s="47"/>
      <c r="H17" s="47" t="s">
        <v>276</v>
      </c>
      <c r="I17" s="47">
        <v>0.5</v>
      </c>
      <c r="J17" s="47">
        <v>0</v>
      </c>
      <c r="L17" s="15" t="s">
        <v>260</v>
      </c>
      <c r="M17" s="72">
        <v>10000000</v>
      </c>
    </row>
    <row r="18" spans="1:21" x14ac:dyDescent="0.3">
      <c r="A18" t="s">
        <v>438</v>
      </c>
      <c r="B18">
        <f>(((360*'Input + Tire Forces'!$L$4*$B$2*$B$3)/(PI()*$B$5^2))*(1/B9))-($I$3*$I$5^2)</f>
        <v>83.175056559944721</v>
      </c>
      <c r="D18" s="47" t="s">
        <v>278</v>
      </c>
      <c r="E18" s="47">
        <v>3</v>
      </c>
      <c r="F18" s="47"/>
      <c r="G18" s="47"/>
      <c r="H18" s="47" t="s">
        <v>278</v>
      </c>
      <c r="I18" s="47">
        <v>2.5</v>
      </c>
      <c r="J18" s="47"/>
      <c r="L18" s="15" t="s">
        <v>261</v>
      </c>
      <c r="M18" s="72">
        <v>10400000</v>
      </c>
    </row>
    <row r="19" spans="1:21" x14ac:dyDescent="0.3">
      <c r="A19" t="s">
        <v>440</v>
      </c>
      <c r="B19">
        <f>(((360*'Input + Tire Forces'!$L$5*$B$2*$B$3)/(PI()*$B$4^2))*(1/B8))-($I$2*$I$4^2)</f>
        <v>106.08041774279795</v>
      </c>
      <c r="D19" s="47"/>
      <c r="E19" s="47"/>
      <c r="F19" s="47"/>
      <c r="G19" s="47"/>
      <c r="H19" s="47"/>
      <c r="I19" s="47"/>
      <c r="J19" s="47"/>
      <c r="L19" s="15" t="s">
        <v>264</v>
      </c>
      <c r="M19" s="72">
        <v>29700000</v>
      </c>
      <c r="O19" t="s">
        <v>395</v>
      </c>
    </row>
    <row r="20" spans="1:21" x14ac:dyDescent="0.3">
      <c r="A20" t="s">
        <v>441</v>
      </c>
      <c r="B20">
        <f>(((360*'Input + Tire Forces'!$L$5*$B$2*$B$3)/(PI()*$B$5^2))*(1/B9))-($I$3*$I$5^2)</f>
        <v>83.175056559944721</v>
      </c>
      <c r="D20" s="47" t="s">
        <v>279</v>
      </c>
      <c r="E20" s="70">
        <v>3770000</v>
      </c>
      <c r="F20" s="47"/>
      <c r="G20" s="47"/>
      <c r="H20" s="47" t="s">
        <v>279</v>
      </c>
      <c r="I20" s="70">
        <v>3770000</v>
      </c>
      <c r="J20" s="47"/>
      <c r="L20" s="15" t="s">
        <v>270</v>
      </c>
      <c r="M20" s="72">
        <v>29000000</v>
      </c>
    </row>
    <row r="21" spans="1:21" x14ac:dyDescent="0.3">
      <c r="D21" s="47" t="s">
        <v>280</v>
      </c>
      <c r="E21" s="70">
        <v>10000000</v>
      </c>
      <c r="F21" s="47"/>
      <c r="G21" s="47"/>
      <c r="H21" s="47" t="s">
        <v>280</v>
      </c>
      <c r="I21" s="70">
        <v>10000000</v>
      </c>
      <c r="J21" s="47"/>
      <c r="M21" s="26"/>
    </row>
    <row r="22" spans="1:21" x14ac:dyDescent="0.3">
      <c r="A22" s="108" t="s">
        <v>272</v>
      </c>
      <c r="D22" s="47"/>
      <c r="E22" s="70"/>
      <c r="F22" s="47"/>
      <c r="G22" s="47"/>
      <c r="H22" s="47"/>
      <c r="I22" s="70"/>
      <c r="J22" s="47"/>
    </row>
    <row r="23" spans="1:21" x14ac:dyDescent="0.3">
      <c r="A23" t="s">
        <v>439</v>
      </c>
      <c r="B23" s="26">
        <f>B17/(I6^2)</f>
        <v>424.32167097119179</v>
      </c>
      <c r="D23" s="47" t="s">
        <v>281</v>
      </c>
      <c r="E23" s="70">
        <f>((PI()*(E15^4-F15^4))*E20)/(32*E16*E18^2)</f>
        <v>257.59742686778344</v>
      </c>
      <c r="F23" s="47"/>
      <c r="G23" s="47"/>
      <c r="H23" s="47" t="s">
        <v>281</v>
      </c>
      <c r="I23" s="70">
        <f>((PI()*(I15^4-J15^4))*I20)/(32*I16*I18^2)</f>
        <v>367.02297232489258</v>
      </c>
      <c r="J23" s="47"/>
      <c r="L23" s="1"/>
    </row>
    <row r="24" spans="1:21" x14ac:dyDescent="0.3">
      <c r="A24" t="s">
        <v>438</v>
      </c>
      <c r="B24" s="26">
        <f>B18/(I7^2)</f>
        <v>332.70022623977889</v>
      </c>
      <c r="D24" s="47" t="s">
        <v>282</v>
      </c>
      <c r="E24" s="70">
        <f>(3*PI()*(E17^4-F17^4)*E21)/(64*E18^3)</f>
        <v>3408.8461953014248</v>
      </c>
      <c r="F24" s="47"/>
      <c r="G24" s="47"/>
      <c r="H24" s="47" t="s">
        <v>282</v>
      </c>
      <c r="I24" s="70">
        <f>(3*PI()*(I17^4-J17^4)*I21)/(64*I18^3)</f>
        <v>5890.4862254808622</v>
      </c>
      <c r="J24" s="47"/>
      <c r="M24" s="26"/>
    </row>
    <row r="25" spans="1:21" x14ac:dyDescent="0.3">
      <c r="A25" t="s">
        <v>440</v>
      </c>
      <c r="B25" s="26">
        <f>B19/(I6^2)</f>
        <v>424.32167097119179</v>
      </c>
      <c r="D25" s="47"/>
      <c r="E25" s="47"/>
      <c r="F25" s="47"/>
      <c r="G25" s="47"/>
      <c r="H25" s="47"/>
      <c r="I25" s="47"/>
      <c r="J25" s="47"/>
      <c r="M25" s="26"/>
    </row>
    <row r="26" spans="1:21" x14ac:dyDescent="0.3">
      <c r="A26" t="s">
        <v>441</v>
      </c>
      <c r="B26" s="26">
        <f>B20/(I7^2)</f>
        <v>332.70022623977889</v>
      </c>
      <c r="D26" s="47" t="s">
        <v>275</v>
      </c>
      <c r="E26" s="70">
        <f>((1/E23)+(1/E24)+(1/E24))^-1</f>
        <v>223.77696806030602</v>
      </c>
      <c r="F26" s="47"/>
      <c r="G26" s="47"/>
      <c r="H26" s="47" t="s">
        <v>277</v>
      </c>
      <c r="I26" s="70">
        <f>((1/I23)+(1/I24)+(1/I24))^-1</f>
        <v>326.35417979594263</v>
      </c>
      <c r="J26" s="47"/>
      <c r="M26" s="26"/>
    </row>
    <row r="27" spans="1:21" x14ac:dyDescent="0.3">
      <c r="E27" s="26"/>
      <c r="I27" s="26"/>
      <c r="M27" s="26"/>
    </row>
    <row r="29" spans="1:21" x14ac:dyDescent="0.3">
      <c r="A29" s="1" t="s">
        <v>248</v>
      </c>
      <c r="B29" s="1"/>
      <c r="D29" s="74" t="s">
        <v>283</v>
      </c>
      <c r="E29" s="75"/>
      <c r="F29" s="75"/>
      <c r="G29" s="75"/>
      <c r="H29" s="75"/>
      <c r="I29" s="75"/>
      <c r="J29" s="75"/>
      <c r="L29" s="69" t="s">
        <v>250</v>
      </c>
      <c r="U29" t="s">
        <v>486</v>
      </c>
    </row>
    <row r="30" spans="1:21" x14ac:dyDescent="0.3">
      <c r="A30" t="s">
        <v>118</v>
      </c>
      <c r="B30">
        <f>'Input + Tire Forces'!B2</f>
        <v>700</v>
      </c>
      <c r="D30" s="75" t="s">
        <v>49</v>
      </c>
      <c r="E30" s="75">
        <f>'Input + Tire Forces'!L40</f>
        <v>671</v>
      </c>
      <c r="F30" s="75"/>
      <c r="G30" s="75"/>
      <c r="H30" s="75" t="s">
        <v>47</v>
      </c>
      <c r="I30" s="75">
        <f>'Input + Tire Forces'!Q40</f>
        <v>200</v>
      </c>
      <c r="J30" s="75"/>
      <c r="L30" s="1">
        <f>(B30*B31)/((1/G38)+(1/G39))^-1</f>
        <v>0.45579470152479379</v>
      </c>
    </row>
    <row r="31" spans="1:21" x14ac:dyDescent="0.3">
      <c r="A31" t="s">
        <v>251</v>
      </c>
      <c r="B31">
        <f>'Input + Tire Forces'!T34</f>
        <v>7.3839600000000001</v>
      </c>
      <c r="D31" s="75" t="s">
        <v>50</v>
      </c>
      <c r="E31" s="75">
        <f>'Input + Tire Forces'!L41</f>
        <v>533</v>
      </c>
      <c r="F31" s="75"/>
      <c r="G31" s="75"/>
      <c r="H31" s="75" t="s">
        <v>48</v>
      </c>
      <c r="I31" s="75">
        <f>'Input + Tire Forces'!Q41</f>
        <v>250</v>
      </c>
      <c r="J31" s="75"/>
    </row>
    <row r="32" spans="1:21" x14ac:dyDescent="0.3">
      <c r="A32" t="s">
        <v>71</v>
      </c>
      <c r="B32">
        <f>'Input + Tire Forces'!B6</f>
        <v>48</v>
      </c>
      <c r="D32" s="75" t="s">
        <v>51</v>
      </c>
      <c r="E32" s="76">
        <f>(I30*(I32)^2)+(E36*(I34)^2)</f>
        <v>86.220439521872663</v>
      </c>
      <c r="F32" s="75"/>
      <c r="G32" s="75"/>
      <c r="H32" s="75" t="s">
        <v>45</v>
      </c>
      <c r="I32" s="75">
        <f>'Input + Tire Forces'!Q42</f>
        <v>0.5</v>
      </c>
      <c r="J32" s="75"/>
    </row>
    <row r="33" spans="1:13" x14ac:dyDescent="0.3">
      <c r="A33" t="s">
        <v>72</v>
      </c>
      <c r="B33">
        <f>'Input + Tire Forces'!B7</f>
        <v>48</v>
      </c>
      <c r="D33" s="75" t="s">
        <v>52</v>
      </c>
      <c r="E33" s="76">
        <f>(I31*(I33)^2)+(E37*(I35)^2)</f>
        <v>158.48069680042374</v>
      </c>
      <c r="F33" s="75"/>
      <c r="G33" s="75"/>
      <c r="H33" s="75" t="s">
        <v>46</v>
      </c>
      <c r="I33" s="75">
        <f>'Input + Tire Forces'!Q43</f>
        <v>0.5</v>
      </c>
      <c r="J33" s="75"/>
    </row>
    <row r="34" spans="1:13" x14ac:dyDescent="0.3">
      <c r="D34" s="75" t="s">
        <v>53</v>
      </c>
      <c r="E34" s="76">
        <f>(E30*E32)/(E30+E32)</f>
        <v>76.403002216510316</v>
      </c>
      <c r="F34" s="75"/>
      <c r="G34" s="75"/>
      <c r="H34" s="75" t="s">
        <v>57</v>
      </c>
      <c r="I34" s="75">
        <f>'Input + Tire Forces'!Q44</f>
        <v>0.5</v>
      </c>
      <c r="J34" s="75"/>
    </row>
    <row r="35" spans="1:13" x14ac:dyDescent="0.3">
      <c r="A35" s="71" t="s">
        <v>254</v>
      </c>
      <c r="D35" s="75" t="s">
        <v>54</v>
      </c>
      <c r="E35" s="75">
        <f>(E31*E33)/(E31+E33)</f>
        <v>122.15845183456479</v>
      </c>
      <c r="F35" s="75"/>
      <c r="G35" s="75"/>
      <c r="H35" s="75" t="s">
        <v>58</v>
      </c>
      <c r="I35" s="75">
        <f>'Input + Tire Forces'!Q45</f>
        <v>0.5</v>
      </c>
      <c r="J35" s="75"/>
    </row>
    <row r="36" spans="1:13" x14ac:dyDescent="0.3">
      <c r="A36" s="25" t="s">
        <v>255</v>
      </c>
      <c r="B36">
        <v>2.8</v>
      </c>
      <c r="D36" s="75" t="s">
        <v>55</v>
      </c>
      <c r="E36" s="76">
        <f>IF(E43=0,0,E54)</f>
        <v>144.88175808749065</v>
      </c>
      <c r="F36" s="75"/>
      <c r="G36" s="75"/>
      <c r="H36" s="75"/>
      <c r="I36" s="75"/>
      <c r="J36" s="75"/>
    </row>
    <row r="37" spans="1:13" x14ac:dyDescent="0.3">
      <c r="A37" s="25" t="s">
        <v>256</v>
      </c>
      <c r="B37">
        <v>3</v>
      </c>
      <c r="D37" s="75" t="s">
        <v>56</v>
      </c>
      <c r="E37" s="76">
        <f>IF(I43=0,0,I54)</f>
        <v>383.92278720169492</v>
      </c>
      <c r="F37" s="75"/>
      <c r="G37" s="75"/>
      <c r="H37" s="75"/>
      <c r="I37" s="75"/>
      <c r="J37" s="75"/>
    </row>
    <row r="38" spans="1:13" x14ac:dyDescent="0.3">
      <c r="A38" t="s">
        <v>257</v>
      </c>
      <c r="B38">
        <f>(B30*B31)/B36</f>
        <v>1845.99</v>
      </c>
      <c r="D38" s="75" t="s">
        <v>59</v>
      </c>
      <c r="E38" s="76">
        <f>((E34*B32^2)/2)/57.3</f>
        <v>1536.0603586984275</v>
      </c>
      <c r="F38" s="75" t="s">
        <v>61</v>
      </c>
      <c r="G38" s="75">
        <f>E38*12</f>
        <v>18432.724304381132</v>
      </c>
      <c r="H38" s="75"/>
      <c r="I38" s="75"/>
      <c r="J38" s="75"/>
      <c r="M38" s="26"/>
    </row>
    <row r="39" spans="1:13" x14ac:dyDescent="0.3">
      <c r="A39" t="s">
        <v>259</v>
      </c>
      <c r="B39">
        <f>(B30*B31)/B37</f>
        <v>1722.924</v>
      </c>
      <c r="D39" s="75" t="s">
        <v>60</v>
      </c>
      <c r="E39" s="75">
        <f>((E35*B33^2)/2)/57.3</f>
        <v>2455.960497616381</v>
      </c>
      <c r="F39" s="75" t="s">
        <v>61</v>
      </c>
      <c r="G39" s="75">
        <f>E39*12</f>
        <v>29471.525971396572</v>
      </c>
      <c r="H39" s="75"/>
      <c r="I39" s="75"/>
      <c r="J39" s="75"/>
      <c r="M39" s="26"/>
    </row>
    <row r="40" spans="1:13" x14ac:dyDescent="0.3">
      <c r="D40" s="75"/>
      <c r="E40" s="75"/>
      <c r="F40" s="75"/>
      <c r="G40" s="75"/>
      <c r="H40" s="75"/>
      <c r="I40" s="75"/>
      <c r="J40" s="75"/>
    </row>
    <row r="41" spans="1:13" x14ac:dyDescent="0.3">
      <c r="A41" t="s">
        <v>262</v>
      </c>
      <c r="B41" s="26">
        <f>ABS((((PI()/180)*((B38*E30*(B32^2/2))/((E30*(B32^2/2)*(PI()/180))-B38)))-((PI()*(I30*I32^2)*(B32^2/2))/180)))</f>
        <v>1133.3039138404531</v>
      </c>
      <c r="D41" s="103" t="s">
        <v>284</v>
      </c>
      <c r="E41" s="75"/>
      <c r="F41" s="75"/>
      <c r="G41" s="75"/>
      <c r="H41" s="75"/>
      <c r="I41" s="75"/>
      <c r="J41" s="75"/>
    </row>
    <row r="42" spans="1:13" x14ac:dyDescent="0.3">
      <c r="A42" t="s">
        <v>265</v>
      </c>
      <c r="B42" s="26">
        <f>ABS((((PI()/180)*((B39*E31*(B33^2/2))/((E31*(B33^2/2)*(PI()/180))-B39)))-((PI()*(I31*I33^2)*(B33^2/2))/180)))</f>
        <v>796.34850915520019</v>
      </c>
      <c r="D42" s="77" t="s">
        <v>266</v>
      </c>
      <c r="E42" s="75" t="s">
        <v>267</v>
      </c>
      <c r="F42" s="75" t="s">
        <v>268</v>
      </c>
      <c r="G42" s="75"/>
      <c r="H42" s="77" t="s">
        <v>269</v>
      </c>
      <c r="I42" s="75" t="s">
        <v>267</v>
      </c>
      <c r="J42" s="75" t="s">
        <v>268</v>
      </c>
      <c r="M42" s="26"/>
    </row>
    <row r="43" spans="1:13" x14ac:dyDescent="0.3">
      <c r="D43" s="75" t="s">
        <v>271</v>
      </c>
      <c r="E43" s="75">
        <v>0.625</v>
      </c>
      <c r="F43" s="75">
        <v>0</v>
      </c>
      <c r="G43" s="75"/>
      <c r="H43" s="75" t="s">
        <v>271</v>
      </c>
      <c r="I43" s="75">
        <v>0.625</v>
      </c>
      <c r="J43" s="75">
        <v>0.375</v>
      </c>
      <c r="M43" s="26"/>
    </row>
    <row r="44" spans="1:13" x14ac:dyDescent="0.3">
      <c r="A44" s="1" t="s">
        <v>442</v>
      </c>
      <c r="D44" s="75" t="s">
        <v>273</v>
      </c>
      <c r="E44" s="75">
        <v>24.36</v>
      </c>
      <c r="F44" s="75"/>
      <c r="G44" s="75"/>
      <c r="H44" s="75" t="s">
        <v>273</v>
      </c>
      <c r="I44" s="75">
        <v>24.62</v>
      </c>
      <c r="J44" s="75"/>
    </row>
    <row r="45" spans="1:13" x14ac:dyDescent="0.3">
      <c r="A45" t="s">
        <v>439</v>
      </c>
      <c r="B45" s="26">
        <f>(((360*'Input + Tire Forces'!$L$4*$B$2*$B$3)/(PI()*$B$4^2))*(1/B36))-($I$2*$I$4^2)</f>
        <v>106.08041774279795</v>
      </c>
      <c r="D45" s="75" t="s">
        <v>285</v>
      </c>
      <c r="E45" s="75">
        <v>1</v>
      </c>
      <c r="F45" s="75"/>
      <c r="G45" s="75"/>
      <c r="H45" s="75" t="s">
        <v>285</v>
      </c>
      <c r="I45" s="75">
        <v>1</v>
      </c>
      <c r="J45" s="75"/>
    </row>
    <row r="46" spans="1:13" x14ac:dyDescent="0.3">
      <c r="A46" t="s">
        <v>438</v>
      </c>
      <c r="B46">
        <f>(((360*'Input + Tire Forces'!$L$4*$B$2*$B$3)/(PI()*$B$5^2))*(1/B37))-($I$3*$I$5^2)</f>
        <v>83.175056559944721</v>
      </c>
      <c r="D46" s="75" t="s">
        <v>278</v>
      </c>
      <c r="E46" s="75">
        <v>4</v>
      </c>
      <c r="F46" s="75"/>
      <c r="G46" s="75"/>
      <c r="H46" s="75" t="s">
        <v>278</v>
      </c>
      <c r="I46" s="75">
        <v>4</v>
      </c>
      <c r="J46" s="75"/>
    </row>
    <row r="47" spans="1:13" x14ac:dyDescent="0.3">
      <c r="A47" t="s">
        <v>440</v>
      </c>
      <c r="B47">
        <f>(((360*'Input + Tire Forces'!$L$5*$B$2*$B$3)/(PI()*$B$4^2))*(1/B36))-($I$2*$I$4^2)</f>
        <v>106.08041774279795</v>
      </c>
      <c r="D47" s="75"/>
      <c r="E47" s="75"/>
      <c r="F47" s="75"/>
      <c r="G47" s="75"/>
      <c r="H47" s="75"/>
      <c r="I47" s="75"/>
      <c r="J47" s="75"/>
    </row>
    <row r="48" spans="1:13" x14ac:dyDescent="0.3">
      <c r="A48" t="s">
        <v>441</v>
      </c>
      <c r="B48">
        <f>(((360*'Input + Tire Forces'!$L$5*$B$2*$B$3)/(PI()*$B$5^2))*(1/B37))-($I$3*$I$5^2)</f>
        <v>83.175056559944721</v>
      </c>
      <c r="D48" s="75" t="s">
        <v>279</v>
      </c>
      <c r="E48" s="76">
        <v>3770000</v>
      </c>
      <c r="F48" s="75"/>
      <c r="G48" s="75"/>
      <c r="H48" s="75" t="s">
        <v>279</v>
      </c>
      <c r="I48" s="76">
        <v>11600000</v>
      </c>
      <c r="J48" s="75"/>
    </row>
    <row r="49" spans="1:10" x14ac:dyDescent="0.3">
      <c r="D49" s="75" t="s">
        <v>280</v>
      </c>
      <c r="E49" s="76">
        <v>10000000</v>
      </c>
      <c r="F49" s="75"/>
      <c r="G49" s="75"/>
      <c r="H49" s="75" t="s">
        <v>280</v>
      </c>
      <c r="I49" s="76">
        <v>29700000</v>
      </c>
      <c r="J49" s="75"/>
    </row>
    <row r="50" spans="1:10" x14ac:dyDescent="0.3">
      <c r="A50" s="108" t="s">
        <v>272</v>
      </c>
      <c r="D50" s="75"/>
      <c r="E50" s="76"/>
      <c r="F50" s="75"/>
      <c r="G50" s="75"/>
      <c r="H50" s="75"/>
      <c r="I50" s="76"/>
      <c r="J50" s="75"/>
    </row>
    <row r="51" spans="1:10" x14ac:dyDescent="0.3">
      <c r="A51" t="s">
        <v>439</v>
      </c>
      <c r="B51" s="26">
        <f>B45/(I34^2)</f>
        <v>424.32167097119179</v>
      </c>
      <c r="D51" s="75" t="s">
        <v>281</v>
      </c>
      <c r="E51" s="76">
        <f>((PI()*(E43^4-F43^4))*E48)/(32*E44*E46^2)</f>
        <v>144.8985526131282</v>
      </c>
      <c r="F51" s="75"/>
      <c r="G51" s="75"/>
      <c r="H51" s="75" t="s">
        <v>281</v>
      </c>
      <c r="I51" s="76">
        <f>((PI()*(I43^4-J43^4))*I48)/(32*I44*I46^2)</f>
        <v>383.962494124503</v>
      </c>
      <c r="J51" s="75"/>
    </row>
    <row r="52" spans="1:10" x14ac:dyDescent="0.3">
      <c r="A52" t="s">
        <v>438</v>
      </c>
      <c r="B52" s="26">
        <f>B46/(I35^2)</f>
        <v>332.70022623977889</v>
      </c>
      <c r="D52" s="75" t="s">
        <v>282</v>
      </c>
      <c r="E52" s="76">
        <f>(3*(E45*E46^3)*E49)/(12*E46^3)</f>
        <v>2500000</v>
      </c>
      <c r="F52" s="75"/>
      <c r="G52" s="75"/>
      <c r="H52" s="75" t="s">
        <v>282</v>
      </c>
      <c r="I52" s="76">
        <f>(3*(I45*I46^3)*I49)/(12*I46^3)</f>
        <v>7425000</v>
      </c>
      <c r="J52" s="75"/>
    </row>
    <row r="53" spans="1:10" x14ac:dyDescent="0.3">
      <c r="A53" t="s">
        <v>440</v>
      </c>
      <c r="B53" s="26">
        <f>B47/(I34^2)</f>
        <v>424.32167097119179</v>
      </c>
      <c r="D53" s="75"/>
      <c r="E53" s="75"/>
      <c r="F53" s="75"/>
      <c r="G53" s="75"/>
      <c r="H53" s="75"/>
      <c r="I53" s="75"/>
      <c r="J53" s="75"/>
    </row>
    <row r="54" spans="1:10" x14ac:dyDescent="0.3">
      <c r="A54" t="s">
        <v>441</v>
      </c>
      <c r="B54" s="26">
        <f>B48/(I35^2)</f>
        <v>332.70022623977889</v>
      </c>
      <c r="D54" s="75" t="s">
        <v>275</v>
      </c>
      <c r="E54" s="76">
        <f>((1/E51)+(1/E52)+(1/E52))^-1</f>
        <v>144.88175808749065</v>
      </c>
      <c r="F54" s="75"/>
      <c r="G54" s="75"/>
      <c r="H54" s="75" t="s">
        <v>277</v>
      </c>
      <c r="I54" s="76">
        <f>((1/I51)+(1/I52)+(1/I52))^-1</f>
        <v>383.92278720169492</v>
      </c>
      <c r="J54" s="75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B4AED-6CE8-4FC8-B75C-2FACFBF9FF29}">
  <dimension ref="A1:S42"/>
  <sheetViews>
    <sheetView topLeftCell="B1" zoomScale="85" zoomScaleNormal="85" workbookViewId="0">
      <selection activeCell="I9" sqref="I9"/>
    </sheetView>
  </sheetViews>
  <sheetFormatPr defaultRowHeight="14.4" x14ac:dyDescent="0.3"/>
  <cols>
    <col min="1" max="1" width="32.5546875" customWidth="1"/>
    <col min="4" max="4" width="46.33203125" customWidth="1"/>
    <col min="7" max="7" width="9.88671875" customWidth="1"/>
    <col min="8" max="8" width="15.109375" customWidth="1"/>
    <col min="11" max="11" width="20.77734375" customWidth="1"/>
    <col min="12" max="12" width="16.109375" customWidth="1"/>
    <col min="13" max="13" width="20.44140625" customWidth="1"/>
    <col min="14" max="14" width="19.33203125" customWidth="1"/>
    <col min="18" max="18" width="14.44140625" customWidth="1"/>
    <col min="19" max="19" width="13.88671875" customWidth="1"/>
  </cols>
  <sheetData>
    <row r="1" spans="1:19" x14ac:dyDescent="0.3">
      <c r="A1" t="s">
        <v>151</v>
      </c>
      <c r="D1" s="121" t="s">
        <v>172</v>
      </c>
      <c r="E1" s="121"/>
      <c r="F1" s="121"/>
      <c r="H1" s="121" t="s">
        <v>322</v>
      </c>
      <c r="I1" s="121"/>
      <c r="J1" s="57"/>
      <c r="K1" s="1" t="s">
        <v>326</v>
      </c>
      <c r="L1" s="1" t="s">
        <v>325</v>
      </c>
      <c r="M1" s="1" t="s">
        <v>182</v>
      </c>
      <c r="N1" s="1" t="s">
        <v>183</v>
      </c>
      <c r="O1" s="1" t="s">
        <v>319</v>
      </c>
      <c r="P1" s="1" t="s">
        <v>178</v>
      </c>
      <c r="Q1" s="1" t="s">
        <v>179</v>
      </c>
      <c r="R1" s="1" t="s">
        <v>320</v>
      </c>
      <c r="S1" s="1" t="s">
        <v>321</v>
      </c>
    </row>
    <row r="2" spans="1:19" x14ac:dyDescent="0.3">
      <c r="A2" t="s">
        <v>152</v>
      </c>
      <c r="B2">
        <f>'Input + Tire Forces'!B2</f>
        <v>700</v>
      </c>
      <c r="D2" t="s">
        <v>173</v>
      </c>
      <c r="E2">
        <f>'Input + Tire Forces'!I11</f>
        <v>169</v>
      </c>
      <c r="F2" t="s">
        <v>174</v>
      </c>
      <c r="H2" t="s">
        <v>175</v>
      </c>
      <c r="I2">
        <f>B2*E7</f>
        <v>1087.0487473442208</v>
      </c>
      <c r="L2">
        <v>0</v>
      </c>
      <c r="M2">
        <f>(2*L2*$B$30)*($B$13*$B$14/$B$26)*($B$15/$B$3)*($B$28/(2*$B$6))*$B$31</f>
        <v>0</v>
      </c>
      <c r="N2">
        <f>(2*$B$30*L2)*($B$20*$B$22/$B$26)*($B$21/$B$3)*($B$28/(2*$B$6))*(1-$B$31)</f>
        <v>0</v>
      </c>
      <c r="O2">
        <f>$B$2</f>
        <v>700</v>
      </c>
      <c r="P2">
        <f>'Input + Tire Forces'!$L$15</f>
        <v>336</v>
      </c>
      <c r="Q2">
        <f>'Input + Tire Forces'!$L$16</f>
        <v>364</v>
      </c>
      <c r="R2">
        <f t="shared" ref="R2:R42" si="0">M2/P2</f>
        <v>0</v>
      </c>
      <c r="S2">
        <f t="shared" ref="S2:S42" si="1">N2/Q2</f>
        <v>0</v>
      </c>
    </row>
    <row r="3" spans="1:19" x14ac:dyDescent="0.3">
      <c r="A3" t="s">
        <v>153</v>
      </c>
      <c r="B3">
        <f>'Input + Tire Forces'!L2</f>
        <v>1.7</v>
      </c>
      <c r="D3" t="s">
        <v>176</v>
      </c>
      <c r="E3">
        <f>'Input + Tire Forces'!T9</f>
        <v>0</v>
      </c>
      <c r="F3" t="s">
        <v>177</v>
      </c>
      <c r="H3" t="s">
        <v>181</v>
      </c>
      <c r="I3">
        <f>B2</f>
        <v>700</v>
      </c>
      <c r="L3">
        <f>L2+5</f>
        <v>5</v>
      </c>
      <c r="M3">
        <f t="shared" ref="M3:M42" si="2">(2*L3*$B$30)*($B$13*$B$14/$B$26)*($B$15/$B$3)*($B$28/(2*$B$6))*$B$31</f>
        <v>25.711567198501839</v>
      </c>
      <c r="N3">
        <f t="shared" ref="N3:N42" si="3">(2*$B$30*L3)*($B$20*$B$22/$B$26)*($B$21/$B$3)*($B$28/(2*$B$6))*(1-$B$31)</f>
        <v>6.4496383442265808</v>
      </c>
      <c r="O3">
        <f t="shared" ref="O3:O42" si="4">$B$2</f>
        <v>700</v>
      </c>
      <c r="P3">
        <f>'Input + Tire Forces'!$L$15</f>
        <v>336</v>
      </c>
      <c r="Q3">
        <f>'Input + Tire Forces'!$L$16</f>
        <v>364</v>
      </c>
      <c r="R3">
        <f t="shared" si="0"/>
        <v>7.6522521424112616E-2</v>
      </c>
      <c r="S3">
        <f t="shared" si="1"/>
        <v>1.7718786659963133E-2</v>
      </c>
    </row>
    <row r="4" spans="1:19" x14ac:dyDescent="0.3">
      <c r="A4" t="s">
        <v>4</v>
      </c>
      <c r="B4">
        <f>'Input + Tire Forces'!B8</f>
        <v>9.84</v>
      </c>
      <c r="H4" t="s">
        <v>178</v>
      </c>
      <c r="I4">
        <f>'Input + Tire Forces'!C50+'Input + Tire Forces'!E50</f>
        <v>336</v>
      </c>
      <c r="L4">
        <f t="shared" ref="L4:L42" si="5">L3+5</f>
        <v>10</v>
      </c>
      <c r="M4">
        <f t="shared" si="2"/>
        <v>51.423134397003679</v>
      </c>
      <c r="N4">
        <f t="shared" si="3"/>
        <v>12.899276688453162</v>
      </c>
      <c r="O4">
        <f t="shared" si="4"/>
        <v>700</v>
      </c>
      <c r="P4">
        <f>'Input + Tire Forces'!$L$15</f>
        <v>336</v>
      </c>
      <c r="Q4">
        <f>'Input + Tire Forces'!$L$16</f>
        <v>364</v>
      </c>
      <c r="R4">
        <f t="shared" si="0"/>
        <v>0.15304504284822523</v>
      </c>
      <c r="S4">
        <f t="shared" si="1"/>
        <v>3.5437573319926266E-2</v>
      </c>
    </row>
    <row r="5" spans="1:19" x14ac:dyDescent="0.3">
      <c r="A5" t="s">
        <v>3</v>
      </c>
      <c r="B5">
        <f>'Input + Tire Forces'!B5</f>
        <v>61</v>
      </c>
      <c r="D5" t="s">
        <v>182</v>
      </c>
      <c r="E5">
        <f>(2*E2*B30)*(B13*B14/B26)*(B15/B3)*(B28/(2*B6))*B31</f>
        <v>869.05097130936235</v>
      </c>
      <c r="H5" t="s">
        <v>179</v>
      </c>
      <c r="I5">
        <f>'Input + Tire Forces'!C51+'Input + Tire Forces'!E51</f>
        <v>364</v>
      </c>
      <c r="L5">
        <f t="shared" si="5"/>
        <v>15</v>
      </c>
      <c r="M5">
        <f t="shared" si="2"/>
        <v>77.134701595505518</v>
      </c>
      <c r="N5">
        <f t="shared" si="3"/>
        <v>19.348915032679738</v>
      </c>
      <c r="O5">
        <f t="shared" si="4"/>
        <v>700</v>
      </c>
      <c r="P5">
        <f>'Input + Tire Forces'!$L$15</f>
        <v>336</v>
      </c>
      <c r="Q5">
        <f>'Input + Tire Forces'!$L$16</f>
        <v>364</v>
      </c>
      <c r="R5">
        <f t="shared" si="0"/>
        <v>0.22956756427233785</v>
      </c>
      <c r="S5">
        <f t="shared" si="1"/>
        <v>5.3156359979889392E-2</v>
      </c>
    </row>
    <row r="6" spans="1:19" x14ac:dyDescent="0.3">
      <c r="A6" t="s">
        <v>154</v>
      </c>
      <c r="B6">
        <f>'Input + Tire Forces'!B9</f>
        <v>9</v>
      </c>
      <c r="D6" t="s">
        <v>183</v>
      </c>
      <c r="E6">
        <f>(2*B30*E2)*(B20*B22/B26)*(B21/B3)*(B28/(2*B6))*(1-B31)</f>
        <v>217.99777603485839</v>
      </c>
      <c r="L6">
        <f t="shared" si="5"/>
        <v>20</v>
      </c>
      <c r="M6">
        <f t="shared" si="2"/>
        <v>102.84626879400736</v>
      </c>
      <c r="N6">
        <f t="shared" si="3"/>
        <v>25.798553376906323</v>
      </c>
      <c r="O6">
        <f t="shared" si="4"/>
        <v>700</v>
      </c>
      <c r="P6">
        <f>'Input + Tire Forces'!$L$15</f>
        <v>336</v>
      </c>
      <c r="Q6">
        <f>'Input + Tire Forces'!$L$16</f>
        <v>364</v>
      </c>
      <c r="R6">
        <f t="shared" si="0"/>
        <v>0.30609008569645046</v>
      </c>
      <c r="S6">
        <f t="shared" si="1"/>
        <v>7.0875146639852532E-2</v>
      </c>
    </row>
    <row r="7" spans="1:19" x14ac:dyDescent="0.3">
      <c r="A7" t="s">
        <v>88</v>
      </c>
      <c r="B7">
        <f>'Input + Tire Forces'!B11</f>
        <v>29.279999999999998</v>
      </c>
      <c r="D7" t="s">
        <v>317</v>
      </c>
      <c r="E7">
        <f>(E6+E5)/B2</f>
        <v>1.5529267819203154</v>
      </c>
      <c r="H7" t="s">
        <v>320</v>
      </c>
      <c r="I7">
        <f>E5/I4</f>
        <v>2.5864612241350069</v>
      </c>
      <c r="L7">
        <f t="shared" si="5"/>
        <v>25</v>
      </c>
      <c r="M7">
        <f t="shared" si="2"/>
        <v>128.55783599250921</v>
      </c>
      <c r="N7">
        <f t="shared" si="3"/>
        <v>32.248191721132905</v>
      </c>
      <c r="O7">
        <f t="shared" si="4"/>
        <v>700</v>
      </c>
      <c r="P7">
        <f>'Input + Tire Forces'!$L$15</f>
        <v>336</v>
      </c>
      <c r="Q7">
        <f>'Input + Tire Forces'!$L$16</f>
        <v>364</v>
      </c>
      <c r="R7">
        <f t="shared" si="0"/>
        <v>0.38261260712056311</v>
      </c>
      <c r="S7">
        <f t="shared" si="1"/>
        <v>8.8593933299815672E-2</v>
      </c>
    </row>
    <row r="8" spans="1:19" x14ac:dyDescent="0.3">
      <c r="A8" t="s">
        <v>85</v>
      </c>
      <c r="B8">
        <f>'Input + Tire Forces'!B10</f>
        <v>31.720000000000002</v>
      </c>
      <c r="D8" t="s">
        <v>307</v>
      </c>
      <c r="E8">
        <f>E3*1.4667/(32.2*E7)</f>
        <v>0</v>
      </c>
      <c r="H8" t="s">
        <v>321</v>
      </c>
      <c r="I8">
        <f>E6/I5</f>
        <v>0.59889498910675387</v>
      </c>
      <c r="L8">
        <f t="shared" si="5"/>
        <v>30</v>
      </c>
      <c r="M8">
        <f t="shared" si="2"/>
        <v>154.26940319101104</v>
      </c>
      <c r="N8">
        <f t="shared" si="3"/>
        <v>38.697830065359476</v>
      </c>
      <c r="O8">
        <f t="shared" si="4"/>
        <v>700</v>
      </c>
      <c r="P8">
        <f>'Input + Tire Forces'!$L$15</f>
        <v>336</v>
      </c>
      <c r="Q8">
        <f>'Input + Tire Forces'!$L$16</f>
        <v>364</v>
      </c>
      <c r="R8">
        <f t="shared" si="0"/>
        <v>0.4591351285446757</v>
      </c>
      <c r="S8">
        <f t="shared" si="1"/>
        <v>0.10631271995977878</v>
      </c>
    </row>
    <row r="9" spans="1:19" x14ac:dyDescent="0.3">
      <c r="L9">
        <f t="shared" si="5"/>
        <v>35</v>
      </c>
      <c r="M9">
        <f t="shared" si="2"/>
        <v>179.98097038951283</v>
      </c>
      <c r="N9">
        <f t="shared" si="3"/>
        <v>45.147468409586054</v>
      </c>
      <c r="O9">
        <f t="shared" si="4"/>
        <v>700</v>
      </c>
      <c r="P9">
        <f>'Input + Tire Forces'!$L$15</f>
        <v>336</v>
      </c>
      <c r="Q9">
        <f>'Input + Tire Forces'!$L$16</f>
        <v>364</v>
      </c>
      <c r="R9">
        <f t="shared" si="0"/>
        <v>0.53565764996878817</v>
      </c>
      <c r="S9">
        <f t="shared" si="1"/>
        <v>0.12403150661974191</v>
      </c>
    </row>
    <row r="10" spans="1:19" x14ac:dyDescent="0.3">
      <c r="A10" t="s">
        <v>155</v>
      </c>
      <c r="L10">
        <f t="shared" si="5"/>
        <v>40</v>
      </c>
      <c r="M10">
        <f t="shared" si="2"/>
        <v>205.69253758801472</v>
      </c>
      <c r="N10">
        <f t="shared" si="3"/>
        <v>51.597106753812646</v>
      </c>
      <c r="O10">
        <f t="shared" si="4"/>
        <v>700</v>
      </c>
      <c r="P10">
        <f>'Input + Tire Forces'!$L$15</f>
        <v>336</v>
      </c>
      <c r="Q10">
        <f>'Input + Tire Forces'!$L$16</f>
        <v>364</v>
      </c>
      <c r="R10">
        <f t="shared" si="0"/>
        <v>0.61218017139290093</v>
      </c>
      <c r="S10">
        <f t="shared" si="1"/>
        <v>0.14175029327970506</v>
      </c>
    </row>
    <row r="11" spans="1:19" x14ac:dyDescent="0.3">
      <c r="A11" t="s">
        <v>156</v>
      </c>
      <c r="B11">
        <v>1.45</v>
      </c>
      <c r="L11">
        <f t="shared" si="5"/>
        <v>45</v>
      </c>
      <c r="M11">
        <f t="shared" si="2"/>
        <v>231.40410478651657</v>
      </c>
      <c r="N11">
        <f t="shared" si="3"/>
        <v>58.046745098039217</v>
      </c>
      <c r="O11">
        <f t="shared" si="4"/>
        <v>700</v>
      </c>
      <c r="P11">
        <f>'Input + Tire Forces'!$L$15</f>
        <v>336</v>
      </c>
      <c r="Q11">
        <f>'Input + Tire Forces'!$L$16</f>
        <v>364</v>
      </c>
      <c r="R11">
        <f t="shared" si="0"/>
        <v>0.68870269281701357</v>
      </c>
      <c r="S11">
        <f t="shared" si="1"/>
        <v>0.15946907993966819</v>
      </c>
    </row>
    <row r="12" spans="1:19" x14ac:dyDescent="0.3">
      <c r="A12" t="s">
        <v>157</v>
      </c>
      <c r="B12">
        <v>1</v>
      </c>
      <c r="L12">
        <f t="shared" si="5"/>
        <v>50</v>
      </c>
      <c r="M12">
        <f t="shared" si="2"/>
        <v>257.11567198501842</v>
      </c>
      <c r="N12">
        <f t="shared" si="3"/>
        <v>64.49638344226581</v>
      </c>
      <c r="O12">
        <f t="shared" si="4"/>
        <v>700</v>
      </c>
      <c r="P12">
        <f>'Input + Tire Forces'!$L$15</f>
        <v>336</v>
      </c>
      <c r="Q12">
        <f>'Input + Tire Forces'!$L$16</f>
        <v>364</v>
      </c>
      <c r="R12">
        <f t="shared" si="0"/>
        <v>0.76522521424112622</v>
      </c>
      <c r="S12">
        <f t="shared" si="1"/>
        <v>0.17718786659963134</v>
      </c>
    </row>
    <row r="13" spans="1:19" x14ac:dyDescent="0.3">
      <c r="A13" t="s">
        <v>158</v>
      </c>
      <c r="B13">
        <v>3.1309999999999998</v>
      </c>
      <c r="L13">
        <f t="shared" si="5"/>
        <v>55</v>
      </c>
      <c r="M13">
        <f t="shared" si="2"/>
        <v>282.82723918352025</v>
      </c>
      <c r="N13">
        <f t="shared" si="3"/>
        <v>70.946021786492381</v>
      </c>
      <c r="O13">
        <f t="shared" si="4"/>
        <v>700</v>
      </c>
      <c r="P13">
        <f>'Input + Tire Forces'!$L$15</f>
        <v>336</v>
      </c>
      <c r="Q13">
        <f>'Input + Tire Forces'!$L$16</f>
        <v>364</v>
      </c>
      <c r="R13">
        <f t="shared" si="0"/>
        <v>0.84174773566523886</v>
      </c>
      <c r="S13">
        <f t="shared" si="1"/>
        <v>0.19490665325959444</v>
      </c>
    </row>
    <row r="14" spans="1:19" x14ac:dyDescent="0.3">
      <c r="A14" t="s">
        <v>162</v>
      </c>
      <c r="B14">
        <v>0.3</v>
      </c>
      <c r="L14">
        <f t="shared" si="5"/>
        <v>60</v>
      </c>
      <c r="M14">
        <f t="shared" si="2"/>
        <v>308.53880638202207</v>
      </c>
      <c r="N14">
        <f t="shared" si="3"/>
        <v>77.395660130718952</v>
      </c>
      <c r="O14">
        <f t="shared" si="4"/>
        <v>700</v>
      </c>
      <c r="P14">
        <f>'Input + Tire Forces'!$L$15</f>
        <v>336</v>
      </c>
      <c r="Q14">
        <f>'Input + Tire Forces'!$L$16</f>
        <v>364</v>
      </c>
      <c r="R14">
        <f t="shared" si="0"/>
        <v>0.91827025708935139</v>
      </c>
      <c r="S14">
        <f t="shared" si="1"/>
        <v>0.21262543991955757</v>
      </c>
    </row>
    <row r="15" spans="1:19" x14ac:dyDescent="0.3">
      <c r="A15" t="s">
        <v>159</v>
      </c>
      <c r="B15">
        <v>4</v>
      </c>
      <c r="L15">
        <f t="shared" si="5"/>
        <v>65</v>
      </c>
      <c r="M15">
        <f t="shared" si="2"/>
        <v>334.25037358052396</v>
      </c>
      <c r="N15">
        <f t="shared" si="3"/>
        <v>83.845298474945537</v>
      </c>
      <c r="O15">
        <f t="shared" si="4"/>
        <v>700</v>
      </c>
      <c r="P15">
        <f>'Input + Tire Forces'!$L$15</f>
        <v>336</v>
      </c>
      <c r="Q15">
        <f>'Input + Tire Forces'!$L$16</f>
        <v>364</v>
      </c>
      <c r="R15">
        <f t="shared" si="0"/>
        <v>0.99479277851346415</v>
      </c>
      <c r="S15">
        <f t="shared" si="1"/>
        <v>0.23034422657952069</v>
      </c>
    </row>
    <row r="16" spans="1:19" x14ac:dyDescent="0.3">
      <c r="L16">
        <f t="shared" si="5"/>
        <v>70</v>
      </c>
      <c r="M16">
        <f t="shared" si="2"/>
        <v>359.96194077902567</v>
      </c>
      <c r="N16">
        <f t="shared" si="3"/>
        <v>90.294936819172108</v>
      </c>
      <c r="O16">
        <f t="shared" si="4"/>
        <v>700</v>
      </c>
      <c r="P16">
        <f>'Input + Tire Forces'!$L$15</f>
        <v>336</v>
      </c>
      <c r="Q16">
        <f>'Input + Tire Forces'!$L$16</f>
        <v>364</v>
      </c>
      <c r="R16">
        <f t="shared" si="0"/>
        <v>1.0713152999375763</v>
      </c>
      <c r="S16">
        <f t="shared" si="1"/>
        <v>0.24806301323948382</v>
      </c>
    </row>
    <row r="17" spans="1:19" x14ac:dyDescent="0.3">
      <c r="A17" t="s">
        <v>160</v>
      </c>
      <c r="L17">
        <f t="shared" si="5"/>
        <v>75</v>
      </c>
      <c r="M17">
        <f t="shared" si="2"/>
        <v>385.67350797752761</v>
      </c>
      <c r="N17">
        <f t="shared" si="3"/>
        <v>96.744575163398707</v>
      </c>
      <c r="O17">
        <f t="shared" si="4"/>
        <v>700</v>
      </c>
      <c r="P17">
        <f>'Input + Tire Forces'!$L$15</f>
        <v>336</v>
      </c>
      <c r="Q17">
        <f>'Input + Tire Forces'!$L$16</f>
        <v>364</v>
      </c>
      <c r="R17">
        <f t="shared" si="0"/>
        <v>1.1478378213616893</v>
      </c>
      <c r="S17">
        <f t="shared" si="1"/>
        <v>0.265781799899447</v>
      </c>
    </row>
    <row r="18" spans="1:19" x14ac:dyDescent="0.3">
      <c r="A18" t="s">
        <v>156</v>
      </c>
      <c r="B18">
        <v>1.45</v>
      </c>
      <c r="L18">
        <f t="shared" si="5"/>
        <v>80</v>
      </c>
      <c r="M18">
        <f t="shared" si="2"/>
        <v>411.38507517602943</v>
      </c>
      <c r="N18">
        <f t="shared" si="3"/>
        <v>103.19421350762529</v>
      </c>
      <c r="O18">
        <f t="shared" si="4"/>
        <v>700</v>
      </c>
      <c r="P18">
        <f>'Input + Tire Forces'!$L$15</f>
        <v>336</v>
      </c>
      <c r="Q18">
        <f>'Input + Tire Forces'!$L$16</f>
        <v>364</v>
      </c>
      <c r="R18">
        <f t="shared" si="0"/>
        <v>1.2243603427858019</v>
      </c>
      <c r="S18">
        <f t="shared" si="1"/>
        <v>0.28350058655941013</v>
      </c>
    </row>
    <row r="19" spans="1:19" x14ac:dyDescent="0.3">
      <c r="A19" t="s">
        <v>157</v>
      </c>
      <c r="B19">
        <v>1</v>
      </c>
      <c r="L19">
        <f t="shared" si="5"/>
        <v>85</v>
      </c>
      <c r="M19">
        <f t="shared" si="2"/>
        <v>437.09664237453131</v>
      </c>
      <c r="N19">
        <f t="shared" si="3"/>
        <v>109.64385185185185</v>
      </c>
      <c r="O19">
        <f t="shared" si="4"/>
        <v>700</v>
      </c>
      <c r="P19">
        <f>'Input + Tire Forces'!$L$15</f>
        <v>336</v>
      </c>
      <c r="Q19">
        <f>'Input + Tire Forces'!$L$16</f>
        <v>364</v>
      </c>
      <c r="R19">
        <f t="shared" si="0"/>
        <v>1.3008828642099146</v>
      </c>
      <c r="S19">
        <f t="shared" si="1"/>
        <v>0.3012193732193732</v>
      </c>
    </row>
    <row r="20" spans="1:19" x14ac:dyDescent="0.3">
      <c r="A20" t="s">
        <v>161</v>
      </c>
      <c r="B20">
        <f>(B19/2)^2*PI()*B22</f>
        <v>1.5707963267948966</v>
      </c>
      <c r="L20">
        <f t="shared" si="5"/>
        <v>90</v>
      </c>
      <c r="M20">
        <f t="shared" si="2"/>
        <v>462.80820957303314</v>
      </c>
      <c r="N20">
        <f t="shared" si="3"/>
        <v>116.09349019607843</v>
      </c>
      <c r="O20">
        <f t="shared" si="4"/>
        <v>700</v>
      </c>
      <c r="P20">
        <f>'Input + Tire Forces'!$L$15</f>
        <v>336</v>
      </c>
      <c r="Q20">
        <f>'Input + Tire Forces'!$L$16</f>
        <v>364</v>
      </c>
      <c r="R20">
        <f t="shared" si="0"/>
        <v>1.3774053856340271</v>
      </c>
      <c r="S20">
        <f t="shared" si="1"/>
        <v>0.31893815987933638</v>
      </c>
    </row>
    <row r="21" spans="1:19" x14ac:dyDescent="0.3">
      <c r="A21" t="s">
        <v>162</v>
      </c>
      <c r="B21">
        <v>0.3</v>
      </c>
      <c r="L21">
        <f t="shared" si="5"/>
        <v>95</v>
      </c>
      <c r="M21">
        <f t="shared" si="2"/>
        <v>488.51977677153502</v>
      </c>
      <c r="N21">
        <f t="shared" si="3"/>
        <v>122.54312854030501</v>
      </c>
      <c r="O21">
        <f t="shared" si="4"/>
        <v>700</v>
      </c>
      <c r="P21">
        <f>'Input + Tire Forces'!$L$15</f>
        <v>336</v>
      </c>
      <c r="Q21">
        <f>'Input + Tire Forces'!$L$16</f>
        <v>364</v>
      </c>
      <c r="R21">
        <f t="shared" si="0"/>
        <v>1.4539279070581399</v>
      </c>
      <c r="S21">
        <f t="shared" si="1"/>
        <v>0.33665694653929945</v>
      </c>
    </row>
    <row r="22" spans="1:19" x14ac:dyDescent="0.3">
      <c r="A22" t="s">
        <v>159</v>
      </c>
      <c r="B22">
        <v>2</v>
      </c>
      <c r="L22">
        <f t="shared" si="5"/>
        <v>100</v>
      </c>
      <c r="M22">
        <f t="shared" si="2"/>
        <v>514.23134397003685</v>
      </c>
      <c r="N22">
        <f t="shared" si="3"/>
        <v>128.99276688453162</v>
      </c>
      <c r="O22">
        <f t="shared" si="4"/>
        <v>700</v>
      </c>
      <c r="P22">
        <f>'Input + Tire Forces'!$L$15</f>
        <v>336</v>
      </c>
      <c r="Q22">
        <f>'Input + Tire Forces'!$L$16</f>
        <v>364</v>
      </c>
      <c r="R22">
        <f t="shared" si="0"/>
        <v>1.5304504284822524</v>
      </c>
      <c r="S22">
        <f t="shared" si="1"/>
        <v>0.35437573319926269</v>
      </c>
    </row>
    <row r="23" spans="1:19" x14ac:dyDescent="0.3">
      <c r="L23">
        <f t="shared" si="5"/>
        <v>105</v>
      </c>
      <c r="M23">
        <f t="shared" si="2"/>
        <v>539.94291116853856</v>
      </c>
      <c r="N23">
        <f t="shared" si="3"/>
        <v>135.44240522875816</v>
      </c>
      <c r="O23">
        <f t="shared" si="4"/>
        <v>700</v>
      </c>
      <c r="P23">
        <f>'Input + Tire Forces'!$L$15</f>
        <v>336</v>
      </c>
      <c r="Q23">
        <f>'Input + Tire Forces'!$L$16</f>
        <v>364</v>
      </c>
      <c r="R23">
        <f t="shared" si="0"/>
        <v>1.6069729499063647</v>
      </c>
      <c r="S23">
        <f t="shared" si="1"/>
        <v>0.3720945198592257</v>
      </c>
    </row>
    <row r="24" spans="1:19" x14ac:dyDescent="0.3">
      <c r="A24" t="s">
        <v>163</v>
      </c>
      <c r="L24">
        <f t="shared" si="5"/>
        <v>110</v>
      </c>
      <c r="M24">
        <f t="shared" si="2"/>
        <v>565.6544783670405</v>
      </c>
      <c r="N24">
        <f t="shared" si="3"/>
        <v>141.89204357298476</v>
      </c>
      <c r="O24">
        <f t="shared" si="4"/>
        <v>700</v>
      </c>
      <c r="P24">
        <f>'Input + Tire Forces'!$L$15</f>
        <v>336</v>
      </c>
      <c r="Q24">
        <f>'Input + Tire Forces'!$L$16</f>
        <v>364</v>
      </c>
      <c r="R24">
        <f t="shared" si="0"/>
        <v>1.6834954713304777</v>
      </c>
      <c r="S24">
        <f t="shared" si="1"/>
        <v>0.38981330651918888</v>
      </c>
    </row>
    <row r="25" spans="1:19" x14ac:dyDescent="0.3">
      <c r="A25" t="s">
        <v>164</v>
      </c>
      <c r="B25">
        <v>0.9375</v>
      </c>
      <c r="L25">
        <f t="shared" si="5"/>
        <v>115</v>
      </c>
      <c r="M25">
        <f t="shared" si="2"/>
        <v>591.36604556554232</v>
      </c>
      <c r="N25">
        <f t="shared" si="3"/>
        <v>148.34168191721133</v>
      </c>
      <c r="O25">
        <f t="shared" si="4"/>
        <v>700</v>
      </c>
      <c r="P25">
        <f>'Input + Tire Forces'!$L$15</f>
        <v>336</v>
      </c>
      <c r="Q25">
        <f>'Input + Tire Forces'!$L$16</f>
        <v>364</v>
      </c>
      <c r="R25">
        <f t="shared" si="0"/>
        <v>1.7600179927545903</v>
      </c>
      <c r="S25">
        <f t="shared" si="1"/>
        <v>0.40753209317915201</v>
      </c>
    </row>
    <row r="26" spans="1:19" x14ac:dyDescent="0.3">
      <c r="A26" t="s">
        <v>165</v>
      </c>
      <c r="B26">
        <f>(((B25)/2)^2)*PI()</f>
        <v>0.69029135454853852</v>
      </c>
      <c r="L26">
        <f t="shared" si="5"/>
        <v>120</v>
      </c>
      <c r="M26">
        <f t="shared" si="2"/>
        <v>617.07761276404415</v>
      </c>
      <c r="N26">
        <f t="shared" si="3"/>
        <v>154.7913202614379</v>
      </c>
      <c r="O26">
        <f t="shared" si="4"/>
        <v>700</v>
      </c>
      <c r="P26">
        <f>'Input + Tire Forces'!$L$15</f>
        <v>336</v>
      </c>
      <c r="Q26">
        <f>'Input + Tire Forces'!$L$16</f>
        <v>364</v>
      </c>
      <c r="R26">
        <f t="shared" si="0"/>
        <v>1.8365405141787028</v>
      </c>
      <c r="S26">
        <f t="shared" si="1"/>
        <v>0.42525087983911514</v>
      </c>
    </row>
    <row r="27" spans="1:19" x14ac:dyDescent="0.3">
      <c r="L27">
        <f t="shared" si="5"/>
        <v>125</v>
      </c>
      <c r="M27">
        <f t="shared" si="2"/>
        <v>642.78917996254597</v>
      </c>
      <c r="N27">
        <f t="shared" si="3"/>
        <v>161.2409586056645</v>
      </c>
      <c r="O27">
        <f t="shared" si="4"/>
        <v>700</v>
      </c>
      <c r="P27">
        <f>'Input + Tire Forces'!$L$15</f>
        <v>336</v>
      </c>
      <c r="Q27">
        <f>'Input + Tire Forces'!$L$16</f>
        <v>364</v>
      </c>
      <c r="R27">
        <f t="shared" si="0"/>
        <v>1.9130630356028153</v>
      </c>
      <c r="S27">
        <f t="shared" si="1"/>
        <v>0.44296966649907832</v>
      </c>
    </row>
    <row r="28" spans="1:19" x14ac:dyDescent="0.3">
      <c r="A28" t="s">
        <v>166</v>
      </c>
      <c r="B28">
        <v>7</v>
      </c>
      <c r="L28">
        <f t="shared" si="5"/>
        <v>130</v>
      </c>
      <c r="M28">
        <f t="shared" si="2"/>
        <v>668.50074716104791</v>
      </c>
      <c r="N28">
        <f t="shared" si="3"/>
        <v>167.69059694989107</v>
      </c>
      <c r="O28">
        <f t="shared" si="4"/>
        <v>700</v>
      </c>
      <c r="P28">
        <f>'Input + Tire Forces'!$L$15</f>
        <v>336</v>
      </c>
      <c r="Q28">
        <f>'Input + Tire Forces'!$L$16</f>
        <v>364</v>
      </c>
      <c r="R28">
        <f t="shared" si="0"/>
        <v>1.9895855570269283</v>
      </c>
      <c r="S28">
        <f t="shared" si="1"/>
        <v>0.46068845315904139</v>
      </c>
    </row>
    <row r="29" spans="1:19" x14ac:dyDescent="0.3">
      <c r="L29">
        <f t="shared" si="5"/>
        <v>135</v>
      </c>
      <c r="M29">
        <f t="shared" si="2"/>
        <v>694.21231435954962</v>
      </c>
      <c r="N29">
        <f t="shared" si="3"/>
        <v>174.14023529411764</v>
      </c>
      <c r="O29">
        <f t="shared" si="4"/>
        <v>700</v>
      </c>
      <c r="P29">
        <f>'Input + Tire Forces'!$L$15</f>
        <v>336</v>
      </c>
      <c r="Q29">
        <f>'Input + Tire Forces'!$L$16</f>
        <v>364</v>
      </c>
      <c r="R29">
        <f t="shared" si="0"/>
        <v>2.0661080784510406</v>
      </c>
      <c r="S29">
        <f t="shared" si="1"/>
        <v>0.47840723981900452</v>
      </c>
    </row>
    <row r="30" spans="1:19" x14ac:dyDescent="0.3">
      <c r="A30" t="s">
        <v>167</v>
      </c>
      <c r="B30">
        <v>4.13</v>
      </c>
      <c r="L30">
        <f t="shared" si="5"/>
        <v>140</v>
      </c>
      <c r="M30">
        <f t="shared" si="2"/>
        <v>719.92388155805133</v>
      </c>
      <c r="N30">
        <f t="shared" si="3"/>
        <v>180.58987363834422</v>
      </c>
      <c r="O30">
        <f t="shared" si="4"/>
        <v>700</v>
      </c>
      <c r="P30">
        <f>'Input + Tire Forces'!$L$15</f>
        <v>336</v>
      </c>
      <c r="Q30">
        <f>'Input + Tire Forces'!$L$16</f>
        <v>364</v>
      </c>
      <c r="R30">
        <f t="shared" si="0"/>
        <v>2.1426305998751527</v>
      </c>
      <c r="S30">
        <f t="shared" si="1"/>
        <v>0.49612602647896764</v>
      </c>
    </row>
    <row r="31" spans="1:19" x14ac:dyDescent="0.3">
      <c r="A31" t="s">
        <v>168</v>
      </c>
      <c r="B31">
        <f>'Input + Tire Forces'!I12</f>
        <v>0.5</v>
      </c>
      <c r="L31">
        <f t="shared" si="5"/>
        <v>145</v>
      </c>
      <c r="M31">
        <f t="shared" si="2"/>
        <v>745.63544875655339</v>
      </c>
      <c r="N31">
        <f t="shared" si="3"/>
        <v>187.03951198257084</v>
      </c>
      <c r="O31">
        <f t="shared" si="4"/>
        <v>700</v>
      </c>
      <c r="P31">
        <f>'Input + Tire Forces'!$L$15</f>
        <v>336</v>
      </c>
      <c r="Q31">
        <f>'Input + Tire Forces'!$L$16</f>
        <v>364</v>
      </c>
      <c r="R31">
        <f t="shared" si="0"/>
        <v>2.2191531212992661</v>
      </c>
      <c r="S31">
        <f t="shared" si="1"/>
        <v>0.51384481313893093</v>
      </c>
    </row>
    <row r="32" spans="1:19" x14ac:dyDescent="0.3">
      <c r="L32">
        <f t="shared" si="5"/>
        <v>150</v>
      </c>
      <c r="M32">
        <f t="shared" si="2"/>
        <v>771.34701595505521</v>
      </c>
      <c r="N32">
        <f t="shared" si="3"/>
        <v>193.48915032679741</v>
      </c>
      <c r="O32">
        <f t="shared" si="4"/>
        <v>700</v>
      </c>
      <c r="P32">
        <f>'Input + Tire Forces'!$L$15</f>
        <v>336</v>
      </c>
      <c r="Q32">
        <f>'Input + Tire Forces'!$L$16</f>
        <v>364</v>
      </c>
      <c r="R32">
        <f t="shared" si="0"/>
        <v>2.2956756427233787</v>
      </c>
      <c r="S32">
        <f t="shared" si="1"/>
        <v>0.531563599798894</v>
      </c>
    </row>
    <row r="33" spans="12:19" x14ac:dyDescent="0.3">
      <c r="L33">
        <f t="shared" si="5"/>
        <v>155</v>
      </c>
      <c r="M33">
        <f t="shared" si="2"/>
        <v>797.05858315355704</v>
      </c>
      <c r="N33">
        <f t="shared" si="3"/>
        <v>199.93878867102399</v>
      </c>
      <c r="O33">
        <f t="shared" si="4"/>
        <v>700</v>
      </c>
      <c r="P33">
        <f>'Input + Tire Forces'!$L$15</f>
        <v>336</v>
      </c>
      <c r="Q33">
        <f>'Input + Tire Forces'!$L$16</f>
        <v>364</v>
      </c>
      <c r="R33">
        <f t="shared" si="0"/>
        <v>2.3721981641474912</v>
      </c>
      <c r="S33">
        <f t="shared" si="1"/>
        <v>0.54928238645885707</v>
      </c>
    </row>
    <row r="34" spans="12:19" x14ac:dyDescent="0.3">
      <c r="L34">
        <f t="shared" si="5"/>
        <v>160</v>
      </c>
      <c r="M34">
        <f t="shared" si="2"/>
        <v>822.77015035205886</v>
      </c>
      <c r="N34">
        <f t="shared" si="3"/>
        <v>206.38842701525058</v>
      </c>
      <c r="O34">
        <f t="shared" si="4"/>
        <v>700</v>
      </c>
      <c r="P34">
        <f>'Input + Tire Forces'!$L$15</f>
        <v>336</v>
      </c>
      <c r="Q34">
        <f>'Input + Tire Forces'!$L$16</f>
        <v>364</v>
      </c>
      <c r="R34">
        <f t="shared" si="0"/>
        <v>2.4487206855716037</v>
      </c>
      <c r="S34">
        <f t="shared" si="1"/>
        <v>0.56700117311882026</v>
      </c>
    </row>
    <row r="35" spans="12:19" x14ac:dyDescent="0.3">
      <c r="L35">
        <f t="shared" si="5"/>
        <v>165</v>
      </c>
      <c r="M35">
        <f t="shared" si="2"/>
        <v>848.48171755056069</v>
      </c>
      <c r="N35">
        <f t="shared" si="3"/>
        <v>212.8380653594771</v>
      </c>
      <c r="O35">
        <f t="shared" si="4"/>
        <v>700</v>
      </c>
      <c r="P35">
        <f>'Input + Tire Forces'!$L$15</f>
        <v>336</v>
      </c>
      <c r="Q35">
        <f>'Input + Tire Forces'!$L$16</f>
        <v>364</v>
      </c>
      <c r="R35">
        <f t="shared" si="0"/>
        <v>2.5252432069957162</v>
      </c>
      <c r="S35">
        <f t="shared" si="1"/>
        <v>0.58471995977878322</v>
      </c>
    </row>
    <row r="36" spans="12:19" x14ac:dyDescent="0.3">
      <c r="L36">
        <f t="shared" si="5"/>
        <v>170</v>
      </c>
      <c r="M36">
        <f t="shared" si="2"/>
        <v>874.19328474906263</v>
      </c>
      <c r="N36">
        <f t="shared" si="3"/>
        <v>219.2877037037037</v>
      </c>
      <c r="O36">
        <f t="shared" si="4"/>
        <v>700</v>
      </c>
      <c r="P36">
        <f>'Input + Tire Forces'!$L$15</f>
        <v>336</v>
      </c>
      <c r="Q36">
        <f>'Input + Tire Forces'!$L$16</f>
        <v>364</v>
      </c>
      <c r="R36">
        <f t="shared" si="0"/>
        <v>2.6017657284198292</v>
      </c>
      <c r="S36">
        <f t="shared" si="1"/>
        <v>0.6024387464387464</v>
      </c>
    </row>
    <row r="37" spans="12:19" x14ac:dyDescent="0.3">
      <c r="L37">
        <f t="shared" si="5"/>
        <v>175</v>
      </c>
      <c r="M37">
        <f t="shared" si="2"/>
        <v>899.90485194756445</v>
      </c>
      <c r="N37">
        <f t="shared" si="3"/>
        <v>225.7373420479303</v>
      </c>
      <c r="O37">
        <f t="shared" si="4"/>
        <v>700</v>
      </c>
      <c r="P37">
        <f>'Input + Tire Forces'!$L$15</f>
        <v>336</v>
      </c>
      <c r="Q37">
        <f>'Input + Tire Forces'!$L$16</f>
        <v>364</v>
      </c>
      <c r="R37">
        <f t="shared" si="0"/>
        <v>2.6782882498439418</v>
      </c>
      <c r="S37">
        <f t="shared" si="1"/>
        <v>0.62015753309870958</v>
      </c>
    </row>
    <row r="38" spans="12:19" x14ac:dyDescent="0.3">
      <c r="L38">
        <f t="shared" si="5"/>
        <v>180</v>
      </c>
      <c r="M38">
        <f t="shared" si="2"/>
        <v>925.61641914606628</v>
      </c>
      <c r="N38">
        <f t="shared" si="3"/>
        <v>232.18698039215687</v>
      </c>
      <c r="O38">
        <f t="shared" si="4"/>
        <v>700</v>
      </c>
      <c r="P38">
        <f>'Input + Tire Forces'!$L$15</f>
        <v>336</v>
      </c>
      <c r="Q38">
        <f>'Input + Tire Forces'!$L$16</f>
        <v>364</v>
      </c>
      <c r="R38">
        <f t="shared" si="0"/>
        <v>2.7548107712680543</v>
      </c>
      <c r="S38">
        <f t="shared" si="1"/>
        <v>0.63787631975867276</v>
      </c>
    </row>
    <row r="39" spans="12:19" x14ac:dyDescent="0.3">
      <c r="L39">
        <f t="shared" si="5"/>
        <v>185</v>
      </c>
      <c r="M39">
        <f t="shared" si="2"/>
        <v>951.32798634456799</v>
      </c>
      <c r="N39">
        <f t="shared" si="3"/>
        <v>238.63661873638347</v>
      </c>
      <c r="O39">
        <f t="shared" si="4"/>
        <v>700</v>
      </c>
      <c r="P39">
        <f>'Input + Tire Forces'!$L$15</f>
        <v>336</v>
      </c>
      <c r="Q39">
        <f>'Input + Tire Forces'!$L$16</f>
        <v>364</v>
      </c>
      <c r="R39">
        <f t="shared" si="0"/>
        <v>2.8313332926921668</v>
      </c>
      <c r="S39">
        <f t="shared" si="1"/>
        <v>0.65559510641863594</v>
      </c>
    </row>
    <row r="40" spans="12:19" x14ac:dyDescent="0.3">
      <c r="L40">
        <f t="shared" si="5"/>
        <v>190</v>
      </c>
      <c r="M40">
        <f t="shared" si="2"/>
        <v>977.03955354307004</v>
      </c>
      <c r="N40">
        <f t="shared" si="3"/>
        <v>245.08625708061001</v>
      </c>
      <c r="O40">
        <f t="shared" si="4"/>
        <v>700</v>
      </c>
      <c r="P40">
        <f>'Input + Tire Forces'!$L$15</f>
        <v>336</v>
      </c>
      <c r="Q40">
        <f>'Input + Tire Forces'!$L$16</f>
        <v>364</v>
      </c>
      <c r="R40">
        <f t="shared" si="0"/>
        <v>2.9078558141162798</v>
      </c>
      <c r="S40">
        <f t="shared" si="1"/>
        <v>0.6733138930785989</v>
      </c>
    </row>
    <row r="41" spans="12:19" x14ac:dyDescent="0.3">
      <c r="L41">
        <f>L40+5</f>
        <v>195</v>
      </c>
      <c r="M41">
        <f t="shared" si="2"/>
        <v>1002.7511207415718</v>
      </c>
      <c r="N41">
        <f t="shared" si="3"/>
        <v>251.53589542483661</v>
      </c>
      <c r="O41">
        <f t="shared" si="4"/>
        <v>700</v>
      </c>
      <c r="P41">
        <f>'Input + Tire Forces'!$L$15</f>
        <v>336</v>
      </c>
      <c r="Q41">
        <f>'Input + Tire Forces'!$L$16</f>
        <v>364</v>
      </c>
      <c r="R41">
        <f t="shared" si="0"/>
        <v>2.9843783355403923</v>
      </c>
      <c r="S41">
        <f t="shared" si="1"/>
        <v>0.69103267973856208</v>
      </c>
    </row>
    <row r="42" spans="12:19" x14ac:dyDescent="0.3">
      <c r="L42">
        <f t="shared" si="5"/>
        <v>200</v>
      </c>
      <c r="M42">
        <f t="shared" si="2"/>
        <v>1028.4626879400737</v>
      </c>
      <c r="N42">
        <f t="shared" si="3"/>
        <v>257.98553376906324</v>
      </c>
      <c r="O42">
        <f t="shared" si="4"/>
        <v>700</v>
      </c>
      <c r="P42">
        <f>'Input + Tire Forces'!$L$15</f>
        <v>336</v>
      </c>
      <c r="Q42">
        <f>'Input + Tire Forces'!$L$16</f>
        <v>364</v>
      </c>
      <c r="R42">
        <f t="shared" si="0"/>
        <v>3.0609008569645049</v>
      </c>
      <c r="S42">
        <f t="shared" si="1"/>
        <v>0.70875146639852538</v>
      </c>
    </row>
  </sheetData>
  <mergeCells count="2">
    <mergeCell ref="D1:F1"/>
    <mergeCell ref="H1:I1"/>
  </mergeCells>
  <conditionalFormatting sqref="R2:S42">
    <cfRule type="cellIs" dxfId="52" priority="1" operator="lessThan">
      <formula>$B$3</formula>
    </cfRule>
    <cfRule type="cellIs" dxfId="51" priority="2" operator="greaterThan">
      <formula>$B$3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F2411-7B36-4472-B02B-A7038DCFFCF7}">
  <dimension ref="A1:S23"/>
  <sheetViews>
    <sheetView zoomScale="88" workbookViewId="0">
      <selection activeCell="O20" sqref="O20"/>
    </sheetView>
  </sheetViews>
  <sheetFormatPr defaultRowHeight="14.4" x14ac:dyDescent="0.3"/>
  <cols>
    <col min="1" max="1" width="34.33203125" customWidth="1"/>
    <col min="2" max="2" width="9.109375" customWidth="1"/>
    <col min="4" max="4" width="8.88671875" customWidth="1"/>
    <col min="8" max="8" width="26.21875" customWidth="1"/>
    <col min="9" max="9" width="10.44140625" customWidth="1"/>
    <col min="11" max="11" width="10.5546875" customWidth="1"/>
    <col min="13" max="13" width="22" customWidth="1"/>
    <col min="17" max="17" width="10.21875" customWidth="1"/>
    <col min="19" max="19" width="10.33203125" customWidth="1"/>
  </cols>
  <sheetData>
    <row r="1" spans="1:19" x14ac:dyDescent="0.3">
      <c r="A1" s="27" t="s">
        <v>9</v>
      </c>
      <c r="H1" s="113" t="s">
        <v>457</v>
      </c>
      <c r="I1" s="113"/>
      <c r="J1" s="113"/>
      <c r="K1" s="115"/>
    </row>
    <row r="2" spans="1:19" x14ac:dyDescent="0.3">
      <c r="H2" s="113" t="s">
        <v>468</v>
      </c>
      <c r="I2" s="113">
        <f>'Input + Tire Forces'!B2</f>
        <v>700</v>
      </c>
      <c r="J2" s="113"/>
      <c r="K2" s="113"/>
    </row>
    <row r="3" spans="1:19" x14ac:dyDescent="0.3">
      <c r="H3" s="113" t="s">
        <v>458</v>
      </c>
      <c r="I3" s="113">
        <f>'Input + Tire Forces'!B4/100</f>
        <v>0.52</v>
      </c>
      <c r="J3" s="113"/>
      <c r="K3" s="113"/>
    </row>
    <row r="4" spans="1:19" x14ac:dyDescent="0.3">
      <c r="A4" s="1"/>
      <c r="H4" s="113"/>
      <c r="I4" s="113"/>
      <c r="J4" s="113"/>
      <c r="K4" s="113"/>
    </row>
    <row r="5" spans="1:19" x14ac:dyDescent="0.3">
      <c r="A5" s="1"/>
      <c r="H5" s="113" t="s">
        <v>459</v>
      </c>
      <c r="I5" s="113">
        <f>'Input + Tire Forces'!B9</f>
        <v>9</v>
      </c>
      <c r="J5" s="113"/>
      <c r="K5" s="113"/>
    </row>
    <row r="6" spans="1:19" x14ac:dyDescent="0.3">
      <c r="A6" s="7" t="s">
        <v>19</v>
      </c>
      <c r="H6" s="113" t="s">
        <v>460</v>
      </c>
      <c r="I6" s="113">
        <f>'Input + Tire Forces'!B8</f>
        <v>9.84</v>
      </c>
      <c r="J6" s="113"/>
      <c r="K6" s="113"/>
      <c r="M6" t="s">
        <v>475</v>
      </c>
    </row>
    <row r="7" spans="1:19" x14ac:dyDescent="0.3">
      <c r="A7" t="s">
        <v>176</v>
      </c>
      <c r="B7">
        <f>'Braking + Initial DF Sim'!E3</f>
        <v>0</v>
      </c>
      <c r="H7" s="113" t="s">
        <v>8</v>
      </c>
      <c r="I7" s="113">
        <f>'Input + Tire Forces'!B11</f>
        <v>29.279999999999998</v>
      </c>
      <c r="J7" s="113"/>
      <c r="K7" s="113"/>
      <c r="M7" t="s">
        <v>476</v>
      </c>
    </row>
    <row r="8" spans="1:19" x14ac:dyDescent="0.3">
      <c r="A8" t="s">
        <v>306</v>
      </c>
      <c r="B8">
        <f>'Input + Tire Forces'!H4</f>
        <v>0</v>
      </c>
      <c r="H8" s="113" t="s">
        <v>3</v>
      </c>
      <c r="I8" s="113">
        <f>'Input + Tire Forces'!B5</f>
        <v>61</v>
      </c>
      <c r="J8" s="113"/>
      <c r="K8" s="113"/>
    </row>
    <row r="9" spans="1:19" x14ac:dyDescent="0.3">
      <c r="A9" t="s">
        <v>308</v>
      </c>
      <c r="B9">
        <f>IF(B7=0,0,((B7*1.4667)^2/(2*'Braking + Initial DF Sim'!E7*32.2))*(1-(B8/B7)))</f>
        <v>0</v>
      </c>
      <c r="C9" t="s">
        <v>105</v>
      </c>
      <c r="D9">
        <f>B9*12</f>
        <v>0</v>
      </c>
      <c r="E9" t="s">
        <v>309</v>
      </c>
      <c r="F9">
        <f>B9*0.000189394</f>
        <v>0</v>
      </c>
      <c r="H9" s="113" t="s">
        <v>461</v>
      </c>
      <c r="I9" s="113">
        <f>'Input + Tire Forces'!L2</f>
        <v>1.7</v>
      </c>
      <c r="J9" s="113"/>
      <c r="K9" s="113"/>
      <c r="M9" t="s">
        <v>473</v>
      </c>
    </row>
    <row r="10" spans="1:19" x14ac:dyDescent="0.3">
      <c r="A10" t="s">
        <v>307</v>
      </c>
      <c r="B10">
        <f>((B7*1.4667/(32.2*'Braking + Initial DF Sim'!E7))-((B8*1.4667/(32.2*'Braking + Initial DF Sim'!E7))))</f>
        <v>0</v>
      </c>
      <c r="H10" s="113" t="s">
        <v>462</v>
      </c>
      <c r="I10" s="113">
        <v>1.4999999999999999E-2</v>
      </c>
      <c r="J10" s="113" t="s">
        <v>463</v>
      </c>
      <c r="K10" s="113"/>
      <c r="M10" s="25" t="s">
        <v>482</v>
      </c>
      <c r="N10">
        <v>2035.67</v>
      </c>
    </row>
    <row r="11" spans="1:19" x14ac:dyDescent="0.3">
      <c r="H11" s="114" t="s">
        <v>464</v>
      </c>
      <c r="I11" s="113">
        <v>2035.67</v>
      </c>
      <c r="J11" s="113" t="s">
        <v>469</v>
      </c>
      <c r="K11" s="113"/>
      <c r="M11" s="25" t="s">
        <v>467</v>
      </c>
      <c r="N11">
        <v>3.27</v>
      </c>
    </row>
    <row r="12" spans="1:19" x14ac:dyDescent="0.3">
      <c r="A12" s="28" t="s">
        <v>20</v>
      </c>
      <c r="H12" s="113"/>
      <c r="I12" s="113"/>
      <c r="J12" s="113"/>
      <c r="K12" s="113"/>
    </row>
    <row r="13" spans="1:19" x14ac:dyDescent="0.3">
      <c r="A13" t="s">
        <v>311</v>
      </c>
      <c r="B13" s="26">
        <f>'Input + Tire Forces'!H6</f>
        <v>360</v>
      </c>
      <c r="H13" s="113" t="s">
        <v>103</v>
      </c>
      <c r="I13" s="115" t="s">
        <v>470</v>
      </c>
      <c r="J13" s="113"/>
      <c r="K13" s="115" t="s">
        <v>477</v>
      </c>
      <c r="M13" t="s">
        <v>471</v>
      </c>
      <c r="N13">
        <f>N10*N11</f>
        <v>6656.6409000000003</v>
      </c>
      <c r="Q13" s="115"/>
      <c r="R13" s="113"/>
      <c r="S13" s="115"/>
    </row>
    <row r="14" spans="1:19" x14ac:dyDescent="0.3">
      <c r="A14" t="s">
        <v>308</v>
      </c>
      <c r="B14" s="26">
        <f>(2*PI()*'Input + Tire Forces'!H7)*('Time + Accel Sim --'!B13/360)/12</f>
        <v>182.21237390820798</v>
      </c>
      <c r="C14" t="s">
        <v>105</v>
      </c>
      <c r="D14" s="26">
        <f>B14*12</f>
        <v>2186.5484868984959</v>
      </c>
      <c r="E14" t="s">
        <v>309</v>
      </c>
      <c r="F14">
        <f>B14*0.000189394</f>
        <v>3.4509930343971144E-2</v>
      </c>
      <c r="H14" s="113" t="s">
        <v>465</v>
      </c>
      <c r="I14" s="113">
        <f>I2*I3</f>
        <v>364</v>
      </c>
      <c r="J14" s="113"/>
      <c r="K14">
        <f>'Input + Tire Forces'!C62+'Input + Tire Forces'!E62</f>
        <v>364</v>
      </c>
      <c r="M14" s="15" t="s">
        <v>478</v>
      </c>
      <c r="N14">
        <f>'Input + Tire Forces'!Q2*I2*I3</f>
        <v>0</v>
      </c>
      <c r="O14" t="s">
        <v>472</v>
      </c>
    </row>
    <row r="15" spans="1:19" x14ac:dyDescent="0.3">
      <c r="A15" t="s">
        <v>310</v>
      </c>
      <c r="B15">
        <f>'Input + Tire Forces'!T7</f>
        <v>0</v>
      </c>
      <c r="C15" t="s">
        <v>74</v>
      </c>
      <c r="D15">
        <f>B15*17.6</f>
        <v>0</v>
      </c>
      <c r="H15" s="113" t="s">
        <v>466</v>
      </c>
      <c r="I15" s="113">
        <f>I9*(I14) /(1 -((I6*I9)/I8))</f>
        <v>852.61113118901324</v>
      </c>
      <c r="J15" s="113"/>
      <c r="K15" s="113">
        <f>I9*(K14) /(1 -((I6*I9)/I8))</f>
        <v>852.61113118901324</v>
      </c>
      <c r="M15" s="117" t="s">
        <v>479</v>
      </c>
      <c r="N15">
        <f>'Input + Tire Forces'!Q2*('Input + Tire Forces'!C62+'Input + Tire Forces'!E62)</f>
        <v>0</v>
      </c>
    </row>
    <row r="16" spans="1:19" x14ac:dyDescent="0.3">
      <c r="A16" t="s">
        <v>307</v>
      </c>
      <c r="B16">
        <f>IF(D15=0,0,D14/D15)</f>
        <v>0</v>
      </c>
      <c r="H16" s="113" t="s">
        <v>471</v>
      </c>
      <c r="I16" s="113">
        <f>I15*I5</f>
        <v>7673.5001807011195</v>
      </c>
      <c r="J16" s="113"/>
      <c r="K16" s="113">
        <f>K15*I5</f>
        <v>7673.5001807011195</v>
      </c>
      <c r="M16" t="s">
        <v>474</v>
      </c>
      <c r="N16">
        <f>N13/I5</f>
        <v>739.62676666666675</v>
      </c>
    </row>
    <row r="17" spans="8:14" x14ac:dyDescent="0.3">
      <c r="H17" s="116" t="s">
        <v>467</v>
      </c>
      <c r="I17" s="115">
        <f>I16/I11</f>
        <v>3.7695206888646586</v>
      </c>
      <c r="J17" s="113"/>
      <c r="K17" s="115">
        <f>K16/I11</f>
        <v>3.7695206888646586</v>
      </c>
      <c r="M17" t="s">
        <v>481</v>
      </c>
      <c r="N17">
        <f>N16/(I2*I3)</f>
        <v>2.031941666666667</v>
      </c>
    </row>
    <row r="18" spans="8:14" x14ac:dyDescent="0.3">
      <c r="H18" s="113" t="s">
        <v>483</v>
      </c>
      <c r="I18" s="113">
        <f>I15/(I2*I3)</f>
        <v>2.342338272497289</v>
      </c>
      <c r="J18" s="113"/>
      <c r="K18" s="113">
        <f>K15/K14</f>
        <v>2.342338272497289</v>
      </c>
      <c r="M18" t="s">
        <v>480</v>
      </c>
      <c r="N18">
        <f>N16/('Input + Tire Forces'!C62+'Input + Tire Forces'!E62)</f>
        <v>2.031941666666667</v>
      </c>
    </row>
    <row r="22" spans="8:14" x14ac:dyDescent="0.3">
      <c r="M22" s="26"/>
    </row>
    <row r="23" spans="8:14" x14ac:dyDescent="0.3">
      <c r="M23" s="26"/>
    </row>
  </sheetData>
  <conditionalFormatting sqref="N16">
    <cfRule type="cellIs" dxfId="50" priority="7" operator="lessThan">
      <formula>$N$14</formula>
    </cfRule>
    <cfRule type="cellIs" dxfId="49" priority="8" operator="greaterThan">
      <formula>$N$14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lessThan" id="{CBEB8E7E-0986-49B1-B43E-7AFC0E22C012}">
            <xm:f>'Input + Tire Forces'!$L$2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ellIs" priority="6" operator="greaterThan" id="{5F397F0E-DFB8-4EBA-A620-AE17E7A95A8C}">
            <xm:f>'Input + Tire Forces'!$L$2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N17</xm:sqref>
        </x14:conditionalFormatting>
        <x14:conditionalFormatting xmlns:xm="http://schemas.microsoft.com/office/excel/2006/main">
          <x14:cfRule type="cellIs" priority="1" operator="lessThan" id="{B7354CE2-5C5C-4DC1-A348-0CB9DC627712}">
            <xm:f>'Input + Tire Forces'!$L$2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ellIs" priority="2" operator="greaterThan" id="{6EE5B1A7-BDAA-45B2-A825-D99E07A0383E}">
            <xm:f>'Input + Tire Forces'!$L$2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BE212-5304-4519-9DAB-F908141E30A1}">
  <dimension ref="A1:AD181"/>
  <sheetViews>
    <sheetView topLeftCell="AB1" zoomScale="91" workbookViewId="0">
      <selection activeCell="Z16" sqref="Z16"/>
    </sheetView>
  </sheetViews>
  <sheetFormatPr defaultRowHeight="14.4" x14ac:dyDescent="0.3"/>
  <cols>
    <col min="1" max="1" width="15.88671875" customWidth="1"/>
    <col min="4" max="4" width="14.109375" customWidth="1"/>
    <col min="5" max="5" width="2.33203125" customWidth="1"/>
    <col min="6" max="6" width="16.33203125" customWidth="1"/>
    <col min="11" max="11" width="15.44140625" customWidth="1"/>
    <col min="12" max="12" width="8.88671875" customWidth="1"/>
    <col min="25" max="25" width="29.77734375" customWidth="1"/>
  </cols>
  <sheetData>
    <row r="1" spans="1:30" x14ac:dyDescent="0.3">
      <c r="A1" t="s">
        <v>32</v>
      </c>
      <c r="B1" t="s">
        <v>74</v>
      </c>
      <c r="D1" t="s">
        <v>114</v>
      </c>
      <c r="F1" t="s">
        <v>115</v>
      </c>
      <c r="G1" t="s">
        <v>78</v>
      </c>
      <c r="I1" s="56" t="s">
        <v>116</v>
      </c>
    </row>
    <row r="2" spans="1:30" x14ac:dyDescent="0.3">
      <c r="A2">
        <v>5</v>
      </c>
      <c r="C2">
        <f>A2*17.6</f>
        <v>88</v>
      </c>
      <c r="D2">
        <v>100</v>
      </c>
      <c r="F2">
        <f>($C$2)^2/D2</f>
        <v>77.44</v>
      </c>
      <c r="H2">
        <f>F2/12</f>
        <v>6.4533333333333331</v>
      </c>
      <c r="I2" s="25">
        <f t="shared" ref="I2:I15" si="0">H2/$N$2</f>
        <v>0.2004140786749482</v>
      </c>
      <c r="M2" t="s">
        <v>33</v>
      </c>
      <c r="N2">
        <v>32.200000000000003</v>
      </c>
    </row>
    <row r="3" spans="1:30" x14ac:dyDescent="0.3">
      <c r="D3">
        <v>120</v>
      </c>
      <c r="F3">
        <f t="shared" ref="F3:F15" si="1">($C$2)^2/D3</f>
        <v>64.533333333333331</v>
      </c>
      <c r="H3">
        <f>F3/12</f>
        <v>5.3777777777777773</v>
      </c>
      <c r="I3" s="25">
        <f t="shared" si="0"/>
        <v>0.16701173222912349</v>
      </c>
    </row>
    <row r="4" spans="1:30" x14ac:dyDescent="0.3">
      <c r="D4">
        <v>200</v>
      </c>
      <c r="F4">
        <f t="shared" si="1"/>
        <v>38.72</v>
      </c>
      <c r="H4">
        <f t="shared" ref="H4:H30" si="2">F4/12</f>
        <v>3.2266666666666666</v>
      </c>
      <c r="I4" s="25">
        <f t="shared" si="0"/>
        <v>0.1002070393374741</v>
      </c>
      <c r="Y4" s="1" t="s">
        <v>117</v>
      </c>
    </row>
    <row r="5" spans="1:30" x14ac:dyDescent="0.3">
      <c r="D5">
        <v>300</v>
      </c>
      <c r="F5">
        <f t="shared" si="1"/>
        <v>25.813333333333333</v>
      </c>
      <c r="H5">
        <f t="shared" si="2"/>
        <v>2.1511111111111112</v>
      </c>
      <c r="I5" s="25">
        <f t="shared" si="0"/>
        <v>6.6804692891649406E-2</v>
      </c>
      <c r="K5" t="s">
        <v>114</v>
      </c>
      <c r="L5" t="s">
        <v>32</v>
      </c>
      <c r="Y5" s="1" t="s">
        <v>82</v>
      </c>
    </row>
    <row r="6" spans="1:30" x14ac:dyDescent="0.3">
      <c r="D6">
        <v>348</v>
      </c>
      <c r="F6">
        <f t="shared" si="1"/>
        <v>22.25287356321839</v>
      </c>
      <c r="H6">
        <f t="shared" si="2"/>
        <v>1.8544061302681991</v>
      </c>
      <c r="I6" s="25">
        <f t="shared" si="0"/>
        <v>5.7590252492801211E-2</v>
      </c>
      <c r="L6">
        <v>5</v>
      </c>
      <c r="M6">
        <v>10</v>
      </c>
      <c r="N6">
        <v>15</v>
      </c>
      <c r="O6">
        <v>20</v>
      </c>
      <c r="P6">
        <v>25</v>
      </c>
      <c r="Q6">
        <v>30</v>
      </c>
      <c r="R6">
        <v>35</v>
      </c>
      <c r="S6">
        <v>40</v>
      </c>
      <c r="T6">
        <v>45</v>
      </c>
      <c r="U6">
        <v>50</v>
      </c>
      <c r="V6">
        <v>55</v>
      </c>
      <c r="W6">
        <v>60</v>
      </c>
      <c r="Y6" t="s">
        <v>118</v>
      </c>
      <c r="Z6">
        <f>'Input + Tire Forces'!B2</f>
        <v>700</v>
      </c>
      <c r="AC6" t="s">
        <v>119</v>
      </c>
    </row>
    <row r="7" spans="1:30" x14ac:dyDescent="0.3">
      <c r="D7">
        <v>400</v>
      </c>
      <c r="F7">
        <f t="shared" si="1"/>
        <v>19.36</v>
      </c>
      <c r="H7">
        <f t="shared" si="2"/>
        <v>1.6133333333333333</v>
      </c>
      <c r="I7" s="25">
        <f t="shared" si="0"/>
        <v>5.0103519668737051E-2</v>
      </c>
      <c r="K7">
        <v>100</v>
      </c>
      <c r="L7">
        <f t="shared" ref="L7:L20" si="3">I2</f>
        <v>0.2004140786749482</v>
      </c>
      <c r="M7">
        <f t="shared" ref="M7:M20" si="4">I17</f>
        <v>0.80165631469979282</v>
      </c>
      <c r="N7">
        <f t="shared" ref="N7:N20" si="5">I32</f>
        <v>1.8037267080745343</v>
      </c>
      <c r="O7">
        <f t="shared" ref="O7:O20" si="6">I47</f>
        <v>3.2066252587991713</v>
      </c>
      <c r="P7">
        <f t="shared" ref="P7:P20" si="7">I62</f>
        <v>5.0103519668737073</v>
      </c>
      <c r="Q7">
        <f t="shared" ref="Q7:Q20" si="8">I77</f>
        <v>7.2149068322981371</v>
      </c>
      <c r="R7">
        <f t="shared" ref="R7:R20" si="9">I92</f>
        <v>9.8202898550724615</v>
      </c>
      <c r="S7">
        <f t="shared" ref="S7:S20" si="10">I107</f>
        <v>12.826501035196685</v>
      </c>
      <c r="T7">
        <f t="shared" ref="T7:T20" si="11">I122</f>
        <v>16.233540372670809</v>
      </c>
      <c r="U7">
        <f t="shared" ref="U7:U20" si="12">I137</f>
        <v>20.041407867494829</v>
      </c>
      <c r="V7">
        <f t="shared" ref="V7:V20" si="13">I152</f>
        <v>24.250103519668738</v>
      </c>
      <c r="W7">
        <f t="shared" ref="W7:W20" si="14">I167</f>
        <v>28.859627329192548</v>
      </c>
      <c r="Y7" t="s">
        <v>120</v>
      </c>
      <c r="Z7">
        <f>'Input + Tire Forces'!L3</f>
        <v>1.7</v>
      </c>
      <c r="AC7" t="s">
        <v>121</v>
      </c>
      <c r="AD7">
        <f>Z7</f>
        <v>1.7</v>
      </c>
    </row>
    <row r="8" spans="1:30" x14ac:dyDescent="0.3">
      <c r="D8">
        <v>500</v>
      </c>
      <c r="F8">
        <f t="shared" si="1"/>
        <v>15.488</v>
      </c>
      <c r="H8">
        <f t="shared" si="2"/>
        <v>1.2906666666666666</v>
      </c>
      <c r="I8" s="25">
        <f t="shared" si="0"/>
        <v>4.0082815734989646E-2</v>
      </c>
      <c r="K8">
        <v>120</v>
      </c>
      <c r="L8">
        <f t="shared" si="3"/>
        <v>0.16701173222912349</v>
      </c>
      <c r="M8">
        <f t="shared" si="4"/>
        <v>0.66804692891649398</v>
      </c>
      <c r="N8">
        <f t="shared" si="5"/>
        <v>1.5031055900621115</v>
      </c>
      <c r="O8">
        <f t="shared" si="6"/>
        <v>2.6721877156659759</v>
      </c>
      <c r="P8">
        <f t="shared" si="7"/>
        <v>4.175293305728089</v>
      </c>
      <c r="Q8">
        <f t="shared" si="8"/>
        <v>6.0124223602484461</v>
      </c>
      <c r="R8">
        <f t="shared" si="9"/>
        <v>8.1835748792270522</v>
      </c>
      <c r="S8">
        <f t="shared" si="10"/>
        <v>10.688750862663904</v>
      </c>
      <c r="T8">
        <f t="shared" si="11"/>
        <v>13.527950310559008</v>
      </c>
      <c r="U8">
        <f t="shared" si="12"/>
        <v>16.701173222912356</v>
      </c>
      <c r="V8">
        <f t="shared" si="13"/>
        <v>20.208419599723953</v>
      </c>
      <c r="W8">
        <f t="shared" si="14"/>
        <v>24.049689440993784</v>
      </c>
      <c r="Y8" t="s">
        <v>71</v>
      </c>
      <c r="Z8">
        <f>'Input + Tire Forces'!B6</f>
        <v>48</v>
      </c>
      <c r="AC8" t="s">
        <v>122</v>
      </c>
      <c r="AD8">
        <f>(0.5)*Z8/$Z$10</f>
        <v>2.4390243902439024</v>
      </c>
    </row>
    <row r="9" spans="1:30" x14ac:dyDescent="0.3">
      <c r="D9">
        <v>600</v>
      </c>
      <c r="F9">
        <f t="shared" si="1"/>
        <v>12.906666666666666</v>
      </c>
      <c r="H9">
        <f t="shared" si="2"/>
        <v>1.0755555555555556</v>
      </c>
      <c r="I9" s="25">
        <f t="shared" si="0"/>
        <v>3.3402346445824703E-2</v>
      </c>
      <c r="K9">
        <v>200</v>
      </c>
      <c r="L9">
        <f t="shared" si="3"/>
        <v>0.1002070393374741</v>
      </c>
      <c r="M9">
        <f t="shared" si="4"/>
        <v>0.40082815734989641</v>
      </c>
      <c r="N9">
        <f t="shared" si="5"/>
        <v>0.90186335403726714</v>
      </c>
      <c r="O9">
        <f t="shared" si="6"/>
        <v>1.6033126293995856</v>
      </c>
      <c r="P9">
        <f t="shared" si="7"/>
        <v>2.5051759834368537</v>
      </c>
      <c r="Q9">
        <f t="shared" si="8"/>
        <v>3.6074534161490686</v>
      </c>
      <c r="R9">
        <f t="shared" si="9"/>
        <v>4.9101449275362308</v>
      </c>
      <c r="S9">
        <f t="shared" si="10"/>
        <v>6.4132505175983425</v>
      </c>
      <c r="T9">
        <f t="shared" si="11"/>
        <v>8.1167701863354047</v>
      </c>
      <c r="U9">
        <f t="shared" si="12"/>
        <v>10.020703933747415</v>
      </c>
      <c r="V9">
        <f t="shared" si="13"/>
        <v>12.125051759834369</v>
      </c>
      <c r="W9">
        <f t="shared" si="14"/>
        <v>14.429813664596274</v>
      </c>
      <c r="Y9" t="s">
        <v>72</v>
      </c>
      <c r="Z9">
        <f>'Input + Tire Forces'!B7</f>
        <v>48</v>
      </c>
      <c r="AC9" t="s">
        <v>123</v>
      </c>
      <c r="AD9">
        <f>(0.5)*Z9/$Z$10</f>
        <v>2.4390243902439024</v>
      </c>
    </row>
    <row r="10" spans="1:30" x14ac:dyDescent="0.3">
      <c r="D10">
        <v>700</v>
      </c>
      <c r="F10">
        <f t="shared" si="1"/>
        <v>11.062857142857142</v>
      </c>
      <c r="H10">
        <f t="shared" si="2"/>
        <v>0.92190476190476189</v>
      </c>
      <c r="I10" s="25">
        <f t="shared" si="0"/>
        <v>2.8630582667849746E-2</v>
      </c>
      <c r="K10">
        <v>300</v>
      </c>
      <c r="L10">
        <f t="shared" si="3"/>
        <v>6.6804692891649406E-2</v>
      </c>
      <c r="M10">
        <f t="shared" si="4"/>
        <v>0.26721877156659762</v>
      </c>
      <c r="N10">
        <f t="shared" si="5"/>
        <v>0.60124223602484461</v>
      </c>
      <c r="O10">
        <f t="shared" si="6"/>
        <v>1.0688750862663905</v>
      </c>
      <c r="P10">
        <f t="shared" si="7"/>
        <v>1.6701173222912356</v>
      </c>
      <c r="Q10">
        <f t="shared" si="8"/>
        <v>2.4049689440993784</v>
      </c>
      <c r="R10">
        <f t="shared" si="9"/>
        <v>3.2734299516908205</v>
      </c>
      <c r="S10">
        <f t="shared" si="10"/>
        <v>4.275500345065562</v>
      </c>
      <c r="T10">
        <f t="shared" si="11"/>
        <v>5.4111801242236028</v>
      </c>
      <c r="U10">
        <f t="shared" si="12"/>
        <v>6.6804692891649422</v>
      </c>
      <c r="V10">
        <f t="shared" si="13"/>
        <v>8.083367839889581</v>
      </c>
      <c r="W10">
        <f t="shared" si="14"/>
        <v>9.6198757763975138</v>
      </c>
      <c r="Y10" t="s">
        <v>4</v>
      </c>
      <c r="Z10">
        <f>'Input + Tire Forces'!B8</f>
        <v>9.84</v>
      </c>
    </row>
    <row r="11" spans="1:30" x14ac:dyDescent="0.3">
      <c r="D11">
        <v>800</v>
      </c>
      <c r="F11">
        <f t="shared" si="1"/>
        <v>9.68</v>
      </c>
      <c r="H11">
        <f t="shared" si="2"/>
        <v>0.80666666666666664</v>
      </c>
      <c r="I11" s="25">
        <f t="shared" si="0"/>
        <v>2.5051759834368525E-2</v>
      </c>
      <c r="K11">
        <v>348</v>
      </c>
      <c r="L11">
        <f t="shared" si="3"/>
        <v>5.7590252492801211E-2</v>
      </c>
      <c r="M11">
        <f t="shared" si="4"/>
        <v>0.23036100997120484</v>
      </c>
      <c r="N11">
        <f t="shared" si="5"/>
        <v>0.51831227243521094</v>
      </c>
      <c r="O11">
        <f t="shared" si="6"/>
        <v>0.92144403988481938</v>
      </c>
      <c r="P11">
        <f t="shared" si="7"/>
        <v>1.4397563123200305</v>
      </c>
      <c r="Q11">
        <f t="shared" si="8"/>
        <v>2.0732490897408438</v>
      </c>
      <c r="R11">
        <f t="shared" si="9"/>
        <v>2.8219223721472595</v>
      </c>
      <c r="S11">
        <f t="shared" si="10"/>
        <v>3.6857761595392775</v>
      </c>
      <c r="T11">
        <f t="shared" si="11"/>
        <v>4.6648104519168996</v>
      </c>
      <c r="U11">
        <f t="shared" si="12"/>
        <v>5.7590252492801222</v>
      </c>
      <c r="V11">
        <f t="shared" si="13"/>
        <v>6.9684205516289488</v>
      </c>
      <c r="W11">
        <f t="shared" si="14"/>
        <v>8.2929963589633751</v>
      </c>
      <c r="Y11" s="1" t="s">
        <v>124</v>
      </c>
    </row>
    <row r="12" spans="1:30" x14ac:dyDescent="0.3">
      <c r="D12">
        <v>900</v>
      </c>
      <c r="F12">
        <f t="shared" si="1"/>
        <v>8.6044444444444448</v>
      </c>
      <c r="H12">
        <f t="shared" si="2"/>
        <v>0.71703703703703703</v>
      </c>
      <c r="I12" s="25">
        <f t="shared" si="0"/>
        <v>2.2268230963883136E-2</v>
      </c>
      <c r="K12">
        <v>400</v>
      </c>
      <c r="L12">
        <f t="shared" si="3"/>
        <v>5.0103519668737051E-2</v>
      </c>
      <c r="M12">
        <f t="shared" si="4"/>
        <v>0.2004140786749482</v>
      </c>
      <c r="N12">
        <f t="shared" si="5"/>
        <v>0.45093167701863357</v>
      </c>
      <c r="O12">
        <f t="shared" si="6"/>
        <v>0.80165631469979282</v>
      </c>
      <c r="P12">
        <f t="shared" si="7"/>
        <v>1.2525879917184268</v>
      </c>
      <c r="Q12">
        <f t="shared" si="8"/>
        <v>1.8037267080745343</v>
      </c>
      <c r="R12">
        <f t="shared" si="9"/>
        <v>2.4550724637681154</v>
      </c>
      <c r="S12">
        <f t="shared" si="10"/>
        <v>3.2066252587991713</v>
      </c>
      <c r="T12">
        <f t="shared" si="11"/>
        <v>4.0583850931677024</v>
      </c>
      <c r="U12">
        <f t="shared" si="12"/>
        <v>5.0103519668737073</v>
      </c>
      <c r="V12">
        <f t="shared" si="13"/>
        <v>6.0625258799171844</v>
      </c>
      <c r="W12">
        <f t="shared" si="14"/>
        <v>7.2149068322981371</v>
      </c>
      <c r="Y12" t="s">
        <v>125</v>
      </c>
      <c r="Z12">
        <v>7.6499999999999999E-2</v>
      </c>
    </row>
    <row r="13" spans="1:30" x14ac:dyDescent="0.3">
      <c r="D13">
        <v>1000</v>
      </c>
      <c r="F13">
        <f t="shared" si="1"/>
        <v>7.7439999999999998</v>
      </c>
      <c r="H13">
        <f t="shared" si="2"/>
        <v>0.64533333333333331</v>
      </c>
      <c r="I13" s="25">
        <f t="shared" si="0"/>
        <v>2.0041407867494823E-2</v>
      </c>
      <c r="K13">
        <v>500</v>
      </c>
      <c r="L13">
        <f t="shared" si="3"/>
        <v>4.0082815734989646E-2</v>
      </c>
      <c r="M13">
        <f t="shared" si="4"/>
        <v>0.16033126293995859</v>
      </c>
      <c r="N13">
        <f t="shared" si="5"/>
        <v>0.36074534161490679</v>
      </c>
      <c r="O13">
        <f t="shared" si="6"/>
        <v>0.64132505175983434</v>
      </c>
      <c r="P13">
        <f t="shared" si="7"/>
        <v>1.0020703933747412</v>
      </c>
      <c r="Q13">
        <f t="shared" si="8"/>
        <v>1.4429813664596272</v>
      </c>
      <c r="R13">
        <f t="shared" si="9"/>
        <v>1.9640579710144928</v>
      </c>
      <c r="S13">
        <f t="shared" si="10"/>
        <v>2.5653002070393374</v>
      </c>
      <c r="T13">
        <f t="shared" si="11"/>
        <v>3.2467080745341623</v>
      </c>
      <c r="U13">
        <f t="shared" si="12"/>
        <v>4.008281573498965</v>
      </c>
      <c r="V13">
        <f t="shared" si="13"/>
        <v>4.8500207039337484</v>
      </c>
      <c r="W13">
        <f t="shared" si="14"/>
        <v>5.7719254658385086</v>
      </c>
      <c r="Y13" t="s">
        <v>126</v>
      </c>
      <c r="Z13">
        <v>32.200000000000003</v>
      </c>
    </row>
    <row r="14" spans="1:30" x14ac:dyDescent="0.3">
      <c r="D14">
        <v>1100</v>
      </c>
      <c r="F14">
        <f t="shared" si="1"/>
        <v>7.04</v>
      </c>
      <c r="H14">
        <f t="shared" si="2"/>
        <v>0.58666666666666667</v>
      </c>
      <c r="I14" s="25">
        <f t="shared" si="0"/>
        <v>1.8219461697722567E-2</v>
      </c>
      <c r="K14">
        <v>600</v>
      </c>
      <c r="L14">
        <f t="shared" si="3"/>
        <v>3.3402346445824703E-2</v>
      </c>
      <c r="M14">
        <f t="shared" si="4"/>
        <v>0.13360938578329881</v>
      </c>
      <c r="N14">
        <f t="shared" si="5"/>
        <v>0.30062111801242231</v>
      </c>
      <c r="O14">
        <f t="shared" si="6"/>
        <v>0.53443754313319525</v>
      </c>
      <c r="P14">
        <f t="shared" si="7"/>
        <v>0.83505866114561778</v>
      </c>
      <c r="Q14">
        <f t="shared" si="8"/>
        <v>1.2024844720496892</v>
      </c>
      <c r="R14">
        <f t="shared" si="9"/>
        <v>1.6367149758454103</v>
      </c>
      <c r="S14">
        <f t="shared" si="10"/>
        <v>2.137750172532781</v>
      </c>
      <c r="T14">
        <f t="shared" si="11"/>
        <v>2.7055900621118014</v>
      </c>
      <c r="U14">
        <f t="shared" si="12"/>
        <v>3.3402346445824711</v>
      </c>
      <c r="V14">
        <f t="shared" si="13"/>
        <v>4.0416839199447905</v>
      </c>
      <c r="W14">
        <f t="shared" si="14"/>
        <v>4.8099378881987569</v>
      </c>
      <c r="Y14" t="s">
        <v>127</v>
      </c>
      <c r="Z14">
        <f>'Input + Tire Forces'!B18</f>
        <v>0</v>
      </c>
    </row>
    <row r="15" spans="1:30" x14ac:dyDescent="0.3">
      <c r="D15">
        <v>1200</v>
      </c>
      <c r="F15">
        <f t="shared" si="1"/>
        <v>6.4533333333333331</v>
      </c>
      <c r="H15">
        <f t="shared" si="2"/>
        <v>0.5377777777777778</v>
      </c>
      <c r="I15" s="25">
        <f t="shared" si="0"/>
        <v>1.6701173222912351E-2</v>
      </c>
      <c r="K15">
        <v>700</v>
      </c>
      <c r="L15">
        <f t="shared" si="3"/>
        <v>2.8630582667849746E-2</v>
      </c>
      <c r="M15">
        <f t="shared" si="4"/>
        <v>0.11452233067139898</v>
      </c>
      <c r="N15">
        <f t="shared" si="5"/>
        <v>0.25767524401064773</v>
      </c>
      <c r="O15">
        <f t="shared" si="6"/>
        <v>0.45808932268559593</v>
      </c>
      <c r="P15">
        <f t="shared" si="7"/>
        <v>0.71576456669624389</v>
      </c>
      <c r="Q15">
        <f t="shared" si="8"/>
        <v>1.0307009760425909</v>
      </c>
      <c r="R15">
        <f t="shared" si="9"/>
        <v>1.4028985507246376</v>
      </c>
      <c r="S15">
        <f t="shared" si="10"/>
        <v>1.8323572907423837</v>
      </c>
      <c r="T15">
        <f t="shared" si="11"/>
        <v>2.3190771960958303</v>
      </c>
      <c r="U15">
        <f t="shared" si="12"/>
        <v>2.8630582667849755</v>
      </c>
      <c r="V15">
        <f t="shared" si="13"/>
        <v>3.4643005028098202</v>
      </c>
      <c r="W15">
        <f t="shared" si="14"/>
        <v>4.1228039041703637</v>
      </c>
      <c r="Y15" t="s">
        <v>128</v>
      </c>
      <c r="Z15">
        <f>'Input + Tire Forces'!L29</f>
        <v>60</v>
      </c>
      <c r="AA15" t="s">
        <v>129</v>
      </c>
      <c r="AB15">
        <f>Z15*1.46667</f>
        <v>88.000199999999992</v>
      </c>
    </row>
    <row r="16" spans="1:30" x14ac:dyDescent="0.3">
      <c r="A16" s="47"/>
      <c r="B16" s="47"/>
      <c r="C16" s="47"/>
      <c r="D16" s="47"/>
      <c r="E16" s="47"/>
      <c r="F16" s="47"/>
      <c r="G16" s="47"/>
      <c r="H16" s="47"/>
      <c r="I16" s="47"/>
      <c r="K16">
        <v>800</v>
      </c>
      <c r="L16">
        <f t="shared" si="3"/>
        <v>2.5051759834368525E-2</v>
      </c>
      <c r="M16">
        <f t="shared" si="4"/>
        <v>0.1002070393374741</v>
      </c>
      <c r="N16">
        <f t="shared" si="5"/>
        <v>0.22546583850931678</v>
      </c>
      <c r="O16">
        <f t="shared" si="6"/>
        <v>0.40082815734989641</v>
      </c>
      <c r="P16">
        <f t="shared" si="7"/>
        <v>0.62629399585921341</v>
      </c>
      <c r="Q16">
        <f t="shared" si="8"/>
        <v>0.90186335403726714</v>
      </c>
      <c r="R16">
        <f t="shared" si="9"/>
        <v>1.2275362318840577</v>
      </c>
      <c r="S16">
        <f t="shared" si="10"/>
        <v>1.6033126293995856</v>
      </c>
      <c r="T16">
        <f t="shared" si="11"/>
        <v>2.0291925465838512</v>
      </c>
      <c r="U16">
        <f t="shared" si="12"/>
        <v>2.5051759834368537</v>
      </c>
      <c r="V16">
        <f t="shared" si="13"/>
        <v>3.0312629399585922</v>
      </c>
      <c r="W16">
        <f t="shared" si="14"/>
        <v>3.6074534161490686</v>
      </c>
    </row>
    <row r="17" spans="1:28" x14ac:dyDescent="0.3">
      <c r="A17">
        <v>10</v>
      </c>
      <c r="C17">
        <f>A17*17.6</f>
        <v>176</v>
      </c>
      <c r="D17">
        <v>100</v>
      </c>
      <c r="F17">
        <f>($C$17)^2/D17</f>
        <v>309.76</v>
      </c>
      <c r="H17">
        <f t="shared" si="2"/>
        <v>25.813333333333333</v>
      </c>
      <c r="I17" s="25">
        <f t="shared" ref="I17:I30" si="15">H17/$N$2</f>
        <v>0.80165631469979282</v>
      </c>
      <c r="K17">
        <v>900</v>
      </c>
      <c r="L17">
        <f t="shared" si="3"/>
        <v>2.2268230963883136E-2</v>
      </c>
      <c r="M17">
        <f t="shared" si="4"/>
        <v>8.9072923855532546E-2</v>
      </c>
      <c r="N17">
        <f t="shared" si="5"/>
        <v>0.2004140786749482</v>
      </c>
      <c r="O17">
        <f t="shared" si="6"/>
        <v>0.35629169542213018</v>
      </c>
      <c r="P17">
        <f t="shared" si="7"/>
        <v>0.55670577409707855</v>
      </c>
      <c r="Q17">
        <f t="shared" si="8"/>
        <v>0.80165631469979282</v>
      </c>
      <c r="R17">
        <f t="shared" si="9"/>
        <v>1.0911433172302738</v>
      </c>
      <c r="S17">
        <f t="shared" si="10"/>
        <v>1.4251667816885207</v>
      </c>
      <c r="T17">
        <f t="shared" si="11"/>
        <v>1.8037267080745345</v>
      </c>
      <c r="U17">
        <f t="shared" si="12"/>
        <v>2.2268230963883142</v>
      </c>
      <c r="V17">
        <f t="shared" si="13"/>
        <v>2.6944559466298599</v>
      </c>
      <c r="W17">
        <f t="shared" si="14"/>
        <v>3.2066252587991713</v>
      </c>
      <c r="Y17" s="1" t="s">
        <v>130</v>
      </c>
      <c r="AB17" s="1" t="s">
        <v>291</v>
      </c>
    </row>
    <row r="18" spans="1:28" x14ac:dyDescent="0.3">
      <c r="D18">
        <v>120</v>
      </c>
      <c r="F18">
        <f t="shared" ref="F18:F30" si="16">($C$17)^2/D18</f>
        <v>258.13333333333333</v>
      </c>
      <c r="H18">
        <f t="shared" si="2"/>
        <v>21.511111111111109</v>
      </c>
      <c r="I18" s="25">
        <f t="shared" si="15"/>
        <v>0.66804692891649398</v>
      </c>
      <c r="K18">
        <v>1000</v>
      </c>
      <c r="L18">
        <f t="shared" si="3"/>
        <v>2.0041407867494823E-2</v>
      </c>
      <c r="M18">
        <f t="shared" si="4"/>
        <v>8.0165631469979293E-2</v>
      </c>
      <c r="N18">
        <f t="shared" si="5"/>
        <v>0.18037267080745339</v>
      </c>
      <c r="O18">
        <f t="shared" si="6"/>
        <v>0.32066252587991717</v>
      </c>
      <c r="P18">
        <f t="shared" si="7"/>
        <v>0.50103519668737062</v>
      </c>
      <c r="Q18">
        <f t="shared" si="8"/>
        <v>0.72149068322981358</v>
      </c>
      <c r="R18">
        <f t="shared" si="9"/>
        <v>0.98202898550724638</v>
      </c>
      <c r="S18">
        <f t="shared" si="10"/>
        <v>1.2826501035196687</v>
      </c>
      <c r="T18">
        <f t="shared" si="11"/>
        <v>1.6233540372670812</v>
      </c>
      <c r="U18">
        <f t="shared" si="12"/>
        <v>2.0041407867494825</v>
      </c>
      <c r="V18">
        <f t="shared" si="13"/>
        <v>2.4250103519668742</v>
      </c>
      <c r="W18">
        <f t="shared" si="14"/>
        <v>2.8859627329192543</v>
      </c>
      <c r="Y18" t="s">
        <v>131</v>
      </c>
      <c r="Z18">
        <f>IF($AD$7&lt;AD8,$AD$7,AD8)</f>
        <v>1.7</v>
      </c>
      <c r="AB18">
        <f>SUM(Z18:Z19)/2</f>
        <v>1.7</v>
      </c>
    </row>
    <row r="19" spans="1:28" x14ac:dyDescent="0.3">
      <c r="D19">
        <v>200</v>
      </c>
      <c r="F19">
        <f t="shared" si="16"/>
        <v>154.88</v>
      </c>
      <c r="H19">
        <f t="shared" si="2"/>
        <v>12.906666666666666</v>
      </c>
      <c r="I19" s="25">
        <f t="shared" si="15"/>
        <v>0.40082815734989641</v>
      </c>
      <c r="K19">
        <v>1100</v>
      </c>
      <c r="L19">
        <f t="shared" si="3"/>
        <v>1.8219461697722567E-2</v>
      </c>
      <c r="M19">
        <f t="shared" si="4"/>
        <v>7.2877846790890266E-2</v>
      </c>
      <c r="N19">
        <f t="shared" si="5"/>
        <v>0.1639751552795031</v>
      </c>
      <c r="O19">
        <f t="shared" si="6"/>
        <v>0.29151138716356106</v>
      </c>
      <c r="P19">
        <f t="shared" si="7"/>
        <v>0.4554865424430643</v>
      </c>
      <c r="Q19">
        <f t="shared" si="8"/>
        <v>0.65590062111801239</v>
      </c>
      <c r="R19">
        <f t="shared" si="9"/>
        <v>0.89275362318840568</v>
      </c>
      <c r="S19">
        <f t="shared" si="10"/>
        <v>1.1660455486542443</v>
      </c>
      <c r="T19">
        <f t="shared" si="11"/>
        <v>1.4757763975155282</v>
      </c>
      <c r="U19">
        <f t="shared" si="12"/>
        <v>1.8219461697722572</v>
      </c>
      <c r="V19">
        <f t="shared" si="13"/>
        <v>2.2045548654244311</v>
      </c>
      <c r="W19">
        <f t="shared" si="14"/>
        <v>2.6236024844720496</v>
      </c>
      <c r="Y19" t="s">
        <v>132</v>
      </c>
      <c r="Z19">
        <f>IF($AD$7&lt;AD9,$AD$7,AD9)</f>
        <v>1.7</v>
      </c>
    </row>
    <row r="20" spans="1:28" x14ac:dyDescent="0.3">
      <c r="D20">
        <v>300</v>
      </c>
      <c r="F20">
        <f t="shared" si="16"/>
        <v>103.25333333333333</v>
      </c>
      <c r="H20">
        <f t="shared" si="2"/>
        <v>8.6044444444444448</v>
      </c>
      <c r="I20" s="25">
        <f t="shared" si="15"/>
        <v>0.26721877156659762</v>
      </c>
      <c r="K20">
        <v>1200</v>
      </c>
      <c r="L20">
        <f t="shared" si="3"/>
        <v>1.6701173222912351E-2</v>
      </c>
      <c r="M20">
        <f t="shared" si="4"/>
        <v>6.6804692891649406E-2</v>
      </c>
      <c r="N20">
        <f t="shared" si="5"/>
        <v>0.15031055900621115</v>
      </c>
      <c r="O20">
        <f t="shared" si="6"/>
        <v>0.26721877156659762</v>
      </c>
      <c r="P20">
        <f t="shared" si="7"/>
        <v>0.41752933057280889</v>
      </c>
      <c r="Q20">
        <f t="shared" si="8"/>
        <v>0.60124223602484461</v>
      </c>
      <c r="R20">
        <f t="shared" si="9"/>
        <v>0.81835748792270513</v>
      </c>
      <c r="S20">
        <f t="shared" si="10"/>
        <v>1.0688750862663905</v>
      </c>
      <c r="T20">
        <f t="shared" si="11"/>
        <v>1.3527950310559007</v>
      </c>
      <c r="U20">
        <f t="shared" si="12"/>
        <v>1.6701173222912356</v>
      </c>
      <c r="V20">
        <f t="shared" si="13"/>
        <v>2.0208419599723952</v>
      </c>
      <c r="W20">
        <f t="shared" si="14"/>
        <v>2.4049689440993784</v>
      </c>
      <c r="Y20" s="1" t="s">
        <v>124</v>
      </c>
    </row>
    <row r="21" spans="1:28" x14ac:dyDescent="0.3">
      <c r="D21">
        <v>348</v>
      </c>
      <c r="F21">
        <f t="shared" si="16"/>
        <v>89.011494252873561</v>
      </c>
      <c r="H21">
        <f t="shared" si="2"/>
        <v>7.4176245210727965</v>
      </c>
      <c r="I21" s="25">
        <f t="shared" si="15"/>
        <v>0.23036100997120484</v>
      </c>
      <c r="Y21" t="s">
        <v>131</v>
      </c>
      <c r="Z21">
        <f>IF($AD$7&lt;AD8,$AD$7*(1-(0.5*$Z$12*$Z$14*$AB$15^2)/($Z$6*$Z$13)),(0.5*(Z8/$Z$10))*(1-(0.5*$Z$12*$Z$14*$AB$15^2)/($Z$6*$Z$13)))</f>
        <v>1.7</v>
      </c>
      <c r="AB21">
        <f t="shared" ref="AB21" si="17">SUM(Z21:Z22)/2</f>
        <v>1.7</v>
      </c>
    </row>
    <row r="22" spans="1:28" x14ac:dyDescent="0.3">
      <c r="D22">
        <v>400</v>
      </c>
      <c r="F22">
        <f t="shared" si="16"/>
        <v>77.44</v>
      </c>
      <c r="H22">
        <f t="shared" si="2"/>
        <v>6.4533333333333331</v>
      </c>
      <c r="I22" s="25">
        <f t="shared" si="15"/>
        <v>0.2004140786749482</v>
      </c>
      <c r="Y22" t="s">
        <v>132</v>
      </c>
      <c r="Z22">
        <f>IF($AD$7&lt;AD9,$AD$7*(1-(0.5*$Z$12*$Z$14*$AB$15^2)/($Z$6*$Z$13)),(0.5*(Z9/$Z$10))*(1-(0.5*$Z$12*$Z$14*$AB$15^2)/($Z$6*$Z$13)))</f>
        <v>1.7</v>
      </c>
    </row>
    <row r="23" spans="1:28" x14ac:dyDescent="0.3">
      <c r="D23">
        <v>500</v>
      </c>
      <c r="F23">
        <f t="shared" si="16"/>
        <v>61.951999999999998</v>
      </c>
      <c r="H23">
        <f t="shared" si="2"/>
        <v>5.1626666666666665</v>
      </c>
      <c r="I23" s="25">
        <f t="shared" si="15"/>
        <v>0.16033126293995859</v>
      </c>
    </row>
    <row r="24" spans="1:28" x14ac:dyDescent="0.3">
      <c r="D24">
        <v>600</v>
      </c>
      <c r="F24">
        <f t="shared" si="16"/>
        <v>51.626666666666665</v>
      </c>
      <c r="H24">
        <f t="shared" si="2"/>
        <v>4.3022222222222224</v>
      </c>
      <c r="I24" s="25">
        <f t="shared" si="15"/>
        <v>0.13360938578329881</v>
      </c>
    </row>
    <row r="25" spans="1:28" x14ac:dyDescent="0.3">
      <c r="D25">
        <v>700</v>
      </c>
      <c r="F25">
        <f t="shared" si="16"/>
        <v>44.251428571428569</v>
      </c>
      <c r="H25">
        <f t="shared" si="2"/>
        <v>3.6876190476190476</v>
      </c>
      <c r="I25" s="25">
        <f t="shared" si="15"/>
        <v>0.11452233067139898</v>
      </c>
    </row>
    <row r="26" spans="1:28" x14ac:dyDescent="0.3">
      <c r="D26">
        <v>800</v>
      </c>
      <c r="F26">
        <f t="shared" si="16"/>
        <v>38.72</v>
      </c>
      <c r="H26">
        <f t="shared" si="2"/>
        <v>3.2266666666666666</v>
      </c>
      <c r="I26" s="25">
        <f t="shared" si="15"/>
        <v>0.1002070393374741</v>
      </c>
    </row>
    <row r="27" spans="1:28" x14ac:dyDescent="0.3">
      <c r="D27">
        <v>900</v>
      </c>
      <c r="F27">
        <f t="shared" si="16"/>
        <v>34.417777777777779</v>
      </c>
      <c r="H27">
        <f t="shared" si="2"/>
        <v>2.8681481481481481</v>
      </c>
      <c r="I27" s="25">
        <f t="shared" si="15"/>
        <v>8.9072923855532546E-2</v>
      </c>
    </row>
    <row r="28" spans="1:28" x14ac:dyDescent="0.3">
      <c r="D28">
        <v>1000</v>
      </c>
      <c r="F28">
        <f t="shared" si="16"/>
        <v>30.975999999999999</v>
      </c>
      <c r="H28">
        <f t="shared" si="2"/>
        <v>2.5813333333333333</v>
      </c>
      <c r="I28" s="25">
        <f t="shared" si="15"/>
        <v>8.0165631469979293E-2</v>
      </c>
    </row>
    <row r="29" spans="1:28" x14ac:dyDescent="0.3">
      <c r="D29">
        <v>1100</v>
      </c>
      <c r="F29">
        <f t="shared" si="16"/>
        <v>28.16</v>
      </c>
      <c r="H29">
        <f t="shared" si="2"/>
        <v>2.3466666666666667</v>
      </c>
      <c r="I29" s="25">
        <f t="shared" si="15"/>
        <v>7.2877846790890266E-2</v>
      </c>
    </row>
    <row r="30" spans="1:28" x14ac:dyDescent="0.3">
      <c r="D30">
        <v>1200</v>
      </c>
      <c r="F30">
        <f t="shared" si="16"/>
        <v>25.813333333333333</v>
      </c>
      <c r="H30">
        <f t="shared" si="2"/>
        <v>2.1511111111111112</v>
      </c>
      <c r="I30" s="25">
        <f t="shared" si="15"/>
        <v>6.6804692891649406E-2</v>
      </c>
    </row>
    <row r="31" spans="1:28" x14ac:dyDescent="0.3">
      <c r="A31" s="47"/>
      <c r="B31" s="47"/>
      <c r="C31" s="47"/>
      <c r="D31" s="47"/>
      <c r="E31" s="47"/>
      <c r="F31" s="47"/>
      <c r="G31" s="47"/>
      <c r="H31" s="47"/>
      <c r="I31" s="47"/>
    </row>
    <row r="32" spans="1:28" x14ac:dyDescent="0.3">
      <c r="A32">
        <v>15</v>
      </c>
      <c r="C32">
        <f>A32*17.6</f>
        <v>264</v>
      </c>
      <c r="D32">
        <v>100</v>
      </c>
      <c r="F32">
        <f>($C$32)^2/D32</f>
        <v>696.96</v>
      </c>
      <c r="H32">
        <f>F32/12</f>
        <v>58.080000000000005</v>
      </c>
      <c r="I32" s="25">
        <f>H32/$N$2</f>
        <v>1.8037267080745343</v>
      </c>
    </row>
    <row r="33" spans="1:9" x14ac:dyDescent="0.3">
      <c r="D33">
        <v>120</v>
      </c>
      <c r="F33">
        <f t="shared" ref="F33:F45" si="18">($C$32)^2/D33</f>
        <v>580.79999999999995</v>
      </c>
      <c r="H33">
        <f t="shared" ref="H33:H96" si="19">F33/12</f>
        <v>48.4</v>
      </c>
      <c r="I33" s="25">
        <f t="shared" ref="I33:I96" si="20">H33/$N$2</f>
        <v>1.5031055900621115</v>
      </c>
    </row>
    <row r="34" spans="1:9" x14ac:dyDescent="0.3">
      <c r="D34">
        <v>200</v>
      </c>
      <c r="F34">
        <f t="shared" si="18"/>
        <v>348.48</v>
      </c>
      <c r="H34">
        <f t="shared" si="19"/>
        <v>29.040000000000003</v>
      </c>
      <c r="I34" s="25">
        <f t="shared" si="20"/>
        <v>0.90186335403726714</v>
      </c>
    </row>
    <row r="35" spans="1:9" x14ac:dyDescent="0.3">
      <c r="D35">
        <v>300</v>
      </c>
      <c r="F35">
        <f t="shared" si="18"/>
        <v>232.32</v>
      </c>
      <c r="H35">
        <f t="shared" si="19"/>
        <v>19.36</v>
      </c>
      <c r="I35" s="25">
        <f t="shared" si="20"/>
        <v>0.60124223602484461</v>
      </c>
    </row>
    <row r="36" spans="1:9" x14ac:dyDescent="0.3">
      <c r="D36">
        <v>348</v>
      </c>
      <c r="F36">
        <f t="shared" si="18"/>
        <v>200.27586206896552</v>
      </c>
      <c r="H36">
        <f t="shared" si="19"/>
        <v>16.689655172413794</v>
      </c>
      <c r="I36" s="25">
        <f t="shared" si="20"/>
        <v>0.51831227243521094</v>
      </c>
    </row>
    <row r="37" spans="1:9" x14ac:dyDescent="0.3">
      <c r="D37">
        <v>400</v>
      </c>
      <c r="F37">
        <f t="shared" si="18"/>
        <v>174.24</v>
      </c>
      <c r="H37">
        <f t="shared" si="19"/>
        <v>14.520000000000001</v>
      </c>
      <c r="I37" s="25">
        <f t="shared" si="20"/>
        <v>0.45093167701863357</v>
      </c>
    </row>
    <row r="38" spans="1:9" x14ac:dyDescent="0.3">
      <c r="D38">
        <v>500</v>
      </c>
      <c r="F38">
        <f t="shared" si="18"/>
        <v>139.392</v>
      </c>
      <c r="H38">
        <f t="shared" si="19"/>
        <v>11.616</v>
      </c>
      <c r="I38" s="25">
        <f t="shared" si="20"/>
        <v>0.36074534161490679</v>
      </c>
    </row>
    <row r="39" spans="1:9" x14ac:dyDescent="0.3">
      <c r="D39">
        <v>600</v>
      </c>
      <c r="F39">
        <f t="shared" si="18"/>
        <v>116.16</v>
      </c>
      <c r="H39">
        <f t="shared" si="19"/>
        <v>9.68</v>
      </c>
      <c r="I39" s="25">
        <f t="shared" si="20"/>
        <v>0.30062111801242231</v>
      </c>
    </row>
    <row r="40" spans="1:9" x14ac:dyDescent="0.3">
      <c r="D40">
        <v>700</v>
      </c>
      <c r="F40">
        <f t="shared" si="18"/>
        <v>99.565714285714279</v>
      </c>
      <c r="H40">
        <f t="shared" si="19"/>
        <v>8.2971428571428572</v>
      </c>
      <c r="I40" s="25">
        <f t="shared" si="20"/>
        <v>0.25767524401064773</v>
      </c>
    </row>
    <row r="41" spans="1:9" x14ac:dyDescent="0.3">
      <c r="D41">
        <v>800</v>
      </c>
      <c r="F41">
        <f t="shared" si="18"/>
        <v>87.12</v>
      </c>
      <c r="H41">
        <f t="shared" si="19"/>
        <v>7.2600000000000007</v>
      </c>
      <c r="I41" s="25">
        <f t="shared" si="20"/>
        <v>0.22546583850931678</v>
      </c>
    </row>
    <row r="42" spans="1:9" x14ac:dyDescent="0.3">
      <c r="D42">
        <v>900</v>
      </c>
      <c r="F42">
        <f t="shared" si="18"/>
        <v>77.44</v>
      </c>
      <c r="H42">
        <f t="shared" si="19"/>
        <v>6.4533333333333331</v>
      </c>
      <c r="I42" s="25">
        <f t="shared" si="20"/>
        <v>0.2004140786749482</v>
      </c>
    </row>
    <row r="43" spans="1:9" x14ac:dyDescent="0.3">
      <c r="D43">
        <v>1000</v>
      </c>
      <c r="F43">
        <f t="shared" si="18"/>
        <v>69.695999999999998</v>
      </c>
      <c r="H43">
        <f t="shared" si="19"/>
        <v>5.8079999999999998</v>
      </c>
      <c r="I43" s="25">
        <f t="shared" si="20"/>
        <v>0.18037267080745339</v>
      </c>
    </row>
    <row r="44" spans="1:9" x14ac:dyDescent="0.3">
      <c r="D44">
        <v>1100</v>
      </c>
      <c r="F44">
        <f t="shared" si="18"/>
        <v>63.36</v>
      </c>
      <c r="H44">
        <f t="shared" si="19"/>
        <v>5.28</v>
      </c>
      <c r="I44" s="25">
        <f t="shared" si="20"/>
        <v>0.1639751552795031</v>
      </c>
    </row>
    <row r="45" spans="1:9" x14ac:dyDescent="0.3">
      <c r="D45">
        <v>1200</v>
      </c>
      <c r="F45">
        <f t="shared" si="18"/>
        <v>58.08</v>
      </c>
      <c r="H45">
        <f t="shared" si="19"/>
        <v>4.84</v>
      </c>
      <c r="I45" s="25">
        <f t="shared" si="20"/>
        <v>0.15031055900621115</v>
      </c>
    </row>
    <row r="46" spans="1:9" x14ac:dyDescent="0.3">
      <c r="A46" s="47"/>
      <c r="B46" s="47"/>
      <c r="C46" s="47"/>
      <c r="D46" s="47"/>
      <c r="E46" s="47"/>
      <c r="F46" s="47"/>
      <c r="G46" s="47"/>
      <c r="H46" s="47"/>
      <c r="I46" s="47"/>
    </row>
    <row r="47" spans="1:9" x14ac:dyDescent="0.3">
      <c r="A47">
        <v>20</v>
      </c>
      <c r="C47">
        <f>A47*17.6</f>
        <v>352</v>
      </c>
      <c r="D47">
        <v>100</v>
      </c>
      <c r="F47">
        <f>($C$47)^2/D47</f>
        <v>1239.04</v>
      </c>
      <c r="H47">
        <f t="shared" si="19"/>
        <v>103.25333333333333</v>
      </c>
      <c r="I47" s="25">
        <f t="shared" si="20"/>
        <v>3.2066252587991713</v>
      </c>
    </row>
    <row r="48" spans="1:9" x14ac:dyDescent="0.3">
      <c r="D48">
        <v>120</v>
      </c>
      <c r="F48">
        <f t="shared" ref="F48:F60" si="21">($C$47)^2/D48</f>
        <v>1032.5333333333333</v>
      </c>
      <c r="H48">
        <f t="shared" si="19"/>
        <v>86.044444444444437</v>
      </c>
      <c r="I48" s="25">
        <f t="shared" si="20"/>
        <v>2.6721877156659759</v>
      </c>
    </row>
    <row r="49" spans="1:9" x14ac:dyDescent="0.3">
      <c r="D49">
        <v>200</v>
      </c>
      <c r="F49">
        <f t="shared" si="21"/>
        <v>619.52</v>
      </c>
      <c r="H49">
        <f t="shared" si="19"/>
        <v>51.626666666666665</v>
      </c>
      <c r="I49" s="25">
        <f t="shared" si="20"/>
        <v>1.6033126293995856</v>
      </c>
    </row>
    <row r="50" spans="1:9" x14ac:dyDescent="0.3">
      <c r="D50">
        <v>300</v>
      </c>
      <c r="F50">
        <f t="shared" si="21"/>
        <v>413.01333333333332</v>
      </c>
      <c r="H50">
        <f t="shared" si="19"/>
        <v>34.417777777777779</v>
      </c>
      <c r="I50" s="25">
        <f t="shared" si="20"/>
        <v>1.0688750862663905</v>
      </c>
    </row>
    <row r="51" spans="1:9" x14ac:dyDescent="0.3">
      <c r="D51">
        <v>348</v>
      </c>
      <c r="F51">
        <f t="shared" si="21"/>
        <v>356.04597701149424</v>
      </c>
      <c r="H51">
        <f t="shared" si="19"/>
        <v>29.670498084291186</v>
      </c>
      <c r="I51" s="25">
        <f t="shared" si="20"/>
        <v>0.92144403988481938</v>
      </c>
    </row>
    <row r="52" spans="1:9" x14ac:dyDescent="0.3">
      <c r="D52">
        <v>400</v>
      </c>
      <c r="F52">
        <f t="shared" si="21"/>
        <v>309.76</v>
      </c>
      <c r="H52">
        <f t="shared" si="19"/>
        <v>25.813333333333333</v>
      </c>
      <c r="I52" s="25">
        <f t="shared" si="20"/>
        <v>0.80165631469979282</v>
      </c>
    </row>
    <row r="53" spans="1:9" x14ac:dyDescent="0.3">
      <c r="D53">
        <v>500</v>
      </c>
      <c r="F53">
        <f t="shared" si="21"/>
        <v>247.80799999999999</v>
      </c>
      <c r="H53">
        <f t="shared" si="19"/>
        <v>20.650666666666666</v>
      </c>
      <c r="I53" s="25">
        <f t="shared" si="20"/>
        <v>0.64132505175983434</v>
      </c>
    </row>
    <row r="54" spans="1:9" x14ac:dyDescent="0.3">
      <c r="D54">
        <v>600</v>
      </c>
      <c r="F54">
        <f t="shared" si="21"/>
        <v>206.50666666666666</v>
      </c>
      <c r="H54">
        <f t="shared" si="19"/>
        <v>17.20888888888889</v>
      </c>
      <c r="I54" s="25">
        <f t="shared" si="20"/>
        <v>0.53443754313319525</v>
      </c>
    </row>
    <row r="55" spans="1:9" x14ac:dyDescent="0.3">
      <c r="D55">
        <v>700</v>
      </c>
      <c r="F55">
        <f t="shared" si="21"/>
        <v>177.00571428571428</v>
      </c>
      <c r="H55">
        <f t="shared" si="19"/>
        <v>14.75047619047619</v>
      </c>
      <c r="I55" s="25">
        <f t="shared" si="20"/>
        <v>0.45808932268559593</v>
      </c>
    </row>
    <row r="56" spans="1:9" x14ac:dyDescent="0.3">
      <c r="D56">
        <v>800</v>
      </c>
      <c r="F56">
        <f t="shared" si="21"/>
        <v>154.88</v>
      </c>
      <c r="H56">
        <f t="shared" si="19"/>
        <v>12.906666666666666</v>
      </c>
      <c r="I56" s="25">
        <f t="shared" si="20"/>
        <v>0.40082815734989641</v>
      </c>
    </row>
    <row r="57" spans="1:9" x14ac:dyDescent="0.3">
      <c r="D57">
        <v>900</v>
      </c>
      <c r="F57">
        <f t="shared" si="21"/>
        <v>137.67111111111112</v>
      </c>
      <c r="H57">
        <f t="shared" si="19"/>
        <v>11.472592592592592</v>
      </c>
      <c r="I57" s="25">
        <f t="shared" si="20"/>
        <v>0.35629169542213018</v>
      </c>
    </row>
    <row r="58" spans="1:9" x14ac:dyDescent="0.3">
      <c r="D58">
        <v>1000</v>
      </c>
      <c r="F58">
        <f t="shared" si="21"/>
        <v>123.904</v>
      </c>
      <c r="H58">
        <f t="shared" si="19"/>
        <v>10.325333333333333</v>
      </c>
      <c r="I58" s="25">
        <f t="shared" si="20"/>
        <v>0.32066252587991717</v>
      </c>
    </row>
    <row r="59" spans="1:9" x14ac:dyDescent="0.3">
      <c r="D59">
        <v>1100</v>
      </c>
      <c r="F59">
        <f t="shared" si="21"/>
        <v>112.64</v>
      </c>
      <c r="H59">
        <f t="shared" si="19"/>
        <v>9.3866666666666667</v>
      </c>
      <c r="I59" s="25">
        <f t="shared" si="20"/>
        <v>0.29151138716356106</v>
      </c>
    </row>
    <row r="60" spans="1:9" x14ac:dyDescent="0.3">
      <c r="D60">
        <v>1200</v>
      </c>
      <c r="F60">
        <f t="shared" si="21"/>
        <v>103.25333333333333</v>
      </c>
      <c r="H60">
        <f t="shared" si="19"/>
        <v>8.6044444444444448</v>
      </c>
      <c r="I60" s="25">
        <f t="shared" si="20"/>
        <v>0.26721877156659762</v>
      </c>
    </row>
    <row r="61" spans="1:9" x14ac:dyDescent="0.3">
      <c r="A61" s="47"/>
      <c r="B61" s="47"/>
      <c r="C61" s="47"/>
      <c r="D61" s="47"/>
      <c r="E61" s="47"/>
      <c r="F61" s="47"/>
      <c r="G61" s="47"/>
      <c r="H61" s="47"/>
      <c r="I61" s="47"/>
    </row>
    <row r="62" spans="1:9" x14ac:dyDescent="0.3">
      <c r="A62">
        <v>25</v>
      </c>
      <c r="C62">
        <f>A62*17.6</f>
        <v>440.00000000000006</v>
      </c>
      <c r="D62">
        <v>100</v>
      </c>
      <c r="F62">
        <f>($C$62)^2/D62</f>
        <v>1936.0000000000007</v>
      </c>
      <c r="H62">
        <f t="shared" si="19"/>
        <v>161.3333333333334</v>
      </c>
      <c r="I62" s="25">
        <f t="shared" si="20"/>
        <v>5.0103519668737073</v>
      </c>
    </row>
    <row r="63" spans="1:9" x14ac:dyDescent="0.3">
      <c r="D63">
        <v>120</v>
      </c>
      <c r="F63">
        <f t="shared" ref="F63:F75" si="22">($C$62)^2/D63</f>
        <v>1613.3333333333337</v>
      </c>
      <c r="H63">
        <f t="shared" si="19"/>
        <v>134.44444444444449</v>
      </c>
      <c r="I63" s="25">
        <f t="shared" si="20"/>
        <v>4.175293305728089</v>
      </c>
    </row>
    <row r="64" spans="1:9" x14ac:dyDescent="0.3">
      <c r="D64">
        <v>200</v>
      </c>
      <c r="F64">
        <f t="shared" si="22"/>
        <v>968.00000000000034</v>
      </c>
      <c r="H64">
        <f t="shared" si="19"/>
        <v>80.6666666666667</v>
      </c>
      <c r="I64" s="25">
        <f t="shared" si="20"/>
        <v>2.5051759834368537</v>
      </c>
    </row>
    <row r="65" spans="1:9" x14ac:dyDescent="0.3">
      <c r="D65">
        <v>300</v>
      </c>
      <c r="F65">
        <f t="shared" si="22"/>
        <v>645.33333333333348</v>
      </c>
      <c r="H65">
        <f t="shared" si="19"/>
        <v>53.777777777777793</v>
      </c>
      <c r="I65" s="25">
        <f t="shared" si="20"/>
        <v>1.6701173222912356</v>
      </c>
    </row>
    <row r="66" spans="1:9" x14ac:dyDescent="0.3">
      <c r="D66">
        <v>348</v>
      </c>
      <c r="F66">
        <f t="shared" si="22"/>
        <v>556.32183908045988</v>
      </c>
      <c r="H66">
        <f t="shared" si="19"/>
        <v>46.36015325670499</v>
      </c>
      <c r="I66" s="25">
        <f t="shared" si="20"/>
        <v>1.4397563123200305</v>
      </c>
    </row>
    <row r="67" spans="1:9" x14ac:dyDescent="0.3">
      <c r="D67">
        <v>400</v>
      </c>
      <c r="F67">
        <f t="shared" si="22"/>
        <v>484.00000000000017</v>
      </c>
      <c r="H67">
        <f t="shared" si="19"/>
        <v>40.33333333333335</v>
      </c>
      <c r="I67" s="25">
        <f t="shared" si="20"/>
        <v>1.2525879917184268</v>
      </c>
    </row>
    <row r="68" spans="1:9" x14ac:dyDescent="0.3">
      <c r="D68">
        <v>500</v>
      </c>
      <c r="F68">
        <f t="shared" si="22"/>
        <v>387.2000000000001</v>
      </c>
      <c r="H68">
        <f t="shared" si="19"/>
        <v>32.266666666666673</v>
      </c>
      <c r="I68" s="25">
        <f t="shared" si="20"/>
        <v>1.0020703933747412</v>
      </c>
    </row>
    <row r="69" spans="1:9" x14ac:dyDescent="0.3">
      <c r="D69">
        <v>600</v>
      </c>
      <c r="F69">
        <f t="shared" si="22"/>
        <v>322.66666666666674</v>
      </c>
      <c r="H69">
        <f t="shared" si="19"/>
        <v>26.888888888888896</v>
      </c>
      <c r="I69" s="25">
        <f t="shared" si="20"/>
        <v>0.83505866114561778</v>
      </c>
    </row>
    <row r="70" spans="1:9" x14ac:dyDescent="0.3">
      <c r="D70">
        <v>700</v>
      </c>
      <c r="F70">
        <f t="shared" si="22"/>
        <v>276.57142857142867</v>
      </c>
      <c r="H70">
        <f t="shared" si="19"/>
        <v>23.047619047619055</v>
      </c>
      <c r="I70" s="25">
        <f t="shared" si="20"/>
        <v>0.71576456669624389</v>
      </c>
    </row>
    <row r="71" spans="1:9" x14ac:dyDescent="0.3">
      <c r="D71">
        <v>800</v>
      </c>
      <c r="F71">
        <f t="shared" si="22"/>
        <v>242.00000000000009</v>
      </c>
      <c r="H71">
        <f t="shared" si="19"/>
        <v>20.166666666666675</v>
      </c>
      <c r="I71" s="25">
        <f t="shared" si="20"/>
        <v>0.62629399585921341</v>
      </c>
    </row>
    <row r="72" spans="1:9" x14ac:dyDescent="0.3">
      <c r="D72">
        <v>900</v>
      </c>
      <c r="F72">
        <f t="shared" si="22"/>
        <v>215.11111111111117</v>
      </c>
      <c r="H72">
        <f t="shared" si="19"/>
        <v>17.925925925925931</v>
      </c>
      <c r="I72" s="25">
        <f t="shared" si="20"/>
        <v>0.55670577409707855</v>
      </c>
    </row>
    <row r="73" spans="1:9" x14ac:dyDescent="0.3">
      <c r="D73">
        <v>1000</v>
      </c>
      <c r="F73">
        <f t="shared" si="22"/>
        <v>193.60000000000005</v>
      </c>
      <c r="H73">
        <f t="shared" si="19"/>
        <v>16.133333333333336</v>
      </c>
      <c r="I73" s="25">
        <f t="shared" si="20"/>
        <v>0.50103519668737062</v>
      </c>
    </row>
    <row r="74" spans="1:9" x14ac:dyDescent="0.3">
      <c r="D74">
        <v>1100</v>
      </c>
      <c r="F74">
        <f t="shared" si="22"/>
        <v>176.00000000000006</v>
      </c>
      <c r="H74">
        <f t="shared" si="19"/>
        <v>14.666666666666671</v>
      </c>
      <c r="I74" s="25">
        <f t="shared" si="20"/>
        <v>0.4554865424430643</v>
      </c>
    </row>
    <row r="75" spans="1:9" x14ac:dyDescent="0.3">
      <c r="D75">
        <v>1200</v>
      </c>
      <c r="F75">
        <f t="shared" si="22"/>
        <v>161.33333333333337</v>
      </c>
      <c r="H75">
        <f t="shared" si="19"/>
        <v>13.444444444444448</v>
      </c>
      <c r="I75" s="25">
        <f t="shared" si="20"/>
        <v>0.41752933057280889</v>
      </c>
    </row>
    <row r="76" spans="1:9" x14ac:dyDescent="0.3">
      <c r="A76" s="47"/>
      <c r="B76" s="47"/>
      <c r="C76" s="47"/>
      <c r="D76" s="47"/>
      <c r="E76" s="47"/>
      <c r="F76" s="47"/>
      <c r="G76" s="47"/>
      <c r="H76" s="47"/>
      <c r="I76" s="47"/>
    </row>
    <row r="77" spans="1:9" x14ac:dyDescent="0.3">
      <c r="A77">
        <v>30</v>
      </c>
      <c r="C77">
        <f>A77*17.6</f>
        <v>528</v>
      </c>
      <c r="D77">
        <v>100</v>
      </c>
      <c r="F77">
        <f>($C$77)^2/D77</f>
        <v>2787.84</v>
      </c>
      <c r="H77">
        <f t="shared" si="19"/>
        <v>232.32000000000002</v>
      </c>
      <c r="I77" s="25">
        <f t="shared" si="20"/>
        <v>7.2149068322981371</v>
      </c>
    </row>
    <row r="78" spans="1:9" x14ac:dyDescent="0.3">
      <c r="D78">
        <v>120</v>
      </c>
      <c r="F78">
        <f t="shared" ref="F78:F90" si="23">($C$77)^2/D78</f>
        <v>2323.1999999999998</v>
      </c>
      <c r="H78">
        <f t="shared" si="19"/>
        <v>193.6</v>
      </c>
      <c r="I78" s="25">
        <f t="shared" si="20"/>
        <v>6.0124223602484461</v>
      </c>
    </row>
    <row r="79" spans="1:9" x14ac:dyDescent="0.3">
      <c r="D79">
        <v>200</v>
      </c>
      <c r="F79">
        <f t="shared" si="23"/>
        <v>1393.92</v>
      </c>
      <c r="H79">
        <f t="shared" si="19"/>
        <v>116.16000000000001</v>
      </c>
      <c r="I79" s="25">
        <f t="shared" si="20"/>
        <v>3.6074534161490686</v>
      </c>
    </row>
    <row r="80" spans="1:9" x14ac:dyDescent="0.3">
      <c r="D80">
        <v>300</v>
      </c>
      <c r="F80">
        <f t="shared" si="23"/>
        <v>929.28</v>
      </c>
      <c r="H80">
        <f t="shared" si="19"/>
        <v>77.44</v>
      </c>
      <c r="I80" s="25">
        <f t="shared" si="20"/>
        <v>2.4049689440993784</v>
      </c>
    </row>
    <row r="81" spans="1:9" x14ac:dyDescent="0.3">
      <c r="D81">
        <v>348</v>
      </c>
      <c r="F81">
        <f t="shared" si="23"/>
        <v>801.10344827586209</v>
      </c>
      <c r="H81">
        <f t="shared" si="19"/>
        <v>66.758620689655174</v>
      </c>
      <c r="I81" s="25">
        <f t="shared" si="20"/>
        <v>2.0732490897408438</v>
      </c>
    </row>
    <row r="82" spans="1:9" x14ac:dyDescent="0.3">
      <c r="D82">
        <v>400</v>
      </c>
      <c r="F82">
        <f t="shared" si="23"/>
        <v>696.96</v>
      </c>
      <c r="H82">
        <f t="shared" si="19"/>
        <v>58.080000000000005</v>
      </c>
      <c r="I82" s="25">
        <f t="shared" si="20"/>
        <v>1.8037267080745343</v>
      </c>
    </row>
    <row r="83" spans="1:9" x14ac:dyDescent="0.3">
      <c r="D83">
        <v>500</v>
      </c>
      <c r="F83">
        <f t="shared" si="23"/>
        <v>557.56799999999998</v>
      </c>
      <c r="H83">
        <f t="shared" si="19"/>
        <v>46.463999999999999</v>
      </c>
      <c r="I83" s="25">
        <f t="shared" si="20"/>
        <v>1.4429813664596272</v>
      </c>
    </row>
    <row r="84" spans="1:9" x14ac:dyDescent="0.3">
      <c r="D84">
        <v>600</v>
      </c>
      <c r="F84">
        <f t="shared" si="23"/>
        <v>464.64</v>
      </c>
      <c r="H84">
        <f t="shared" si="19"/>
        <v>38.72</v>
      </c>
      <c r="I84" s="25">
        <f t="shared" si="20"/>
        <v>1.2024844720496892</v>
      </c>
    </row>
    <row r="85" spans="1:9" x14ac:dyDescent="0.3">
      <c r="D85">
        <v>700</v>
      </c>
      <c r="F85">
        <f t="shared" si="23"/>
        <v>398.26285714285711</v>
      </c>
      <c r="H85">
        <f t="shared" si="19"/>
        <v>33.188571428571429</v>
      </c>
      <c r="I85" s="25">
        <f t="shared" si="20"/>
        <v>1.0307009760425909</v>
      </c>
    </row>
    <row r="86" spans="1:9" x14ac:dyDescent="0.3">
      <c r="D86">
        <v>800</v>
      </c>
      <c r="F86">
        <f t="shared" si="23"/>
        <v>348.48</v>
      </c>
      <c r="H86">
        <f t="shared" si="19"/>
        <v>29.040000000000003</v>
      </c>
      <c r="I86" s="25">
        <f t="shared" si="20"/>
        <v>0.90186335403726714</v>
      </c>
    </row>
    <row r="87" spans="1:9" x14ac:dyDescent="0.3">
      <c r="D87">
        <v>900</v>
      </c>
      <c r="F87">
        <f t="shared" si="23"/>
        <v>309.76</v>
      </c>
      <c r="H87">
        <f t="shared" si="19"/>
        <v>25.813333333333333</v>
      </c>
      <c r="I87" s="25">
        <f t="shared" si="20"/>
        <v>0.80165631469979282</v>
      </c>
    </row>
    <row r="88" spans="1:9" x14ac:dyDescent="0.3">
      <c r="D88">
        <v>1000</v>
      </c>
      <c r="F88">
        <f t="shared" si="23"/>
        <v>278.78399999999999</v>
      </c>
      <c r="H88">
        <f t="shared" si="19"/>
        <v>23.231999999999999</v>
      </c>
      <c r="I88" s="25">
        <f t="shared" si="20"/>
        <v>0.72149068322981358</v>
      </c>
    </row>
    <row r="89" spans="1:9" x14ac:dyDescent="0.3">
      <c r="D89">
        <v>1100</v>
      </c>
      <c r="F89">
        <f t="shared" si="23"/>
        <v>253.44</v>
      </c>
      <c r="H89">
        <f t="shared" si="19"/>
        <v>21.12</v>
      </c>
      <c r="I89" s="25">
        <f t="shared" si="20"/>
        <v>0.65590062111801239</v>
      </c>
    </row>
    <row r="90" spans="1:9" x14ac:dyDescent="0.3">
      <c r="D90">
        <v>1200</v>
      </c>
      <c r="F90">
        <f t="shared" si="23"/>
        <v>232.32</v>
      </c>
      <c r="H90">
        <f t="shared" si="19"/>
        <v>19.36</v>
      </c>
      <c r="I90" s="25">
        <f t="shared" si="20"/>
        <v>0.60124223602484461</v>
      </c>
    </row>
    <row r="91" spans="1:9" x14ac:dyDescent="0.3">
      <c r="A91" s="47"/>
      <c r="B91" s="47"/>
      <c r="C91" s="47"/>
      <c r="D91" s="47"/>
      <c r="E91" s="47"/>
      <c r="F91" s="47"/>
      <c r="G91" s="47"/>
      <c r="H91" s="47"/>
      <c r="I91" s="47"/>
    </row>
    <row r="92" spans="1:9" x14ac:dyDescent="0.3">
      <c r="A92">
        <v>35</v>
      </c>
      <c r="C92">
        <f>A92*17.6</f>
        <v>616</v>
      </c>
      <c r="D92">
        <v>100</v>
      </c>
      <c r="F92">
        <f>($C$92)^2/D92</f>
        <v>3794.56</v>
      </c>
      <c r="H92">
        <f t="shared" si="19"/>
        <v>316.21333333333331</v>
      </c>
      <c r="I92" s="25">
        <f t="shared" si="20"/>
        <v>9.8202898550724615</v>
      </c>
    </row>
    <row r="93" spans="1:9" x14ac:dyDescent="0.3">
      <c r="D93">
        <v>120</v>
      </c>
      <c r="F93">
        <f t="shared" ref="F93:F105" si="24">($C$92)^2/D93</f>
        <v>3162.1333333333332</v>
      </c>
      <c r="H93">
        <f t="shared" si="19"/>
        <v>263.51111111111112</v>
      </c>
      <c r="I93" s="25">
        <f t="shared" si="20"/>
        <v>8.1835748792270522</v>
      </c>
    </row>
    <row r="94" spans="1:9" x14ac:dyDescent="0.3">
      <c r="D94">
        <v>200</v>
      </c>
      <c r="F94">
        <f t="shared" si="24"/>
        <v>1897.28</v>
      </c>
      <c r="H94">
        <f t="shared" si="19"/>
        <v>158.10666666666665</v>
      </c>
      <c r="I94" s="25">
        <f t="shared" si="20"/>
        <v>4.9101449275362308</v>
      </c>
    </row>
    <row r="95" spans="1:9" x14ac:dyDescent="0.3">
      <c r="D95">
        <v>300</v>
      </c>
      <c r="F95">
        <f t="shared" si="24"/>
        <v>1264.8533333333332</v>
      </c>
      <c r="H95">
        <f t="shared" si="19"/>
        <v>105.40444444444444</v>
      </c>
      <c r="I95" s="25">
        <f t="shared" si="20"/>
        <v>3.2734299516908205</v>
      </c>
    </row>
    <row r="96" spans="1:9" x14ac:dyDescent="0.3">
      <c r="D96">
        <v>348</v>
      </c>
      <c r="F96">
        <f t="shared" si="24"/>
        <v>1090.3908045977012</v>
      </c>
      <c r="H96">
        <f t="shared" si="19"/>
        <v>90.865900383141764</v>
      </c>
      <c r="I96" s="25">
        <f t="shared" si="20"/>
        <v>2.8219223721472595</v>
      </c>
    </row>
    <row r="97" spans="1:9" x14ac:dyDescent="0.3">
      <c r="D97">
        <v>400</v>
      </c>
      <c r="F97">
        <f t="shared" si="24"/>
        <v>948.64</v>
      </c>
      <c r="H97">
        <f t="shared" ref="H97:H160" si="25">F97/12</f>
        <v>79.053333333333327</v>
      </c>
      <c r="I97" s="25">
        <f t="shared" ref="I97:I160" si="26">H97/$N$2</f>
        <v>2.4550724637681154</v>
      </c>
    </row>
    <row r="98" spans="1:9" x14ac:dyDescent="0.3">
      <c r="D98">
        <v>500</v>
      </c>
      <c r="F98">
        <f t="shared" si="24"/>
        <v>758.91200000000003</v>
      </c>
      <c r="H98">
        <f t="shared" si="25"/>
        <v>63.242666666666672</v>
      </c>
      <c r="I98" s="25">
        <f t="shared" si="26"/>
        <v>1.9640579710144928</v>
      </c>
    </row>
    <row r="99" spans="1:9" x14ac:dyDescent="0.3">
      <c r="D99">
        <v>600</v>
      </c>
      <c r="F99">
        <f t="shared" si="24"/>
        <v>632.42666666666662</v>
      </c>
      <c r="H99">
        <f t="shared" si="25"/>
        <v>52.702222222222218</v>
      </c>
      <c r="I99" s="25">
        <f t="shared" si="26"/>
        <v>1.6367149758454103</v>
      </c>
    </row>
    <row r="100" spans="1:9" x14ac:dyDescent="0.3">
      <c r="D100">
        <v>700</v>
      </c>
      <c r="F100">
        <f t="shared" si="24"/>
        <v>542.08000000000004</v>
      </c>
      <c r="H100">
        <f t="shared" si="25"/>
        <v>45.173333333333339</v>
      </c>
      <c r="I100" s="25">
        <f t="shared" si="26"/>
        <v>1.4028985507246376</v>
      </c>
    </row>
    <row r="101" spans="1:9" x14ac:dyDescent="0.3">
      <c r="D101">
        <v>800</v>
      </c>
      <c r="F101">
        <f t="shared" si="24"/>
        <v>474.32</v>
      </c>
      <c r="H101">
        <f t="shared" si="25"/>
        <v>39.526666666666664</v>
      </c>
      <c r="I101" s="25">
        <f t="shared" si="26"/>
        <v>1.2275362318840577</v>
      </c>
    </row>
    <row r="102" spans="1:9" x14ac:dyDescent="0.3">
      <c r="D102">
        <v>900</v>
      </c>
      <c r="F102">
        <f t="shared" si="24"/>
        <v>421.6177777777778</v>
      </c>
      <c r="H102">
        <f t="shared" si="25"/>
        <v>35.134814814814817</v>
      </c>
      <c r="I102" s="25">
        <f t="shared" si="26"/>
        <v>1.0911433172302738</v>
      </c>
    </row>
    <row r="103" spans="1:9" x14ac:dyDescent="0.3">
      <c r="D103">
        <v>1000</v>
      </c>
      <c r="F103">
        <f t="shared" si="24"/>
        <v>379.45600000000002</v>
      </c>
      <c r="H103">
        <f t="shared" si="25"/>
        <v>31.621333333333336</v>
      </c>
      <c r="I103" s="25">
        <f t="shared" si="26"/>
        <v>0.98202898550724638</v>
      </c>
    </row>
    <row r="104" spans="1:9" x14ac:dyDescent="0.3">
      <c r="D104">
        <v>1100</v>
      </c>
      <c r="F104">
        <f t="shared" si="24"/>
        <v>344.96</v>
      </c>
      <c r="H104">
        <f t="shared" si="25"/>
        <v>28.746666666666666</v>
      </c>
      <c r="I104" s="25">
        <f t="shared" si="26"/>
        <v>0.89275362318840568</v>
      </c>
    </row>
    <row r="105" spans="1:9" x14ac:dyDescent="0.3">
      <c r="D105">
        <v>1200</v>
      </c>
      <c r="F105">
        <f t="shared" si="24"/>
        <v>316.21333333333331</v>
      </c>
      <c r="H105">
        <f t="shared" si="25"/>
        <v>26.351111111111109</v>
      </c>
      <c r="I105" s="25">
        <f t="shared" si="26"/>
        <v>0.81835748792270513</v>
      </c>
    </row>
    <row r="106" spans="1:9" x14ac:dyDescent="0.3">
      <c r="A106" s="47"/>
      <c r="B106" s="47"/>
      <c r="C106" s="47"/>
      <c r="D106" s="47"/>
      <c r="E106" s="47"/>
      <c r="F106" s="47"/>
      <c r="G106" s="47"/>
      <c r="H106" s="47"/>
      <c r="I106" s="47"/>
    </row>
    <row r="107" spans="1:9" x14ac:dyDescent="0.3">
      <c r="A107">
        <v>40</v>
      </c>
      <c r="C107">
        <f>A107*17.6</f>
        <v>704</v>
      </c>
      <c r="D107">
        <v>100</v>
      </c>
      <c r="F107">
        <f>($C$107)^2/D107</f>
        <v>4956.16</v>
      </c>
      <c r="H107">
        <f t="shared" si="25"/>
        <v>413.01333333333332</v>
      </c>
      <c r="I107" s="25">
        <f t="shared" si="26"/>
        <v>12.826501035196685</v>
      </c>
    </row>
    <row r="108" spans="1:9" x14ac:dyDescent="0.3">
      <c r="D108">
        <v>120</v>
      </c>
      <c r="F108">
        <f t="shared" ref="F108:F120" si="27">($C$107)^2/D108</f>
        <v>4130.1333333333332</v>
      </c>
      <c r="H108">
        <f t="shared" si="25"/>
        <v>344.17777777777775</v>
      </c>
      <c r="I108" s="25">
        <f t="shared" si="26"/>
        <v>10.688750862663904</v>
      </c>
    </row>
    <row r="109" spans="1:9" x14ac:dyDescent="0.3">
      <c r="D109">
        <v>200</v>
      </c>
      <c r="F109">
        <f t="shared" si="27"/>
        <v>2478.08</v>
      </c>
      <c r="H109">
        <f t="shared" si="25"/>
        <v>206.50666666666666</v>
      </c>
      <c r="I109" s="25">
        <f t="shared" si="26"/>
        <v>6.4132505175983425</v>
      </c>
    </row>
    <row r="110" spans="1:9" x14ac:dyDescent="0.3">
      <c r="D110">
        <v>300</v>
      </c>
      <c r="F110">
        <f t="shared" si="27"/>
        <v>1652.0533333333333</v>
      </c>
      <c r="H110">
        <f t="shared" si="25"/>
        <v>137.67111111111112</v>
      </c>
      <c r="I110" s="25">
        <f t="shared" si="26"/>
        <v>4.275500345065562</v>
      </c>
    </row>
    <row r="111" spans="1:9" x14ac:dyDescent="0.3">
      <c r="D111">
        <v>348</v>
      </c>
      <c r="F111">
        <f t="shared" si="27"/>
        <v>1424.183908045977</v>
      </c>
      <c r="H111">
        <f t="shared" si="25"/>
        <v>118.68199233716474</v>
      </c>
      <c r="I111" s="25">
        <f t="shared" si="26"/>
        <v>3.6857761595392775</v>
      </c>
    </row>
    <row r="112" spans="1:9" x14ac:dyDescent="0.3">
      <c r="D112">
        <v>400</v>
      </c>
      <c r="F112">
        <f t="shared" si="27"/>
        <v>1239.04</v>
      </c>
      <c r="H112">
        <f t="shared" si="25"/>
        <v>103.25333333333333</v>
      </c>
      <c r="I112" s="25">
        <f t="shared" si="26"/>
        <v>3.2066252587991713</v>
      </c>
    </row>
    <row r="113" spans="1:9" x14ac:dyDescent="0.3">
      <c r="D113">
        <v>500</v>
      </c>
      <c r="F113">
        <f t="shared" si="27"/>
        <v>991.23199999999997</v>
      </c>
      <c r="H113">
        <f t="shared" si="25"/>
        <v>82.602666666666664</v>
      </c>
      <c r="I113" s="25">
        <f t="shared" si="26"/>
        <v>2.5653002070393374</v>
      </c>
    </row>
    <row r="114" spans="1:9" x14ac:dyDescent="0.3">
      <c r="D114">
        <v>600</v>
      </c>
      <c r="F114">
        <f t="shared" si="27"/>
        <v>826.02666666666664</v>
      </c>
      <c r="H114">
        <f t="shared" si="25"/>
        <v>68.835555555555558</v>
      </c>
      <c r="I114" s="25">
        <f t="shared" si="26"/>
        <v>2.137750172532781</v>
      </c>
    </row>
    <row r="115" spans="1:9" x14ac:dyDescent="0.3">
      <c r="D115">
        <v>700</v>
      </c>
      <c r="F115">
        <f t="shared" si="27"/>
        <v>708.02285714285711</v>
      </c>
      <c r="H115">
        <f t="shared" si="25"/>
        <v>59.001904761904761</v>
      </c>
      <c r="I115" s="25">
        <f t="shared" si="26"/>
        <v>1.8323572907423837</v>
      </c>
    </row>
    <row r="116" spans="1:9" x14ac:dyDescent="0.3">
      <c r="D116">
        <v>800</v>
      </c>
      <c r="F116">
        <f t="shared" si="27"/>
        <v>619.52</v>
      </c>
      <c r="H116">
        <f t="shared" si="25"/>
        <v>51.626666666666665</v>
      </c>
      <c r="I116" s="25">
        <f t="shared" si="26"/>
        <v>1.6033126293995856</v>
      </c>
    </row>
    <row r="117" spans="1:9" x14ac:dyDescent="0.3">
      <c r="D117">
        <v>900</v>
      </c>
      <c r="F117">
        <f t="shared" si="27"/>
        <v>550.68444444444447</v>
      </c>
      <c r="H117">
        <f t="shared" si="25"/>
        <v>45.89037037037037</v>
      </c>
      <c r="I117" s="25">
        <f t="shared" si="26"/>
        <v>1.4251667816885207</v>
      </c>
    </row>
    <row r="118" spans="1:9" x14ac:dyDescent="0.3">
      <c r="D118">
        <v>1000</v>
      </c>
      <c r="F118">
        <f t="shared" si="27"/>
        <v>495.61599999999999</v>
      </c>
      <c r="H118">
        <f t="shared" si="25"/>
        <v>41.301333333333332</v>
      </c>
      <c r="I118" s="25">
        <f t="shared" si="26"/>
        <v>1.2826501035196687</v>
      </c>
    </row>
    <row r="119" spans="1:9" x14ac:dyDescent="0.3">
      <c r="D119">
        <v>1100</v>
      </c>
      <c r="F119">
        <f t="shared" si="27"/>
        <v>450.56</v>
      </c>
      <c r="H119">
        <f t="shared" si="25"/>
        <v>37.546666666666667</v>
      </c>
      <c r="I119" s="25">
        <f t="shared" si="26"/>
        <v>1.1660455486542443</v>
      </c>
    </row>
    <row r="120" spans="1:9" x14ac:dyDescent="0.3">
      <c r="D120">
        <v>1200</v>
      </c>
      <c r="F120">
        <f t="shared" si="27"/>
        <v>413.01333333333332</v>
      </c>
      <c r="H120">
        <f t="shared" si="25"/>
        <v>34.417777777777779</v>
      </c>
      <c r="I120" s="25">
        <f t="shared" si="26"/>
        <v>1.0688750862663905</v>
      </c>
    </row>
    <row r="121" spans="1:9" x14ac:dyDescent="0.3">
      <c r="A121" s="47"/>
      <c r="B121" s="47"/>
      <c r="C121" s="47"/>
      <c r="D121" s="47"/>
      <c r="E121" s="47"/>
      <c r="F121" s="47"/>
      <c r="G121" s="47"/>
      <c r="H121" s="47"/>
      <c r="I121" s="47"/>
    </row>
    <row r="122" spans="1:9" x14ac:dyDescent="0.3">
      <c r="A122">
        <v>45</v>
      </c>
      <c r="C122">
        <f>A122*17.6</f>
        <v>792.00000000000011</v>
      </c>
      <c r="D122">
        <v>100</v>
      </c>
      <c r="F122">
        <f>($C$122)^2/D122</f>
        <v>6272.6400000000021</v>
      </c>
      <c r="H122">
        <f t="shared" si="25"/>
        <v>522.72000000000014</v>
      </c>
      <c r="I122" s="25">
        <f t="shared" si="26"/>
        <v>16.233540372670809</v>
      </c>
    </row>
    <row r="123" spans="1:9" x14ac:dyDescent="0.3">
      <c r="D123">
        <v>120</v>
      </c>
      <c r="F123">
        <f t="shared" ref="F123:F135" si="28">($C$122)^2/D123</f>
        <v>5227.2000000000016</v>
      </c>
      <c r="H123">
        <f t="shared" si="25"/>
        <v>435.60000000000014</v>
      </c>
      <c r="I123" s="25">
        <f t="shared" si="26"/>
        <v>13.527950310559008</v>
      </c>
    </row>
    <row r="124" spans="1:9" x14ac:dyDescent="0.3">
      <c r="D124">
        <v>200</v>
      </c>
      <c r="F124">
        <f t="shared" si="28"/>
        <v>3136.3200000000011</v>
      </c>
      <c r="H124">
        <f t="shared" si="25"/>
        <v>261.36000000000007</v>
      </c>
      <c r="I124" s="25">
        <f t="shared" si="26"/>
        <v>8.1167701863354047</v>
      </c>
    </row>
    <row r="125" spans="1:9" x14ac:dyDescent="0.3">
      <c r="D125">
        <v>300</v>
      </c>
      <c r="F125">
        <f t="shared" si="28"/>
        <v>2090.8800000000006</v>
      </c>
      <c r="H125">
        <f t="shared" si="25"/>
        <v>174.24000000000004</v>
      </c>
      <c r="I125" s="25">
        <f t="shared" si="26"/>
        <v>5.4111801242236028</v>
      </c>
    </row>
    <row r="126" spans="1:9" x14ac:dyDescent="0.3">
      <c r="D126">
        <v>348</v>
      </c>
      <c r="F126">
        <f t="shared" si="28"/>
        <v>1802.4827586206902</v>
      </c>
      <c r="H126">
        <f t="shared" si="25"/>
        <v>150.20689655172418</v>
      </c>
      <c r="I126" s="25">
        <f t="shared" si="26"/>
        <v>4.6648104519168996</v>
      </c>
    </row>
    <row r="127" spans="1:9" x14ac:dyDescent="0.3">
      <c r="D127">
        <v>400</v>
      </c>
      <c r="F127">
        <f t="shared" si="28"/>
        <v>1568.1600000000005</v>
      </c>
      <c r="H127">
        <f t="shared" si="25"/>
        <v>130.68000000000004</v>
      </c>
      <c r="I127" s="25">
        <f t="shared" si="26"/>
        <v>4.0583850931677024</v>
      </c>
    </row>
    <row r="128" spans="1:9" x14ac:dyDescent="0.3">
      <c r="D128">
        <v>500</v>
      </c>
      <c r="F128">
        <f t="shared" si="28"/>
        <v>1254.5280000000005</v>
      </c>
      <c r="H128">
        <f t="shared" si="25"/>
        <v>104.54400000000004</v>
      </c>
      <c r="I128" s="25">
        <f t="shared" si="26"/>
        <v>3.2467080745341623</v>
      </c>
    </row>
    <row r="129" spans="1:9" x14ac:dyDescent="0.3">
      <c r="D129">
        <v>600</v>
      </c>
      <c r="F129">
        <f t="shared" si="28"/>
        <v>1045.4400000000003</v>
      </c>
      <c r="H129">
        <f t="shared" si="25"/>
        <v>87.120000000000019</v>
      </c>
      <c r="I129" s="25">
        <f t="shared" si="26"/>
        <v>2.7055900621118014</v>
      </c>
    </row>
    <row r="130" spans="1:9" x14ac:dyDescent="0.3">
      <c r="D130">
        <v>700</v>
      </c>
      <c r="F130">
        <f t="shared" si="28"/>
        <v>896.09142857142888</v>
      </c>
      <c r="H130">
        <f t="shared" si="25"/>
        <v>74.674285714285745</v>
      </c>
      <c r="I130" s="25">
        <f t="shared" si="26"/>
        <v>2.3190771960958303</v>
      </c>
    </row>
    <row r="131" spans="1:9" x14ac:dyDescent="0.3">
      <c r="D131">
        <v>800</v>
      </c>
      <c r="F131">
        <f t="shared" si="28"/>
        <v>784.08000000000027</v>
      </c>
      <c r="H131">
        <f t="shared" si="25"/>
        <v>65.340000000000018</v>
      </c>
      <c r="I131" s="25">
        <f t="shared" si="26"/>
        <v>2.0291925465838512</v>
      </c>
    </row>
    <row r="132" spans="1:9" x14ac:dyDescent="0.3">
      <c r="D132">
        <v>900</v>
      </c>
      <c r="F132">
        <f t="shared" si="28"/>
        <v>696.96000000000026</v>
      </c>
      <c r="H132">
        <f t="shared" si="25"/>
        <v>58.08000000000002</v>
      </c>
      <c r="I132" s="25">
        <f t="shared" si="26"/>
        <v>1.8037267080745345</v>
      </c>
    </row>
    <row r="133" spans="1:9" x14ac:dyDescent="0.3">
      <c r="D133">
        <v>1000</v>
      </c>
      <c r="F133">
        <f t="shared" si="28"/>
        <v>627.26400000000024</v>
      </c>
      <c r="H133">
        <f t="shared" si="25"/>
        <v>52.27200000000002</v>
      </c>
      <c r="I133" s="25">
        <f t="shared" si="26"/>
        <v>1.6233540372670812</v>
      </c>
    </row>
    <row r="134" spans="1:9" x14ac:dyDescent="0.3">
      <c r="D134">
        <v>1100</v>
      </c>
      <c r="F134">
        <f t="shared" si="28"/>
        <v>570.24000000000024</v>
      </c>
      <c r="H134">
        <f t="shared" si="25"/>
        <v>47.520000000000017</v>
      </c>
      <c r="I134" s="25">
        <f t="shared" si="26"/>
        <v>1.4757763975155282</v>
      </c>
    </row>
    <row r="135" spans="1:9" x14ac:dyDescent="0.3">
      <c r="D135">
        <v>1200</v>
      </c>
      <c r="F135">
        <f t="shared" si="28"/>
        <v>522.72000000000014</v>
      </c>
      <c r="H135">
        <f t="shared" si="25"/>
        <v>43.560000000000009</v>
      </c>
      <c r="I135" s="25">
        <f t="shared" si="26"/>
        <v>1.3527950310559007</v>
      </c>
    </row>
    <row r="136" spans="1:9" x14ac:dyDescent="0.3">
      <c r="A136" s="47"/>
      <c r="B136" s="47"/>
      <c r="C136" s="47"/>
      <c r="D136" s="47"/>
      <c r="E136" s="47"/>
      <c r="F136" s="47"/>
      <c r="G136" s="47"/>
      <c r="H136" s="47"/>
      <c r="I136" s="47"/>
    </row>
    <row r="137" spans="1:9" x14ac:dyDescent="0.3">
      <c r="A137">
        <v>50</v>
      </c>
      <c r="C137">
        <f>A137*17.6</f>
        <v>880.00000000000011</v>
      </c>
      <c r="D137">
        <v>100</v>
      </c>
      <c r="F137">
        <f>($C$137)^2/D137</f>
        <v>7744.0000000000027</v>
      </c>
      <c r="H137">
        <f t="shared" si="25"/>
        <v>645.3333333333336</v>
      </c>
      <c r="I137" s="25">
        <f t="shared" si="26"/>
        <v>20.041407867494829</v>
      </c>
    </row>
    <row r="138" spans="1:9" x14ac:dyDescent="0.3">
      <c r="D138">
        <v>120</v>
      </c>
      <c r="F138">
        <f t="shared" ref="F138:F150" si="29">($C$137)^2/D138</f>
        <v>6453.3333333333348</v>
      </c>
      <c r="H138">
        <f t="shared" si="25"/>
        <v>537.77777777777794</v>
      </c>
      <c r="I138" s="25">
        <f t="shared" si="26"/>
        <v>16.701173222912356</v>
      </c>
    </row>
    <row r="139" spans="1:9" x14ac:dyDescent="0.3">
      <c r="D139">
        <v>200</v>
      </c>
      <c r="F139">
        <f t="shared" si="29"/>
        <v>3872.0000000000014</v>
      </c>
      <c r="H139">
        <f t="shared" si="25"/>
        <v>322.6666666666668</v>
      </c>
      <c r="I139" s="25">
        <f t="shared" si="26"/>
        <v>10.020703933747415</v>
      </c>
    </row>
    <row r="140" spans="1:9" x14ac:dyDescent="0.3">
      <c r="D140">
        <v>300</v>
      </c>
      <c r="F140">
        <f t="shared" si="29"/>
        <v>2581.3333333333339</v>
      </c>
      <c r="H140">
        <f t="shared" si="25"/>
        <v>215.11111111111117</v>
      </c>
      <c r="I140" s="25">
        <f t="shared" si="26"/>
        <v>6.6804692891649422</v>
      </c>
    </row>
    <row r="141" spans="1:9" x14ac:dyDescent="0.3">
      <c r="D141">
        <v>348</v>
      </c>
      <c r="F141">
        <f t="shared" si="29"/>
        <v>2225.2873563218395</v>
      </c>
      <c r="H141">
        <f t="shared" si="25"/>
        <v>185.44061302681996</v>
      </c>
      <c r="I141" s="25">
        <f t="shared" si="26"/>
        <v>5.7590252492801222</v>
      </c>
    </row>
    <row r="142" spans="1:9" x14ac:dyDescent="0.3">
      <c r="D142">
        <v>400</v>
      </c>
      <c r="F142">
        <f t="shared" si="29"/>
        <v>1936.0000000000007</v>
      </c>
      <c r="H142">
        <f t="shared" si="25"/>
        <v>161.3333333333334</v>
      </c>
      <c r="I142" s="25">
        <f t="shared" si="26"/>
        <v>5.0103519668737073</v>
      </c>
    </row>
    <row r="143" spans="1:9" x14ac:dyDescent="0.3">
      <c r="D143">
        <v>500</v>
      </c>
      <c r="F143">
        <f t="shared" si="29"/>
        <v>1548.8000000000004</v>
      </c>
      <c r="H143">
        <f t="shared" si="25"/>
        <v>129.06666666666669</v>
      </c>
      <c r="I143" s="25">
        <f t="shared" si="26"/>
        <v>4.008281573498965</v>
      </c>
    </row>
    <row r="144" spans="1:9" x14ac:dyDescent="0.3">
      <c r="D144">
        <v>600</v>
      </c>
      <c r="F144">
        <f t="shared" si="29"/>
        <v>1290.666666666667</v>
      </c>
      <c r="H144">
        <f t="shared" si="25"/>
        <v>107.55555555555559</v>
      </c>
      <c r="I144" s="25">
        <f t="shared" si="26"/>
        <v>3.3402346445824711</v>
      </c>
    </row>
    <row r="145" spans="1:9" x14ac:dyDescent="0.3">
      <c r="D145">
        <v>700</v>
      </c>
      <c r="F145">
        <f t="shared" si="29"/>
        <v>1106.2857142857147</v>
      </c>
      <c r="H145">
        <f t="shared" si="25"/>
        <v>92.190476190476218</v>
      </c>
      <c r="I145" s="25">
        <f t="shared" si="26"/>
        <v>2.8630582667849755</v>
      </c>
    </row>
    <row r="146" spans="1:9" x14ac:dyDescent="0.3">
      <c r="D146">
        <v>800</v>
      </c>
      <c r="F146">
        <f t="shared" si="29"/>
        <v>968.00000000000034</v>
      </c>
      <c r="H146">
        <f t="shared" si="25"/>
        <v>80.6666666666667</v>
      </c>
      <c r="I146" s="25">
        <f t="shared" si="26"/>
        <v>2.5051759834368537</v>
      </c>
    </row>
    <row r="147" spans="1:9" x14ac:dyDescent="0.3">
      <c r="D147">
        <v>900</v>
      </c>
      <c r="F147">
        <f t="shared" si="29"/>
        <v>860.44444444444468</v>
      </c>
      <c r="H147">
        <f t="shared" si="25"/>
        <v>71.703703703703724</v>
      </c>
      <c r="I147" s="25">
        <f t="shared" si="26"/>
        <v>2.2268230963883142</v>
      </c>
    </row>
    <row r="148" spans="1:9" x14ac:dyDescent="0.3">
      <c r="D148">
        <v>1000</v>
      </c>
      <c r="F148">
        <f t="shared" si="29"/>
        <v>774.4000000000002</v>
      </c>
      <c r="H148">
        <f t="shared" si="25"/>
        <v>64.533333333333346</v>
      </c>
      <c r="I148" s="25">
        <f t="shared" si="26"/>
        <v>2.0041407867494825</v>
      </c>
    </row>
    <row r="149" spans="1:9" x14ac:dyDescent="0.3">
      <c r="D149">
        <v>1100</v>
      </c>
      <c r="F149">
        <f t="shared" si="29"/>
        <v>704.00000000000023</v>
      </c>
      <c r="H149">
        <f t="shared" si="25"/>
        <v>58.666666666666686</v>
      </c>
      <c r="I149" s="25">
        <f t="shared" si="26"/>
        <v>1.8219461697722572</v>
      </c>
    </row>
    <row r="150" spans="1:9" x14ac:dyDescent="0.3">
      <c r="D150">
        <v>1200</v>
      </c>
      <c r="F150">
        <f t="shared" si="29"/>
        <v>645.33333333333348</v>
      </c>
      <c r="H150">
        <f t="shared" si="25"/>
        <v>53.777777777777793</v>
      </c>
      <c r="I150" s="25">
        <f t="shared" si="26"/>
        <v>1.6701173222912356</v>
      </c>
    </row>
    <row r="151" spans="1:9" x14ac:dyDescent="0.3">
      <c r="A151" s="47"/>
      <c r="B151" s="47"/>
      <c r="C151" s="47"/>
      <c r="D151" s="47"/>
      <c r="E151" s="47"/>
      <c r="F151" s="47"/>
      <c r="G151" s="47"/>
      <c r="H151" s="47"/>
      <c r="I151" s="47"/>
    </row>
    <row r="152" spans="1:9" x14ac:dyDescent="0.3">
      <c r="A152">
        <v>55</v>
      </c>
      <c r="C152">
        <f>A152*17.6</f>
        <v>968.00000000000011</v>
      </c>
      <c r="D152">
        <v>100</v>
      </c>
      <c r="F152">
        <f>($C$152)^2/D152</f>
        <v>9370.2400000000016</v>
      </c>
      <c r="H152">
        <f t="shared" si="25"/>
        <v>780.85333333333347</v>
      </c>
      <c r="I152" s="25">
        <f t="shared" si="26"/>
        <v>24.250103519668738</v>
      </c>
    </row>
    <row r="153" spans="1:9" x14ac:dyDescent="0.3">
      <c r="D153">
        <v>120</v>
      </c>
      <c r="F153">
        <f t="shared" ref="F153:F165" si="30">($C$152)^2/D153</f>
        <v>7808.5333333333356</v>
      </c>
      <c r="H153">
        <f t="shared" si="25"/>
        <v>650.71111111111134</v>
      </c>
      <c r="I153" s="25">
        <f t="shared" si="26"/>
        <v>20.208419599723953</v>
      </c>
    </row>
    <row r="154" spans="1:9" x14ac:dyDescent="0.3">
      <c r="D154">
        <v>200</v>
      </c>
      <c r="F154">
        <f t="shared" si="30"/>
        <v>4685.1200000000008</v>
      </c>
      <c r="H154">
        <f t="shared" si="25"/>
        <v>390.42666666666673</v>
      </c>
      <c r="I154" s="25">
        <f t="shared" si="26"/>
        <v>12.125051759834369</v>
      </c>
    </row>
    <row r="155" spans="1:9" x14ac:dyDescent="0.3">
      <c r="D155">
        <v>300</v>
      </c>
      <c r="F155">
        <f t="shared" si="30"/>
        <v>3123.4133333333343</v>
      </c>
      <c r="H155">
        <f t="shared" si="25"/>
        <v>260.28444444444455</v>
      </c>
      <c r="I155" s="25">
        <f t="shared" si="26"/>
        <v>8.083367839889581</v>
      </c>
    </row>
    <row r="156" spans="1:9" x14ac:dyDescent="0.3">
      <c r="D156">
        <v>348</v>
      </c>
      <c r="F156">
        <f t="shared" si="30"/>
        <v>2692.597701149426</v>
      </c>
      <c r="H156">
        <f t="shared" si="25"/>
        <v>224.38314176245217</v>
      </c>
      <c r="I156" s="25">
        <f t="shared" si="26"/>
        <v>6.9684205516289488</v>
      </c>
    </row>
    <row r="157" spans="1:9" x14ac:dyDescent="0.3">
      <c r="D157">
        <v>400</v>
      </c>
      <c r="F157">
        <f t="shared" si="30"/>
        <v>2342.5600000000004</v>
      </c>
      <c r="H157">
        <f t="shared" si="25"/>
        <v>195.21333333333337</v>
      </c>
      <c r="I157" s="25">
        <f t="shared" si="26"/>
        <v>6.0625258799171844</v>
      </c>
    </row>
    <row r="158" spans="1:9" x14ac:dyDescent="0.3">
      <c r="D158">
        <v>500</v>
      </c>
      <c r="F158">
        <f t="shared" si="30"/>
        <v>1874.0480000000005</v>
      </c>
      <c r="H158">
        <f t="shared" si="25"/>
        <v>156.1706666666667</v>
      </c>
      <c r="I158" s="25">
        <f t="shared" si="26"/>
        <v>4.8500207039337484</v>
      </c>
    </row>
    <row r="159" spans="1:9" x14ac:dyDescent="0.3">
      <c r="D159">
        <v>600</v>
      </c>
      <c r="F159">
        <f t="shared" si="30"/>
        <v>1561.7066666666672</v>
      </c>
      <c r="H159">
        <f t="shared" si="25"/>
        <v>130.14222222222227</v>
      </c>
      <c r="I159" s="25">
        <f t="shared" si="26"/>
        <v>4.0416839199447905</v>
      </c>
    </row>
    <row r="160" spans="1:9" x14ac:dyDescent="0.3">
      <c r="D160">
        <v>700</v>
      </c>
      <c r="F160">
        <f t="shared" si="30"/>
        <v>1338.6057142857146</v>
      </c>
      <c r="H160">
        <f t="shared" si="25"/>
        <v>111.55047619047622</v>
      </c>
      <c r="I160" s="25">
        <f t="shared" si="26"/>
        <v>3.4643005028098202</v>
      </c>
    </row>
    <row r="161" spans="1:9" x14ac:dyDescent="0.3">
      <c r="D161">
        <v>800</v>
      </c>
      <c r="F161">
        <f t="shared" si="30"/>
        <v>1171.2800000000002</v>
      </c>
      <c r="H161">
        <f t="shared" ref="H161:H180" si="31">F161/12</f>
        <v>97.606666666666683</v>
      </c>
      <c r="I161" s="25">
        <f t="shared" ref="I161:I180" si="32">H161/$N$2</f>
        <v>3.0312629399585922</v>
      </c>
    </row>
    <row r="162" spans="1:9" x14ac:dyDescent="0.3">
      <c r="D162">
        <v>900</v>
      </c>
      <c r="F162">
        <f t="shared" si="30"/>
        <v>1041.137777777778</v>
      </c>
      <c r="H162">
        <f t="shared" si="31"/>
        <v>86.761481481481496</v>
      </c>
      <c r="I162" s="25">
        <f t="shared" si="32"/>
        <v>2.6944559466298599</v>
      </c>
    </row>
    <row r="163" spans="1:9" x14ac:dyDescent="0.3">
      <c r="D163">
        <v>1000</v>
      </c>
      <c r="F163">
        <f t="shared" si="30"/>
        <v>937.02400000000023</v>
      </c>
      <c r="H163">
        <f t="shared" si="31"/>
        <v>78.085333333333352</v>
      </c>
      <c r="I163" s="25">
        <f t="shared" si="32"/>
        <v>2.4250103519668742</v>
      </c>
    </row>
    <row r="164" spans="1:9" x14ac:dyDescent="0.3">
      <c r="D164">
        <v>1100</v>
      </c>
      <c r="F164">
        <f t="shared" si="30"/>
        <v>851.84000000000026</v>
      </c>
      <c r="H164">
        <f t="shared" si="31"/>
        <v>70.986666666666693</v>
      </c>
      <c r="I164" s="25">
        <f t="shared" si="32"/>
        <v>2.2045548654244311</v>
      </c>
    </row>
    <row r="165" spans="1:9" x14ac:dyDescent="0.3">
      <c r="D165">
        <v>1200</v>
      </c>
      <c r="F165">
        <f t="shared" si="30"/>
        <v>780.85333333333358</v>
      </c>
      <c r="H165">
        <f t="shared" si="31"/>
        <v>65.071111111111136</v>
      </c>
      <c r="I165" s="25">
        <f t="shared" si="32"/>
        <v>2.0208419599723952</v>
      </c>
    </row>
    <row r="166" spans="1:9" x14ac:dyDescent="0.3">
      <c r="A166" s="47"/>
      <c r="B166" s="47"/>
      <c r="C166" s="47"/>
      <c r="D166" s="47"/>
      <c r="E166" s="47"/>
      <c r="F166" s="47"/>
      <c r="G166" s="47"/>
      <c r="H166" s="47"/>
      <c r="I166" s="47"/>
    </row>
    <row r="167" spans="1:9" x14ac:dyDescent="0.3">
      <c r="A167">
        <v>60</v>
      </c>
      <c r="C167">
        <f>A167*17.6</f>
        <v>1056</v>
      </c>
      <c r="D167">
        <v>100</v>
      </c>
      <c r="F167">
        <f>($C$167)^2/D167</f>
        <v>11151.36</v>
      </c>
      <c r="H167">
        <f t="shared" si="31"/>
        <v>929.28000000000009</v>
      </c>
      <c r="I167" s="25">
        <f t="shared" si="32"/>
        <v>28.859627329192548</v>
      </c>
    </row>
    <row r="168" spans="1:9" x14ac:dyDescent="0.3">
      <c r="D168">
        <v>120</v>
      </c>
      <c r="F168">
        <f t="shared" ref="F168:F180" si="33">($C$167)^2/D168</f>
        <v>9292.7999999999993</v>
      </c>
      <c r="H168">
        <f t="shared" si="31"/>
        <v>774.4</v>
      </c>
      <c r="I168" s="25">
        <f t="shared" si="32"/>
        <v>24.049689440993784</v>
      </c>
    </row>
    <row r="169" spans="1:9" x14ac:dyDescent="0.3">
      <c r="D169">
        <v>200</v>
      </c>
      <c r="F169">
        <f t="shared" si="33"/>
        <v>5575.68</v>
      </c>
      <c r="H169">
        <f t="shared" si="31"/>
        <v>464.64000000000004</v>
      </c>
      <c r="I169" s="25">
        <f t="shared" si="32"/>
        <v>14.429813664596274</v>
      </c>
    </row>
    <row r="170" spans="1:9" x14ac:dyDescent="0.3">
      <c r="D170">
        <v>300</v>
      </c>
      <c r="F170">
        <f t="shared" si="33"/>
        <v>3717.12</v>
      </c>
      <c r="H170">
        <f t="shared" si="31"/>
        <v>309.76</v>
      </c>
      <c r="I170" s="25">
        <f t="shared" si="32"/>
        <v>9.6198757763975138</v>
      </c>
    </row>
    <row r="171" spans="1:9" x14ac:dyDescent="0.3">
      <c r="D171">
        <v>348</v>
      </c>
      <c r="F171">
        <f t="shared" si="33"/>
        <v>3204.4137931034484</v>
      </c>
      <c r="H171">
        <f t="shared" si="31"/>
        <v>267.0344827586207</v>
      </c>
      <c r="I171" s="25">
        <f t="shared" si="32"/>
        <v>8.2929963589633751</v>
      </c>
    </row>
    <row r="172" spans="1:9" x14ac:dyDescent="0.3">
      <c r="D172">
        <v>400</v>
      </c>
      <c r="F172">
        <f t="shared" si="33"/>
        <v>2787.84</v>
      </c>
      <c r="H172">
        <f t="shared" si="31"/>
        <v>232.32000000000002</v>
      </c>
      <c r="I172" s="25">
        <f t="shared" si="32"/>
        <v>7.2149068322981371</v>
      </c>
    </row>
    <row r="173" spans="1:9" x14ac:dyDescent="0.3">
      <c r="D173">
        <v>500</v>
      </c>
      <c r="F173">
        <f t="shared" si="33"/>
        <v>2230.2719999999999</v>
      </c>
      <c r="H173">
        <f t="shared" si="31"/>
        <v>185.85599999999999</v>
      </c>
      <c r="I173" s="25">
        <f t="shared" si="32"/>
        <v>5.7719254658385086</v>
      </c>
    </row>
    <row r="174" spans="1:9" x14ac:dyDescent="0.3">
      <c r="D174">
        <v>600</v>
      </c>
      <c r="F174">
        <f t="shared" si="33"/>
        <v>1858.56</v>
      </c>
      <c r="H174">
        <f t="shared" si="31"/>
        <v>154.88</v>
      </c>
      <c r="I174" s="25">
        <f t="shared" si="32"/>
        <v>4.8099378881987569</v>
      </c>
    </row>
    <row r="175" spans="1:9" x14ac:dyDescent="0.3">
      <c r="D175">
        <v>700</v>
      </c>
      <c r="F175">
        <f t="shared" si="33"/>
        <v>1593.0514285714285</v>
      </c>
      <c r="H175">
        <f t="shared" si="31"/>
        <v>132.75428571428571</v>
      </c>
      <c r="I175" s="25">
        <f t="shared" si="32"/>
        <v>4.1228039041703637</v>
      </c>
    </row>
    <row r="176" spans="1:9" x14ac:dyDescent="0.3">
      <c r="D176">
        <v>800</v>
      </c>
      <c r="F176">
        <f t="shared" si="33"/>
        <v>1393.92</v>
      </c>
      <c r="H176">
        <f t="shared" si="31"/>
        <v>116.16000000000001</v>
      </c>
      <c r="I176" s="25">
        <f t="shared" si="32"/>
        <v>3.6074534161490686</v>
      </c>
    </row>
    <row r="177" spans="1:9" x14ac:dyDescent="0.3">
      <c r="D177">
        <v>900</v>
      </c>
      <c r="F177">
        <f t="shared" si="33"/>
        <v>1239.04</v>
      </c>
      <c r="H177">
        <f t="shared" si="31"/>
        <v>103.25333333333333</v>
      </c>
      <c r="I177" s="25">
        <f t="shared" si="32"/>
        <v>3.2066252587991713</v>
      </c>
    </row>
    <row r="178" spans="1:9" x14ac:dyDescent="0.3">
      <c r="D178">
        <v>1000</v>
      </c>
      <c r="F178">
        <f t="shared" si="33"/>
        <v>1115.136</v>
      </c>
      <c r="H178">
        <f t="shared" si="31"/>
        <v>92.927999999999997</v>
      </c>
      <c r="I178" s="25">
        <f t="shared" si="32"/>
        <v>2.8859627329192543</v>
      </c>
    </row>
    <row r="179" spans="1:9" x14ac:dyDescent="0.3">
      <c r="D179">
        <v>1100</v>
      </c>
      <c r="F179">
        <f t="shared" si="33"/>
        <v>1013.76</v>
      </c>
      <c r="H179">
        <f t="shared" si="31"/>
        <v>84.48</v>
      </c>
      <c r="I179" s="25">
        <f t="shared" si="32"/>
        <v>2.6236024844720496</v>
      </c>
    </row>
    <row r="180" spans="1:9" x14ac:dyDescent="0.3">
      <c r="D180">
        <v>1200</v>
      </c>
      <c r="F180">
        <f t="shared" si="33"/>
        <v>929.28</v>
      </c>
      <c r="H180">
        <f t="shared" si="31"/>
        <v>77.44</v>
      </c>
      <c r="I180" s="25">
        <f t="shared" si="32"/>
        <v>2.4049689440993784</v>
      </c>
    </row>
    <row r="181" spans="1:9" x14ac:dyDescent="0.3">
      <c r="A181" s="47"/>
      <c r="B181" s="47"/>
      <c r="C181" s="47"/>
      <c r="D181" s="47"/>
      <c r="E181" s="47"/>
      <c r="F181" s="47"/>
      <c r="G181" s="47"/>
      <c r="H181" s="47"/>
      <c r="I181" s="47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10146-7A0B-4828-B0B6-A4EBB44E917E}">
  <dimension ref="A1:BD264"/>
  <sheetViews>
    <sheetView topLeftCell="AB10" zoomScale="67" workbookViewId="0">
      <selection activeCell="O38" sqref="O38"/>
    </sheetView>
  </sheetViews>
  <sheetFormatPr defaultRowHeight="14.4" x14ac:dyDescent="0.3"/>
  <cols>
    <col min="1" max="1" width="22.77734375" customWidth="1"/>
    <col min="2" max="4" width="10.21875" customWidth="1"/>
    <col min="5" max="5" width="11.21875" customWidth="1"/>
    <col min="6" max="6" width="15.109375" customWidth="1"/>
    <col min="7" max="7" width="9.21875" customWidth="1"/>
    <col min="8" max="8" width="12" customWidth="1"/>
    <col min="9" max="9" width="18" customWidth="1"/>
    <col min="10" max="10" width="17.44140625" customWidth="1"/>
    <col min="11" max="11" width="10.44140625" customWidth="1"/>
    <col min="12" max="12" width="21.77734375" customWidth="1"/>
    <col min="13" max="13" width="10" customWidth="1"/>
    <col min="14" max="14" width="16.21875" customWidth="1"/>
    <col min="15" max="15" width="10.21875" customWidth="1"/>
    <col min="16" max="16" width="9.77734375" customWidth="1"/>
    <col min="17" max="18" width="11.88671875" customWidth="1"/>
    <col min="19" max="19" width="17.109375" customWidth="1"/>
    <col min="20" max="20" width="16.109375" customWidth="1"/>
    <col min="21" max="21" width="14.109375" customWidth="1"/>
    <col min="22" max="22" width="15" customWidth="1"/>
    <col min="23" max="23" width="10.21875" customWidth="1"/>
    <col min="28" max="28" width="9.77734375" customWidth="1"/>
    <col min="29" max="29" width="15.88671875" customWidth="1"/>
    <col min="30" max="30" width="9.88671875" customWidth="1"/>
    <col min="31" max="31" width="9.5546875" customWidth="1"/>
    <col min="32" max="32" width="12.21875" customWidth="1"/>
    <col min="33" max="33" width="11.88671875" customWidth="1"/>
    <col min="34" max="34" width="17.44140625" customWidth="1"/>
    <col min="35" max="35" width="10.5546875" customWidth="1"/>
    <col min="36" max="36" width="16.77734375" customWidth="1"/>
    <col min="37" max="38" width="18.33203125" customWidth="1"/>
    <col min="39" max="39" width="9.88671875" customWidth="1"/>
    <col min="40" max="40" width="22.77734375" customWidth="1"/>
    <col min="41" max="41" width="10.5546875" customWidth="1"/>
    <col min="42" max="42" width="15.88671875" customWidth="1"/>
    <col min="43" max="43" width="10.21875" customWidth="1"/>
    <col min="44" max="44" width="9.77734375" customWidth="1"/>
    <col min="45" max="45" width="12.33203125" customWidth="1"/>
    <col min="46" max="46" width="12.109375" customWidth="1"/>
    <col min="47" max="47" width="17.5546875" customWidth="1"/>
    <col min="48" max="48" width="17" customWidth="1"/>
    <col min="49" max="49" width="14.77734375" customWidth="1"/>
    <col min="50" max="50" width="17.109375" customWidth="1"/>
  </cols>
  <sheetData>
    <row r="1" spans="1:56" x14ac:dyDescent="0.3">
      <c r="A1" s="1" t="s">
        <v>82</v>
      </c>
      <c r="E1" s="1" t="s">
        <v>388</v>
      </c>
      <c r="F1" t="s">
        <v>114</v>
      </c>
      <c r="G1" s="96" t="s">
        <v>337</v>
      </c>
      <c r="H1" t="s">
        <v>338</v>
      </c>
      <c r="I1" t="s">
        <v>77</v>
      </c>
      <c r="J1" t="s">
        <v>170</v>
      </c>
      <c r="K1" t="s">
        <v>97</v>
      </c>
      <c r="L1" t="s">
        <v>327</v>
      </c>
      <c r="M1" s="96" t="s">
        <v>385</v>
      </c>
      <c r="N1" t="s">
        <v>104</v>
      </c>
      <c r="O1" t="s">
        <v>330</v>
      </c>
      <c r="P1" t="s">
        <v>331</v>
      </c>
      <c r="Q1" t="s">
        <v>332</v>
      </c>
      <c r="R1" t="s">
        <v>333</v>
      </c>
      <c r="S1" t="s">
        <v>334</v>
      </c>
      <c r="T1" t="s">
        <v>335</v>
      </c>
      <c r="U1" s="96" t="s">
        <v>339</v>
      </c>
      <c r="V1" s="56" t="s">
        <v>386</v>
      </c>
      <c r="W1" s="56" t="s">
        <v>102</v>
      </c>
      <c r="X1" t="s">
        <v>92</v>
      </c>
      <c r="Y1" t="s">
        <v>93</v>
      </c>
      <c r="Z1" t="s">
        <v>70</v>
      </c>
      <c r="AA1" t="s">
        <v>94</v>
      </c>
      <c r="AB1" s="96"/>
      <c r="AG1" s="1" t="s">
        <v>389</v>
      </c>
      <c r="AH1" s="79" t="s">
        <v>114</v>
      </c>
      <c r="AI1" s="96" t="s">
        <v>337</v>
      </c>
      <c r="AJ1" t="s">
        <v>338</v>
      </c>
      <c r="AK1" t="s">
        <v>77</v>
      </c>
      <c r="AL1" t="s">
        <v>170</v>
      </c>
      <c r="AM1" t="s">
        <v>97</v>
      </c>
      <c r="AN1" t="s">
        <v>327</v>
      </c>
      <c r="AO1" s="96" t="s">
        <v>385</v>
      </c>
      <c r="AP1" t="s">
        <v>104</v>
      </c>
      <c r="AQ1" t="s">
        <v>330</v>
      </c>
      <c r="AR1" t="s">
        <v>331</v>
      </c>
      <c r="AS1" t="s">
        <v>332</v>
      </c>
      <c r="AT1" t="s">
        <v>333</v>
      </c>
      <c r="AU1" t="s">
        <v>334</v>
      </c>
      <c r="AV1" t="s">
        <v>335</v>
      </c>
      <c r="AW1" s="96" t="s">
        <v>339</v>
      </c>
      <c r="AX1" s="56" t="s">
        <v>386</v>
      </c>
      <c r="AY1" s="56" t="s">
        <v>102</v>
      </c>
      <c r="AZ1" t="s">
        <v>92</v>
      </c>
      <c r="BA1" t="s">
        <v>93</v>
      </c>
      <c r="BB1" t="s">
        <v>70</v>
      </c>
      <c r="BC1" t="s">
        <v>94</v>
      </c>
      <c r="BD1" s="96"/>
    </row>
    <row r="2" spans="1:56" x14ac:dyDescent="0.3">
      <c r="A2" t="s">
        <v>328</v>
      </c>
      <c r="B2">
        <f>'Input + Tire Forces'!B10</f>
        <v>31.720000000000002</v>
      </c>
      <c r="F2" s="19">
        <v>100</v>
      </c>
      <c r="G2" s="97"/>
      <c r="H2">
        <f>SQRT(('Input + Tire Forces'!$L$5*386.4)*F2)</f>
        <v>256.29670306112018</v>
      </c>
      <c r="I2">
        <f>-(H2^2/F2)</f>
        <v>-656.88000000000011</v>
      </c>
      <c r="J2">
        <f>I2/H2</f>
        <v>-2.562967030611202</v>
      </c>
      <c r="K2">
        <v>0</v>
      </c>
      <c r="L2">
        <f>H2*(K2*PI()/180)</f>
        <v>0</v>
      </c>
      <c r="M2" s="97"/>
      <c r="N2">
        <v>0</v>
      </c>
      <c r="O2">
        <v>0</v>
      </c>
      <c r="P2">
        <v>0</v>
      </c>
      <c r="Q2">
        <f>O2-V2</f>
        <v>0</v>
      </c>
      <c r="R2">
        <f>V2-P2</f>
        <v>0</v>
      </c>
      <c r="S2">
        <f>V2+($B$9*Q2)+$B$10</f>
        <v>0</v>
      </c>
      <c r="T2">
        <f>V2-($B$9*R2)-$B$10</f>
        <v>0</v>
      </c>
      <c r="U2" s="97"/>
      <c r="V2" s="25">
        <v>0</v>
      </c>
      <c r="W2" s="25">
        <f>V2*(PI()/180)</f>
        <v>0</v>
      </c>
      <c r="X2">
        <f>(-((($L$2+($J$2*$B$2))/($H$2+($J$2*($B$4/2)))+S2)))*(180/PI())</f>
        <v>23.91344902835489</v>
      </c>
      <c r="Y2">
        <f>(-((($L$2+($J$2*$B$2))/($H$2-($J$2*($B$4/2))))+T2))*(180/PI())</f>
        <v>14.656630049636869</v>
      </c>
      <c r="Z2">
        <f>-(($L$2-($J$2*$B$3))/($H$2+($J$2*($B$5/2))))*(180/PI())</f>
        <v>-22.073952949250664</v>
      </c>
      <c r="AA2">
        <f>-(($L$2-($J$2*$B$3))/($H$2-($J$2*($B$5/2))))*(180/PI())</f>
        <v>-13.529196968895567</v>
      </c>
      <c r="AB2" s="97"/>
      <c r="AH2">
        <v>120</v>
      </c>
      <c r="AI2" s="97"/>
      <c r="AJ2">
        <f>SQRT(('Input + Tire Forces'!$L$5*386.4)*AH2)</f>
        <v>280.75897136155777</v>
      </c>
      <c r="AK2">
        <f>-(AJ2^2/AH2)</f>
        <v>-656.88000000000022</v>
      </c>
      <c r="AL2">
        <f>AK2/AJ2</f>
        <v>-2.3396580946796486</v>
      </c>
      <c r="AM2">
        <f>-DEGREES(ATAN($B$3/AH2))</f>
        <v>-13.71223685853203</v>
      </c>
      <c r="AN2">
        <f>AJ2*(AM2*PI()/180)</f>
        <v>-67.192270498535777</v>
      </c>
      <c r="AO2" s="97"/>
      <c r="AP2">
        <v>0</v>
      </c>
      <c r="AQ2">
        <v>0</v>
      </c>
      <c r="AR2">
        <v>0</v>
      </c>
      <c r="AS2">
        <f>AQ2-AX2</f>
        <v>0</v>
      </c>
      <c r="AT2">
        <f>AX2-AR2</f>
        <v>0</v>
      </c>
      <c r="AU2">
        <f>AX2+($B$9*AS2)+$B$10</f>
        <v>0</v>
      </c>
      <c r="AV2">
        <f>AX2-($B$9*AT2)-$B$10</f>
        <v>0</v>
      </c>
      <c r="AW2" s="97"/>
      <c r="AX2" s="25">
        <v>0</v>
      </c>
      <c r="AY2" s="25">
        <f>AX2*(PI()/180)</f>
        <v>0</v>
      </c>
      <c r="AZ2">
        <f>(-((($AN$2+($AL$2*$B$2))/($AJ$2+($AL$2*($B$4/2)))+AU2)))*(180/PI())</f>
        <v>36.071776553946002</v>
      </c>
      <c r="BA2">
        <f>(-((($AN$2+($AL$2*$B$2))/($AJ$2-($AL$2*($B$4/2))))+AV2))*(180/PI())</f>
        <v>24.047851035963998</v>
      </c>
      <c r="BB2">
        <f>-(($AN$2-($AL$2*$B$3))/($AJ$2+($AL$2*($B$5/2))))*(180/PI())</f>
        <v>-0.33491667832506844</v>
      </c>
      <c r="BC2">
        <f>-(($AN$2-($AL$2*$B$3))/($AJ$2-($AL$2*($B$5/2))))*(180/PI())</f>
        <v>-0.22327778555004557</v>
      </c>
      <c r="BD2" s="97"/>
    </row>
    <row r="3" spans="1:56" x14ac:dyDescent="0.3">
      <c r="A3" t="s">
        <v>329</v>
      </c>
      <c r="B3">
        <f>'Input + Tire Forces'!B11</f>
        <v>29.279999999999998</v>
      </c>
      <c r="G3" s="97"/>
      <c r="M3" s="97"/>
      <c r="N3">
        <f t="shared" ref="N3:N17" si="0">($D$6/TAN(W3))</f>
        <v>291.22397162302707</v>
      </c>
      <c r="O3">
        <f t="shared" ref="O3:O17" si="1">DEGREES(ATAN(($D$6/(N3-(($B$4/2)/12)))))</f>
        <v>1.0069136373297729</v>
      </c>
      <c r="P3">
        <f t="shared" ref="P3:P17" si="2">DEGREES(ATAN(($D$6/(N3+(($B$4/2)/12)))))</f>
        <v>0.99318064617350288</v>
      </c>
      <c r="Q3">
        <f t="shared" ref="Q3:Q17" si="3">O3-V3</f>
        <v>6.9136373297729037E-3</v>
      </c>
      <c r="R3">
        <f t="shared" ref="R3:R17" si="4">V3-P3</f>
        <v>6.819353826497121E-3</v>
      </c>
      <c r="S3">
        <f>V3+($B$9*Q3)+$B$10</f>
        <v>0.99846309842159153</v>
      </c>
      <c r="T3">
        <f t="shared" ref="T3:T17" si="5">V3-($B$9*R3)-$B$10</f>
        <v>1.0015159423556304</v>
      </c>
      <c r="U3" s="97"/>
      <c r="V3" s="25">
        <v>1</v>
      </c>
      <c r="W3" s="25">
        <f t="shared" ref="W3:W17" si="6">V3*(PI()/180)</f>
        <v>1.7453292519943295E-2</v>
      </c>
      <c r="X3">
        <f>$X$2-S3</f>
        <v>22.914985929933298</v>
      </c>
      <c r="Y3">
        <f>$Y$2-T3</f>
        <v>13.655114107281239</v>
      </c>
      <c r="Z3">
        <f t="shared" ref="Z3:Z17" si="7">-(($L$2-($J$2*$B$3))/($H$2+($J$2*($B$5/2))))*(180/PI())</f>
        <v>-22.073952949250664</v>
      </c>
      <c r="AA3">
        <f t="shared" ref="AA3:AA17" si="8">-(($L$2-($J$2*$B$3))/($H$2-($J$2*($B$5/2))))*(180/PI())</f>
        <v>-13.529196968895567</v>
      </c>
      <c r="AB3" s="97"/>
      <c r="AI3" s="97"/>
      <c r="AO3" s="97"/>
      <c r="AP3">
        <f>($D$6/TAN(AY3))</f>
        <v>291.22397162302707</v>
      </c>
      <c r="AQ3">
        <f>DEGREES(ATAN(($D$6/(AP3-(($B$4/2)/12)))))</f>
        <v>1.0069136373297729</v>
      </c>
      <c r="AR3">
        <f t="shared" ref="AR3:AR66" si="9">DEGREES(ATAN(($D$6/(AP3+(($B$4/2)/12)))))</f>
        <v>0.99318064617350288</v>
      </c>
      <c r="AS3">
        <f>AQ3-AX3</f>
        <v>6.9136373297729037E-3</v>
      </c>
      <c r="AT3">
        <f t="shared" ref="AT3:AT66" si="10">AX3-AR3</f>
        <v>6.819353826497121E-3</v>
      </c>
      <c r="AU3">
        <f>AX3+($B$9*AS3)+$B$10</f>
        <v>0.99846309842159153</v>
      </c>
      <c r="AV3">
        <f t="shared" ref="AV3:AV66" si="11">AX3-($B$9*AT3)-$B$10</f>
        <v>1.0015159423556304</v>
      </c>
      <c r="AW3" s="97"/>
      <c r="AX3" s="25">
        <v>1</v>
      </c>
      <c r="AY3" s="25">
        <f t="shared" ref="AY3:AY66" si="12">AX3*(PI()/180)</f>
        <v>1.7453292519943295E-2</v>
      </c>
      <c r="AZ3">
        <f>$AZ$2-AU3</f>
        <v>35.073313455524413</v>
      </c>
      <c r="BA3">
        <f>$BA$2-AV3</f>
        <v>23.046335093608366</v>
      </c>
      <c r="BB3">
        <f t="shared" ref="BB3:BB66" si="13">-(($AN$2-($AL$2*$B$3))/($AJ$2+($AL$2*($B$5/2))))*(180/PI())</f>
        <v>-0.33491667832506844</v>
      </c>
      <c r="BC3">
        <f t="shared" ref="BC3:BC66" si="14">-(($AN$2-($AL$2*$B$3))/($AJ$2-($AL$2*($B$5/2))))*(180/PI())</f>
        <v>-0.22327778555004557</v>
      </c>
      <c r="BD3" s="97"/>
    </row>
    <row r="4" spans="1:56" x14ac:dyDescent="0.3">
      <c r="A4" t="s">
        <v>71</v>
      </c>
      <c r="B4">
        <f>'Input + Tire Forces'!B6</f>
        <v>48</v>
      </c>
      <c r="G4" s="97"/>
      <c r="M4" s="97"/>
      <c r="N4">
        <f t="shared" si="0"/>
        <v>145.56762085482097</v>
      </c>
      <c r="O4">
        <f t="shared" si="1"/>
        <v>2.0278383342160931</v>
      </c>
      <c r="P4">
        <f t="shared" si="2"/>
        <v>1.9729153509744273</v>
      </c>
      <c r="Q4">
        <f t="shared" si="3"/>
        <v>2.7838334216093052E-2</v>
      </c>
      <c r="R4">
        <f t="shared" si="4"/>
        <v>2.7084649025572727E-2</v>
      </c>
      <c r="S4">
        <f t="shared" ref="S4:S17" si="15">V4+($B$9*Q4)+$B$10</f>
        <v>1.9938115383037625</v>
      </c>
      <c r="T4">
        <f t="shared" si="5"/>
        <v>2.0060209174783847</v>
      </c>
      <c r="U4" s="97"/>
      <c r="V4" s="25">
        <v>2</v>
      </c>
      <c r="W4" s="25">
        <f t="shared" si="6"/>
        <v>3.4906585039886591E-2</v>
      </c>
      <c r="X4">
        <f t="shared" ref="X4:X17" si="16">$X$2-S4</f>
        <v>21.919637490051127</v>
      </c>
      <c r="Y4">
        <f t="shared" ref="Y4:Y17" si="17">$Y$2-T4</f>
        <v>12.650609132158484</v>
      </c>
      <c r="Z4">
        <f t="shared" si="7"/>
        <v>-22.073952949250664</v>
      </c>
      <c r="AA4">
        <f t="shared" si="8"/>
        <v>-13.529196968895567</v>
      </c>
      <c r="AB4" s="97"/>
      <c r="AI4" s="97"/>
      <c r="AO4" s="97"/>
      <c r="AP4">
        <f t="shared" ref="AP4:AP17" si="18">($D$6/TAN(AY4))</f>
        <v>145.56762085482097</v>
      </c>
      <c r="AQ4">
        <f t="shared" ref="AQ4:AQ17" si="19">DEGREES(ATAN(($D$6/(AP4-(($B$4/2)/12)))))</f>
        <v>2.0278383342160931</v>
      </c>
      <c r="AR4">
        <f t="shared" si="9"/>
        <v>1.9729153509744273</v>
      </c>
      <c r="AS4">
        <f t="shared" ref="AS4:AS17" si="20">AQ4-AX4</f>
        <v>2.7838334216093052E-2</v>
      </c>
      <c r="AT4">
        <f t="shared" si="10"/>
        <v>2.7084649025572727E-2</v>
      </c>
      <c r="AU4">
        <f t="shared" ref="AU4:AU17" si="21">AX4+($B$9*AS4)+$B$10</f>
        <v>1.9938115383037625</v>
      </c>
      <c r="AV4">
        <f t="shared" si="11"/>
        <v>2.0060209174783847</v>
      </c>
      <c r="AW4" s="97"/>
      <c r="AX4" s="25">
        <f>AX3+1</f>
        <v>2</v>
      </c>
      <c r="AY4" s="25">
        <f t="shared" si="12"/>
        <v>3.4906585039886591E-2</v>
      </c>
      <c r="AZ4">
        <f t="shared" ref="AZ4:AZ67" si="22">$AZ$2-AU4</f>
        <v>34.077965015642242</v>
      </c>
      <c r="BA4">
        <f t="shared" ref="BA4:BA67" si="23">$BA$2-AV4</f>
        <v>22.041830118485613</v>
      </c>
      <c r="BB4">
        <f t="shared" si="13"/>
        <v>-0.33491667832506844</v>
      </c>
      <c r="BC4">
        <f t="shared" si="14"/>
        <v>-0.22327778555004557</v>
      </c>
      <c r="BD4" s="97"/>
    </row>
    <row r="5" spans="1:56" x14ac:dyDescent="0.3">
      <c r="A5" t="s">
        <v>72</v>
      </c>
      <c r="B5">
        <f>'Input + Tire Forces'!B7</f>
        <v>48</v>
      </c>
      <c r="G5" s="97"/>
      <c r="M5" s="97"/>
      <c r="N5">
        <f t="shared" si="0"/>
        <v>96.995778162618393</v>
      </c>
      <c r="O5">
        <f t="shared" si="1"/>
        <v>3.0630416649496421</v>
      </c>
      <c r="P5">
        <f t="shared" si="2"/>
        <v>2.9394987432632744</v>
      </c>
      <c r="Q5">
        <f t="shared" si="3"/>
        <v>6.304166494964214E-2</v>
      </c>
      <c r="R5">
        <f t="shared" si="4"/>
        <v>6.0501256736725573E-2</v>
      </c>
      <c r="S5">
        <f t="shared" si="15"/>
        <v>2.9859858378816946</v>
      </c>
      <c r="T5">
        <f t="shared" si="5"/>
        <v>3.013449429372574</v>
      </c>
      <c r="U5" s="97"/>
      <c r="V5" s="25">
        <v>3</v>
      </c>
      <c r="W5" s="25">
        <f t="shared" si="6"/>
        <v>5.235987755982989E-2</v>
      </c>
      <c r="X5">
        <f t="shared" si="16"/>
        <v>20.927463190473194</v>
      </c>
      <c r="Y5">
        <f t="shared" si="17"/>
        <v>11.643180620264294</v>
      </c>
      <c r="Z5">
        <f t="shared" si="7"/>
        <v>-22.073952949250664</v>
      </c>
      <c r="AA5">
        <f t="shared" si="8"/>
        <v>-13.529196968895567</v>
      </c>
      <c r="AB5" s="97"/>
      <c r="AI5" s="97"/>
      <c r="AO5" s="97"/>
      <c r="AP5">
        <f t="shared" si="18"/>
        <v>96.995778162618393</v>
      </c>
      <c r="AQ5">
        <f t="shared" si="19"/>
        <v>3.0630416649496421</v>
      </c>
      <c r="AR5">
        <f t="shared" si="9"/>
        <v>2.9394987432632744</v>
      </c>
      <c r="AS5">
        <f t="shared" si="20"/>
        <v>6.304166494964214E-2</v>
      </c>
      <c r="AT5">
        <f t="shared" si="10"/>
        <v>6.0501256736725573E-2</v>
      </c>
      <c r="AU5">
        <f t="shared" si="21"/>
        <v>2.9859858378816946</v>
      </c>
      <c r="AV5">
        <f t="shared" si="11"/>
        <v>3.013449429372574</v>
      </c>
      <c r="AW5" s="97"/>
      <c r="AX5" s="25">
        <f t="shared" ref="AX5:AX16" si="24">AX4+1</f>
        <v>3</v>
      </c>
      <c r="AY5" s="25">
        <f t="shared" si="12"/>
        <v>5.235987755982989E-2</v>
      </c>
      <c r="AZ5">
        <f t="shared" si="22"/>
        <v>33.085790716064309</v>
      </c>
      <c r="BA5">
        <f t="shared" si="23"/>
        <v>21.034401606591423</v>
      </c>
      <c r="BB5">
        <f t="shared" si="13"/>
        <v>-0.33491667832506844</v>
      </c>
      <c r="BC5">
        <f t="shared" si="14"/>
        <v>-0.22327778555004557</v>
      </c>
      <c r="BD5" s="97"/>
    </row>
    <row r="6" spans="1:56" x14ac:dyDescent="0.3">
      <c r="A6" t="s">
        <v>3</v>
      </c>
      <c r="B6">
        <f>'Input + Tire Forces'!B5</f>
        <v>61</v>
      </c>
      <c r="C6" t="s">
        <v>76</v>
      </c>
      <c r="D6">
        <f>B6/12</f>
        <v>5.083333333333333</v>
      </c>
      <c r="G6" s="97"/>
      <c r="M6" s="97"/>
      <c r="N6">
        <f t="shared" si="0"/>
        <v>72.695053471618962</v>
      </c>
      <c r="O6">
        <f t="shared" si="1"/>
        <v>4.1127790850781825</v>
      </c>
      <c r="P6">
        <f t="shared" si="2"/>
        <v>3.8932317366729894</v>
      </c>
      <c r="Q6">
        <f t="shared" si="3"/>
        <v>0.11277908507818246</v>
      </c>
      <c r="R6">
        <f t="shared" si="4"/>
        <v>0.10676826332701062</v>
      </c>
      <c r="S6">
        <f t="shared" si="15"/>
        <v>3.97492920938712</v>
      </c>
      <c r="T6">
        <f t="shared" si="5"/>
        <v>4.0237345849375945</v>
      </c>
      <c r="U6" s="97"/>
      <c r="V6" s="25">
        <v>4</v>
      </c>
      <c r="W6" s="25">
        <f t="shared" si="6"/>
        <v>6.9813170079773182E-2</v>
      </c>
      <c r="X6">
        <f t="shared" si="16"/>
        <v>19.938519818967769</v>
      </c>
      <c r="Y6">
        <f t="shared" si="17"/>
        <v>10.632895464699274</v>
      </c>
      <c r="Z6">
        <f t="shared" si="7"/>
        <v>-22.073952949250664</v>
      </c>
      <c r="AA6">
        <f t="shared" si="8"/>
        <v>-13.529196968895567</v>
      </c>
      <c r="AB6" s="97"/>
      <c r="AI6" s="97"/>
      <c r="AO6" s="97"/>
      <c r="AP6">
        <f t="shared" si="18"/>
        <v>72.695053471618962</v>
      </c>
      <c r="AQ6">
        <f t="shared" si="19"/>
        <v>4.1127790850781825</v>
      </c>
      <c r="AR6">
        <f t="shared" si="9"/>
        <v>3.8932317366729894</v>
      </c>
      <c r="AS6">
        <f t="shared" si="20"/>
        <v>0.11277908507818246</v>
      </c>
      <c r="AT6">
        <f t="shared" si="10"/>
        <v>0.10676826332701062</v>
      </c>
      <c r="AU6">
        <f t="shared" si="21"/>
        <v>3.97492920938712</v>
      </c>
      <c r="AV6">
        <f t="shared" si="11"/>
        <v>4.0237345849375945</v>
      </c>
      <c r="AW6" s="97"/>
      <c r="AX6" s="25">
        <f t="shared" si="24"/>
        <v>4</v>
      </c>
      <c r="AY6" s="25">
        <f t="shared" si="12"/>
        <v>6.9813170079773182E-2</v>
      </c>
      <c r="AZ6">
        <f t="shared" si="22"/>
        <v>32.096847344558881</v>
      </c>
      <c r="BA6">
        <f t="shared" si="23"/>
        <v>20.024116451026401</v>
      </c>
      <c r="BB6">
        <f t="shared" si="13"/>
        <v>-0.33491667832506844</v>
      </c>
      <c r="BC6">
        <f t="shared" si="14"/>
        <v>-0.22327778555004557</v>
      </c>
      <c r="BD6" s="97"/>
    </row>
    <row r="7" spans="1:56" x14ac:dyDescent="0.3">
      <c r="A7" t="s">
        <v>5</v>
      </c>
      <c r="B7">
        <f>'Input + Tire Forces'!L15</f>
        <v>336</v>
      </c>
      <c r="G7" s="97"/>
      <c r="M7" s="97"/>
      <c r="N7">
        <f t="shared" si="0"/>
        <v>58.102765872370156</v>
      </c>
      <c r="O7">
        <f t="shared" si="1"/>
        <v>5.1772921945012662</v>
      </c>
      <c r="P7">
        <f t="shared" si="2"/>
        <v>4.834420340135833</v>
      </c>
      <c r="Q7">
        <f t="shared" si="3"/>
        <v>0.17729219450126621</v>
      </c>
      <c r="R7">
        <f t="shared" si="4"/>
        <v>0.16557965986416701</v>
      </c>
      <c r="S7">
        <f t="shared" si="15"/>
        <v>4.9605879451623682</v>
      </c>
      <c r="T7">
        <f t="shared" si="5"/>
        <v>5.0368083583878045</v>
      </c>
      <c r="U7" s="97"/>
      <c r="V7" s="25">
        <v>5</v>
      </c>
      <c r="W7" s="25">
        <f t="shared" si="6"/>
        <v>8.7266462599716474E-2</v>
      </c>
      <c r="X7">
        <f t="shared" si="16"/>
        <v>18.952861083192523</v>
      </c>
      <c r="Y7">
        <f t="shared" si="17"/>
        <v>9.6198216912490651</v>
      </c>
      <c r="Z7">
        <f t="shared" si="7"/>
        <v>-22.073952949250664</v>
      </c>
      <c r="AA7">
        <f t="shared" si="8"/>
        <v>-13.529196968895567</v>
      </c>
      <c r="AB7" s="97"/>
      <c r="AI7" s="97"/>
      <c r="AO7" s="97"/>
      <c r="AP7">
        <f t="shared" si="18"/>
        <v>58.102765872370156</v>
      </c>
      <c r="AQ7">
        <f t="shared" si="19"/>
        <v>5.1772921945012662</v>
      </c>
      <c r="AR7">
        <f t="shared" si="9"/>
        <v>4.834420340135833</v>
      </c>
      <c r="AS7">
        <f t="shared" si="20"/>
        <v>0.17729219450126621</v>
      </c>
      <c r="AT7">
        <f t="shared" si="10"/>
        <v>0.16557965986416701</v>
      </c>
      <c r="AU7">
        <f t="shared" si="21"/>
        <v>4.9605879451623682</v>
      </c>
      <c r="AV7">
        <f t="shared" si="11"/>
        <v>5.0368083583878045</v>
      </c>
      <c r="AW7" s="97"/>
      <c r="AX7" s="25">
        <f t="shared" si="24"/>
        <v>5</v>
      </c>
      <c r="AY7" s="25">
        <f t="shared" si="12"/>
        <v>8.7266462599716474E-2</v>
      </c>
      <c r="AZ7">
        <f t="shared" si="22"/>
        <v>31.111188608783635</v>
      </c>
      <c r="BA7">
        <f t="shared" si="23"/>
        <v>19.011042677576192</v>
      </c>
      <c r="BB7">
        <f t="shared" si="13"/>
        <v>-0.33491667832506844</v>
      </c>
      <c r="BC7">
        <f t="shared" si="14"/>
        <v>-0.22327778555004557</v>
      </c>
      <c r="BD7" s="97"/>
    </row>
    <row r="8" spans="1:56" x14ac:dyDescent="0.3">
      <c r="A8" t="s">
        <v>6</v>
      </c>
      <c r="B8">
        <f>'Input + Tire Forces'!L16</f>
        <v>364</v>
      </c>
      <c r="G8" s="97"/>
      <c r="M8" s="97"/>
      <c r="N8">
        <f t="shared" si="0"/>
        <v>48.364685975631467</v>
      </c>
      <c r="O8">
        <f t="shared" si="1"/>
        <v>6.2568068892593844</v>
      </c>
      <c r="P8">
        <f t="shared" si="2"/>
        <v>5.7633745694755074</v>
      </c>
      <c r="Q8">
        <f t="shared" si="3"/>
        <v>0.25680688925938444</v>
      </c>
      <c r="R8">
        <f t="shared" si="4"/>
        <v>0.23662543052449259</v>
      </c>
      <c r="S8">
        <f t="shared" si="15"/>
        <v>5.942911828517639</v>
      </c>
      <c r="T8">
        <f t="shared" si="5"/>
        <v>6.0526018332055944</v>
      </c>
      <c r="U8" s="97"/>
      <c r="V8" s="25">
        <v>6</v>
      </c>
      <c r="W8" s="25">
        <f t="shared" si="6"/>
        <v>0.10471975511965978</v>
      </c>
      <c r="X8">
        <f t="shared" si="16"/>
        <v>17.970537199837253</v>
      </c>
      <c r="Y8">
        <f t="shared" si="17"/>
        <v>8.6040282164312742</v>
      </c>
      <c r="Z8">
        <f t="shared" si="7"/>
        <v>-22.073952949250664</v>
      </c>
      <c r="AA8">
        <f t="shared" si="8"/>
        <v>-13.529196968895567</v>
      </c>
      <c r="AB8" s="97"/>
      <c r="AI8" s="97"/>
      <c r="AO8" s="97"/>
      <c r="AP8">
        <f t="shared" si="18"/>
        <v>48.364685975631467</v>
      </c>
      <c r="AQ8">
        <f t="shared" si="19"/>
        <v>6.2568068892593844</v>
      </c>
      <c r="AR8">
        <f t="shared" si="9"/>
        <v>5.7633745694755074</v>
      </c>
      <c r="AS8">
        <f t="shared" si="20"/>
        <v>0.25680688925938444</v>
      </c>
      <c r="AT8">
        <f t="shared" si="10"/>
        <v>0.23662543052449259</v>
      </c>
      <c r="AU8">
        <f t="shared" si="21"/>
        <v>5.942911828517639</v>
      </c>
      <c r="AV8">
        <f t="shared" si="11"/>
        <v>6.0526018332055944</v>
      </c>
      <c r="AW8" s="97"/>
      <c r="AX8" s="25">
        <f t="shared" si="24"/>
        <v>6</v>
      </c>
      <c r="AY8" s="25">
        <f t="shared" si="12"/>
        <v>0.10471975511965978</v>
      </c>
      <c r="AZ8">
        <f t="shared" si="22"/>
        <v>30.128864725428365</v>
      </c>
      <c r="BA8">
        <f t="shared" si="23"/>
        <v>17.995249202758401</v>
      </c>
      <c r="BB8">
        <f t="shared" si="13"/>
        <v>-0.33491667832506844</v>
      </c>
      <c r="BC8">
        <f t="shared" si="14"/>
        <v>-0.22327778555004557</v>
      </c>
      <c r="BD8" s="97"/>
    </row>
    <row r="9" spans="1:56" x14ac:dyDescent="0.3">
      <c r="A9" t="s">
        <v>99</v>
      </c>
      <c r="B9">
        <f>'Input + Tire Forces'!I27</f>
        <v>-0.2223</v>
      </c>
      <c r="G9" s="97"/>
      <c r="M9" s="97"/>
      <c r="N9">
        <f t="shared" si="0"/>
        <v>41.400427675537514</v>
      </c>
      <c r="O9">
        <f t="shared" si="1"/>
        <v>7.3515314045373188</v>
      </c>
      <c r="P9">
        <f t="shared" si="2"/>
        <v>6.6804074558448523</v>
      </c>
      <c r="Q9">
        <f t="shared" si="3"/>
        <v>0.35153140453731879</v>
      </c>
      <c r="R9">
        <f t="shared" si="4"/>
        <v>0.31959254415514771</v>
      </c>
      <c r="S9">
        <f t="shared" si="15"/>
        <v>6.9218545687713542</v>
      </c>
      <c r="T9">
        <f t="shared" si="5"/>
        <v>7.0710454225656889</v>
      </c>
      <c r="U9" s="97"/>
      <c r="V9" s="25">
        <v>7</v>
      </c>
      <c r="W9" s="25">
        <f t="shared" si="6"/>
        <v>0.12217304763960307</v>
      </c>
      <c r="X9">
        <f t="shared" si="16"/>
        <v>16.991594459583535</v>
      </c>
      <c r="Y9">
        <f t="shared" si="17"/>
        <v>7.5855846270711798</v>
      </c>
      <c r="Z9">
        <f t="shared" si="7"/>
        <v>-22.073952949250664</v>
      </c>
      <c r="AA9">
        <f t="shared" si="8"/>
        <v>-13.529196968895567</v>
      </c>
      <c r="AB9" s="97"/>
      <c r="AI9" s="97"/>
      <c r="AO9" s="97"/>
      <c r="AP9">
        <f t="shared" si="18"/>
        <v>41.400427675537514</v>
      </c>
      <c r="AQ9">
        <f t="shared" si="19"/>
        <v>7.3515314045373188</v>
      </c>
      <c r="AR9">
        <f t="shared" si="9"/>
        <v>6.6804074558448523</v>
      </c>
      <c r="AS9">
        <f t="shared" si="20"/>
        <v>0.35153140453731879</v>
      </c>
      <c r="AT9">
        <f t="shared" si="10"/>
        <v>0.31959254415514771</v>
      </c>
      <c r="AU9">
        <f t="shared" si="21"/>
        <v>6.9218545687713542</v>
      </c>
      <c r="AV9">
        <f t="shared" si="11"/>
        <v>7.0710454225656889</v>
      </c>
      <c r="AW9" s="97"/>
      <c r="AX9" s="25">
        <f t="shared" si="24"/>
        <v>7</v>
      </c>
      <c r="AY9" s="25">
        <f t="shared" si="12"/>
        <v>0.12217304763960307</v>
      </c>
      <c r="AZ9">
        <f t="shared" si="22"/>
        <v>29.149921985174647</v>
      </c>
      <c r="BA9">
        <f t="shared" si="23"/>
        <v>16.976805613398309</v>
      </c>
      <c r="BB9">
        <f t="shared" si="13"/>
        <v>-0.33491667832506844</v>
      </c>
      <c r="BC9">
        <f t="shared" si="14"/>
        <v>-0.22327778555004557</v>
      </c>
      <c r="BD9" s="97"/>
    </row>
    <row r="10" spans="1:56" x14ac:dyDescent="0.3">
      <c r="A10" t="s">
        <v>100</v>
      </c>
      <c r="B10">
        <f>'Input + Tire Forces'!I28</f>
        <v>0</v>
      </c>
      <c r="G10" s="97"/>
      <c r="M10" s="97"/>
      <c r="N10">
        <f t="shared" si="0"/>
        <v>36.169796088786391</v>
      </c>
      <c r="O10">
        <f t="shared" si="1"/>
        <v>8.4616542531871186</v>
      </c>
      <c r="P10">
        <f t="shared" si="2"/>
        <v>7.5858341464600265</v>
      </c>
      <c r="Q10">
        <f t="shared" si="3"/>
        <v>0.46165425318711861</v>
      </c>
      <c r="R10">
        <f t="shared" si="4"/>
        <v>0.41416585353997348</v>
      </c>
      <c r="S10">
        <f t="shared" si="15"/>
        <v>7.8973742595165035</v>
      </c>
      <c r="T10">
        <f t="shared" si="5"/>
        <v>8.0920690692419353</v>
      </c>
      <c r="U10" s="97"/>
      <c r="V10" s="25">
        <v>8</v>
      </c>
      <c r="W10" s="25">
        <f t="shared" si="6"/>
        <v>0.13962634015954636</v>
      </c>
      <c r="X10">
        <f t="shared" si="16"/>
        <v>16.016074768838386</v>
      </c>
      <c r="Y10">
        <f t="shared" si="17"/>
        <v>6.5645609803949334</v>
      </c>
      <c r="Z10">
        <f t="shared" si="7"/>
        <v>-22.073952949250664</v>
      </c>
      <c r="AA10">
        <f t="shared" si="8"/>
        <v>-13.529196968895567</v>
      </c>
      <c r="AB10" s="97"/>
      <c r="AI10" s="97"/>
      <c r="AO10" s="97"/>
      <c r="AP10">
        <f t="shared" si="18"/>
        <v>36.169796088786391</v>
      </c>
      <c r="AQ10">
        <f t="shared" si="19"/>
        <v>8.4616542531871186</v>
      </c>
      <c r="AR10">
        <f t="shared" si="9"/>
        <v>7.5858341464600265</v>
      </c>
      <c r="AS10">
        <f t="shared" si="20"/>
        <v>0.46165425318711861</v>
      </c>
      <c r="AT10">
        <f t="shared" si="10"/>
        <v>0.41416585353997348</v>
      </c>
      <c r="AU10">
        <f t="shared" si="21"/>
        <v>7.8973742595165035</v>
      </c>
      <c r="AV10">
        <f t="shared" si="11"/>
        <v>8.0920690692419353</v>
      </c>
      <c r="AW10" s="97"/>
      <c r="AX10" s="25">
        <f t="shared" si="24"/>
        <v>8</v>
      </c>
      <c r="AY10" s="25">
        <f t="shared" si="12"/>
        <v>0.13962634015954636</v>
      </c>
      <c r="AZ10">
        <f t="shared" si="22"/>
        <v>28.174402294429498</v>
      </c>
      <c r="BA10">
        <f t="shared" si="23"/>
        <v>15.955781966722062</v>
      </c>
      <c r="BB10">
        <f t="shared" si="13"/>
        <v>-0.33491667832506844</v>
      </c>
      <c r="BC10">
        <f t="shared" si="14"/>
        <v>-0.22327778555004557</v>
      </c>
      <c r="BD10" s="97"/>
    </row>
    <row r="11" spans="1:56" x14ac:dyDescent="0.3">
      <c r="G11" s="97"/>
      <c r="M11" s="97"/>
      <c r="N11">
        <f t="shared" si="0"/>
        <v>32.094903532931468</v>
      </c>
      <c r="O11">
        <f t="shared" si="1"/>
        <v>9.5873420661004971</v>
      </c>
      <c r="P11">
        <f t="shared" si="2"/>
        <v>8.4799710928606782</v>
      </c>
      <c r="Q11">
        <f t="shared" si="3"/>
        <v>0.58734206610049711</v>
      </c>
      <c r="R11">
        <f t="shared" si="4"/>
        <v>0.52002890713932182</v>
      </c>
      <c r="S11">
        <f t="shared" si="15"/>
        <v>8.8694338587058592</v>
      </c>
      <c r="T11">
        <f t="shared" si="5"/>
        <v>9.1156024260570714</v>
      </c>
      <c r="U11" s="97"/>
      <c r="V11" s="25">
        <v>9</v>
      </c>
      <c r="W11" s="25">
        <f t="shared" si="6"/>
        <v>0.15707963267948966</v>
      </c>
      <c r="X11">
        <f t="shared" si="16"/>
        <v>15.044015169649031</v>
      </c>
      <c r="Y11">
        <f t="shared" si="17"/>
        <v>5.5410276235797973</v>
      </c>
      <c r="Z11">
        <f t="shared" si="7"/>
        <v>-22.073952949250664</v>
      </c>
      <c r="AA11">
        <f t="shared" si="8"/>
        <v>-13.529196968895567</v>
      </c>
      <c r="AB11" s="97"/>
      <c r="AI11" s="97"/>
      <c r="AO11" s="97"/>
      <c r="AP11">
        <f t="shared" si="18"/>
        <v>32.094903532931468</v>
      </c>
      <c r="AQ11">
        <f t="shared" si="19"/>
        <v>9.5873420661004971</v>
      </c>
      <c r="AR11">
        <f t="shared" si="9"/>
        <v>8.4799710928606782</v>
      </c>
      <c r="AS11">
        <f t="shared" si="20"/>
        <v>0.58734206610049711</v>
      </c>
      <c r="AT11">
        <f t="shared" si="10"/>
        <v>0.52002890713932182</v>
      </c>
      <c r="AU11">
        <f t="shared" si="21"/>
        <v>8.8694338587058592</v>
      </c>
      <c r="AV11">
        <f t="shared" si="11"/>
        <v>9.1156024260570714</v>
      </c>
      <c r="AW11" s="97"/>
      <c r="AX11" s="25">
        <f t="shared" si="24"/>
        <v>9</v>
      </c>
      <c r="AY11" s="25">
        <f t="shared" si="12"/>
        <v>0.15707963267948966</v>
      </c>
      <c r="AZ11">
        <f t="shared" si="22"/>
        <v>27.202342695240141</v>
      </c>
      <c r="BA11">
        <f t="shared" si="23"/>
        <v>14.932248609906926</v>
      </c>
      <c r="BB11">
        <f t="shared" si="13"/>
        <v>-0.33491667832506844</v>
      </c>
      <c r="BC11">
        <f t="shared" si="14"/>
        <v>-0.22327778555004557</v>
      </c>
      <c r="BD11" s="97"/>
    </row>
    <row r="12" spans="1:56" x14ac:dyDescent="0.3">
      <c r="A12" t="s">
        <v>393</v>
      </c>
      <c r="G12" s="97"/>
      <c r="M12" s="97"/>
      <c r="N12">
        <f t="shared" si="0"/>
        <v>28.82901591639002</v>
      </c>
      <c r="O12">
        <f t="shared" si="1"/>
        <v>10.728737343023939</v>
      </c>
      <c r="P12">
        <f t="shared" si="2"/>
        <v>9.3631353217970563</v>
      </c>
      <c r="Q12">
        <f t="shared" si="3"/>
        <v>0.72873734302393878</v>
      </c>
      <c r="R12">
        <f t="shared" si="4"/>
        <v>0.63686467820294368</v>
      </c>
      <c r="S12">
        <f t="shared" si="15"/>
        <v>9.8380016886457788</v>
      </c>
      <c r="T12">
        <f t="shared" si="5"/>
        <v>10.141575017964515</v>
      </c>
      <c r="U12" s="97"/>
      <c r="V12" s="25">
        <v>10</v>
      </c>
      <c r="W12" s="25">
        <f t="shared" si="6"/>
        <v>0.17453292519943295</v>
      </c>
      <c r="X12">
        <f t="shared" si="16"/>
        <v>14.075447339709111</v>
      </c>
      <c r="Y12">
        <f t="shared" si="17"/>
        <v>4.5150550316723539</v>
      </c>
      <c r="Z12">
        <f t="shared" si="7"/>
        <v>-22.073952949250664</v>
      </c>
      <c r="AA12">
        <f t="shared" si="8"/>
        <v>-13.529196968895567</v>
      </c>
      <c r="AB12" s="97"/>
      <c r="AI12" s="97"/>
      <c r="AO12" s="97"/>
      <c r="AP12">
        <f t="shared" si="18"/>
        <v>28.82901591639002</v>
      </c>
      <c r="AQ12">
        <f t="shared" si="19"/>
        <v>10.728737343023939</v>
      </c>
      <c r="AR12">
        <f t="shared" si="9"/>
        <v>9.3631353217970563</v>
      </c>
      <c r="AS12">
        <f t="shared" si="20"/>
        <v>0.72873734302393878</v>
      </c>
      <c r="AT12">
        <f t="shared" si="10"/>
        <v>0.63686467820294368</v>
      </c>
      <c r="AU12">
        <f t="shared" si="21"/>
        <v>9.8380016886457788</v>
      </c>
      <c r="AV12">
        <f t="shared" si="11"/>
        <v>10.141575017964515</v>
      </c>
      <c r="AW12" s="97"/>
      <c r="AX12" s="25">
        <f t="shared" si="24"/>
        <v>10</v>
      </c>
      <c r="AY12" s="25">
        <f t="shared" si="12"/>
        <v>0.17453292519943295</v>
      </c>
      <c r="AZ12">
        <f t="shared" si="22"/>
        <v>26.233774865300223</v>
      </c>
      <c r="BA12">
        <f t="shared" si="23"/>
        <v>13.906276017999483</v>
      </c>
      <c r="BB12">
        <f t="shared" si="13"/>
        <v>-0.33491667832506844</v>
      </c>
      <c r="BC12">
        <f t="shared" si="14"/>
        <v>-0.22327778555004557</v>
      </c>
      <c r="BD12" s="97"/>
    </row>
    <row r="13" spans="1:56" x14ac:dyDescent="0.3">
      <c r="G13" s="97"/>
      <c r="M13" s="97"/>
      <c r="N13">
        <f t="shared" si="0"/>
        <v>26.151482914515743</v>
      </c>
      <c r="O13">
        <f t="shared" si="1"/>
        <v>11.88595612490643</v>
      </c>
      <c r="P13">
        <f t="shared" si="2"/>
        <v>10.235643783795052</v>
      </c>
      <c r="Q13">
        <f t="shared" si="3"/>
        <v>0.88595612490643028</v>
      </c>
      <c r="R13">
        <f t="shared" si="4"/>
        <v>0.76435621620494842</v>
      </c>
      <c r="S13">
        <f t="shared" si="15"/>
        <v>10.8030519534333</v>
      </c>
      <c r="T13">
        <f t="shared" si="5"/>
        <v>11.16991638686236</v>
      </c>
      <c r="U13" s="97"/>
      <c r="V13" s="25">
        <v>11</v>
      </c>
      <c r="W13" s="25">
        <f t="shared" si="6"/>
        <v>0.19198621771937624</v>
      </c>
      <c r="X13">
        <f t="shared" si="16"/>
        <v>13.11039707492159</v>
      </c>
      <c r="Y13">
        <f t="shared" si="17"/>
        <v>3.486713662774509</v>
      </c>
      <c r="Z13">
        <f t="shared" si="7"/>
        <v>-22.073952949250664</v>
      </c>
      <c r="AA13">
        <f t="shared" si="8"/>
        <v>-13.529196968895567</v>
      </c>
      <c r="AB13" s="97"/>
      <c r="AI13" s="97"/>
      <c r="AO13" s="97"/>
      <c r="AP13">
        <f t="shared" si="18"/>
        <v>26.151482914515743</v>
      </c>
      <c r="AQ13">
        <f t="shared" si="19"/>
        <v>11.88595612490643</v>
      </c>
      <c r="AR13">
        <f t="shared" si="9"/>
        <v>10.235643783795052</v>
      </c>
      <c r="AS13">
        <f t="shared" si="20"/>
        <v>0.88595612490643028</v>
      </c>
      <c r="AT13">
        <f t="shared" si="10"/>
        <v>0.76435621620494842</v>
      </c>
      <c r="AU13">
        <f t="shared" si="21"/>
        <v>10.8030519534333</v>
      </c>
      <c r="AV13">
        <f t="shared" si="11"/>
        <v>11.16991638686236</v>
      </c>
      <c r="AW13" s="97"/>
      <c r="AX13" s="25">
        <f t="shared" si="24"/>
        <v>11</v>
      </c>
      <c r="AY13" s="25">
        <f t="shared" si="12"/>
        <v>0.19198621771937624</v>
      </c>
      <c r="AZ13">
        <f t="shared" si="22"/>
        <v>25.268724600512702</v>
      </c>
      <c r="BA13">
        <f t="shared" si="23"/>
        <v>12.877934649101638</v>
      </c>
      <c r="BB13">
        <f t="shared" si="13"/>
        <v>-0.33491667832506844</v>
      </c>
      <c r="BC13">
        <f t="shared" si="14"/>
        <v>-0.22327778555004557</v>
      </c>
      <c r="BD13" s="97"/>
    </row>
    <row r="14" spans="1:56" x14ac:dyDescent="0.3">
      <c r="A14" t="s">
        <v>114</v>
      </c>
      <c r="B14" s="121" t="s">
        <v>390</v>
      </c>
      <c r="C14" s="121"/>
      <c r="D14" s="121"/>
      <c r="G14" s="97"/>
      <c r="M14" s="97"/>
      <c r="N14">
        <f t="shared" si="0"/>
        <v>23.915203056515473</v>
      </c>
      <c r="O14">
        <f t="shared" si="1"/>
        <v>13.059085601584721</v>
      </c>
      <c r="P14">
        <f t="shared" si="2"/>
        <v>11.097812774466078</v>
      </c>
      <c r="Q14">
        <f t="shared" si="3"/>
        <v>1.0590856015847212</v>
      </c>
      <c r="R14">
        <f t="shared" si="4"/>
        <v>0.90218722553392183</v>
      </c>
      <c r="S14">
        <f t="shared" si="15"/>
        <v>11.764565270767717</v>
      </c>
      <c r="T14">
        <f t="shared" si="5"/>
        <v>12.200556220236191</v>
      </c>
      <c r="U14" s="97"/>
      <c r="V14" s="25">
        <v>12</v>
      </c>
      <c r="W14" s="25">
        <f t="shared" si="6"/>
        <v>0.20943951023931956</v>
      </c>
      <c r="X14">
        <f t="shared" si="16"/>
        <v>12.148883757587173</v>
      </c>
      <c r="Y14">
        <f t="shared" si="17"/>
        <v>2.4560738294006779</v>
      </c>
      <c r="Z14">
        <f t="shared" si="7"/>
        <v>-22.073952949250664</v>
      </c>
      <c r="AA14">
        <f t="shared" si="8"/>
        <v>-13.529196968895567</v>
      </c>
      <c r="AB14" s="97"/>
      <c r="AI14" s="97"/>
      <c r="AO14" s="97"/>
      <c r="AP14">
        <f t="shared" si="18"/>
        <v>23.915203056515473</v>
      </c>
      <c r="AQ14">
        <f t="shared" si="19"/>
        <v>13.059085601584721</v>
      </c>
      <c r="AR14">
        <f t="shared" si="9"/>
        <v>11.097812774466078</v>
      </c>
      <c r="AS14">
        <f t="shared" si="20"/>
        <v>1.0590856015847212</v>
      </c>
      <c r="AT14">
        <f t="shared" si="10"/>
        <v>0.90218722553392183</v>
      </c>
      <c r="AU14">
        <f t="shared" si="21"/>
        <v>11.764565270767717</v>
      </c>
      <c r="AV14">
        <f t="shared" si="11"/>
        <v>12.200556220236191</v>
      </c>
      <c r="AW14" s="97"/>
      <c r="AX14" s="25">
        <f t="shared" si="24"/>
        <v>12</v>
      </c>
      <c r="AY14" s="25">
        <f t="shared" si="12"/>
        <v>0.20943951023931956</v>
      </c>
      <c r="AZ14">
        <f t="shared" si="22"/>
        <v>24.307211283178283</v>
      </c>
      <c r="BA14">
        <f t="shared" si="23"/>
        <v>11.847294815727807</v>
      </c>
      <c r="BB14">
        <f t="shared" si="13"/>
        <v>-0.33491667832506844</v>
      </c>
      <c r="BC14">
        <f t="shared" si="14"/>
        <v>-0.22327778555004557</v>
      </c>
      <c r="BD14" s="97"/>
    </row>
    <row r="15" spans="1:56" x14ac:dyDescent="0.3">
      <c r="A15">
        <v>100</v>
      </c>
      <c r="B15" s="121">
        <f>AVERAGE(V16:V17)</f>
        <v>14.5</v>
      </c>
      <c r="C15" s="121"/>
      <c r="D15" s="121"/>
      <c r="G15" s="97"/>
      <c r="M15" s="97"/>
      <c r="N15">
        <f t="shared" si="0"/>
        <v>22.018335694277788</v>
      </c>
      <c r="O15">
        <f t="shared" si="1"/>
        <v>14.248181671519944</v>
      </c>
      <c r="P15">
        <f t="shared" si="2"/>
        <v>11.949957423698619</v>
      </c>
      <c r="Q15">
        <f t="shared" si="3"/>
        <v>1.2481816715199443</v>
      </c>
      <c r="R15">
        <f t="shared" si="4"/>
        <v>1.0500425763013812</v>
      </c>
      <c r="S15">
        <f t="shared" si="15"/>
        <v>12.722529214421117</v>
      </c>
      <c r="T15">
        <f t="shared" si="5"/>
        <v>13.233424464711797</v>
      </c>
      <c r="U15" s="97"/>
      <c r="V15" s="25">
        <v>13</v>
      </c>
      <c r="W15" s="25">
        <f t="shared" si="6"/>
        <v>0.22689280275926285</v>
      </c>
      <c r="X15">
        <f t="shared" si="16"/>
        <v>11.190919813933773</v>
      </c>
      <c r="Y15">
        <f t="shared" si="17"/>
        <v>1.4232055849250713</v>
      </c>
      <c r="Z15">
        <f t="shared" si="7"/>
        <v>-22.073952949250664</v>
      </c>
      <c r="AA15">
        <f t="shared" si="8"/>
        <v>-13.529196968895567</v>
      </c>
      <c r="AB15" s="97"/>
      <c r="AI15" s="97"/>
      <c r="AO15" s="97"/>
      <c r="AP15">
        <f t="shared" si="18"/>
        <v>22.018335694277788</v>
      </c>
      <c r="AQ15">
        <f t="shared" si="19"/>
        <v>14.248181671519944</v>
      </c>
      <c r="AR15">
        <f t="shared" si="9"/>
        <v>11.949957423698619</v>
      </c>
      <c r="AS15">
        <f t="shared" si="20"/>
        <v>1.2481816715199443</v>
      </c>
      <c r="AT15">
        <f t="shared" si="10"/>
        <v>1.0500425763013812</v>
      </c>
      <c r="AU15">
        <f t="shared" si="21"/>
        <v>12.722529214421117</v>
      </c>
      <c r="AV15">
        <f t="shared" si="11"/>
        <v>13.233424464711797</v>
      </c>
      <c r="AW15" s="97"/>
      <c r="AX15" s="25">
        <f t="shared" si="24"/>
        <v>13</v>
      </c>
      <c r="AY15" s="25">
        <f t="shared" si="12"/>
        <v>0.22689280275926285</v>
      </c>
      <c r="AZ15">
        <f t="shared" si="22"/>
        <v>23.349247339524887</v>
      </c>
      <c r="BA15">
        <f t="shared" si="23"/>
        <v>10.8144265712522</v>
      </c>
      <c r="BB15">
        <f t="shared" si="13"/>
        <v>-0.33491667832506844</v>
      </c>
      <c r="BC15">
        <f t="shared" si="14"/>
        <v>-0.22327778555004557</v>
      </c>
      <c r="BD15" s="97"/>
    </row>
    <row r="16" spans="1:56" x14ac:dyDescent="0.3">
      <c r="A16">
        <v>120</v>
      </c>
      <c r="B16" s="121">
        <f>AVERAGE(V29:V31)</f>
        <v>11</v>
      </c>
      <c r="C16" s="121"/>
      <c r="D16" s="121"/>
      <c r="G16" s="97"/>
      <c r="M16" s="97"/>
      <c r="N16">
        <f t="shared" si="0"/>
        <v>20.388136412140543</v>
      </c>
      <c r="O16">
        <f t="shared" si="1"/>
        <v>15.45326647336689</v>
      </c>
      <c r="P16">
        <f t="shared" si="2"/>
        <v>12.792391247981996</v>
      </c>
      <c r="Q16">
        <f t="shared" si="3"/>
        <v>1.4532664733668899</v>
      </c>
      <c r="R16">
        <f t="shared" si="4"/>
        <v>1.2076087520180039</v>
      </c>
      <c r="S16">
        <f t="shared" si="15"/>
        <v>13.676938862970541</v>
      </c>
      <c r="T16">
        <f t="shared" si="5"/>
        <v>14.268451425573602</v>
      </c>
      <c r="U16" s="97"/>
      <c r="V16" s="25">
        <v>14</v>
      </c>
      <c r="W16" s="25">
        <f t="shared" si="6"/>
        <v>0.24434609527920614</v>
      </c>
      <c r="X16">
        <f t="shared" si="16"/>
        <v>10.236510165384349</v>
      </c>
      <c r="Y16">
        <f t="shared" si="17"/>
        <v>0.38817862406326675</v>
      </c>
      <c r="Z16">
        <f t="shared" si="7"/>
        <v>-22.073952949250664</v>
      </c>
      <c r="AA16">
        <f t="shared" si="8"/>
        <v>-13.529196968895567</v>
      </c>
      <c r="AB16" s="97"/>
      <c r="AI16" s="97"/>
      <c r="AO16" s="97"/>
      <c r="AP16">
        <f t="shared" si="18"/>
        <v>20.388136412140543</v>
      </c>
      <c r="AQ16">
        <f t="shared" si="19"/>
        <v>15.45326647336689</v>
      </c>
      <c r="AR16">
        <f t="shared" si="9"/>
        <v>12.792391247981996</v>
      </c>
      <c r="AS16">
        <f t="shared" si="20"/>
        <v>1.4532664733668899</v>
      </c>
      <c r="AT16">
        <f t="shared" si="10"/>
        <v>1.2076087520180039</v>
      </c>
      <c r="AU16">
        <f t="shared" si="21"/>
        <v>13.676938862970541</v>
      </c>
      <c r="AV16">
        <f t="shared" si="11"/>
        <v>14.268451425573602</v>
      </c>
      <c r="AW16" s="97"/>
      <c r="AX16" s="25">
        <f t="shared" si="24"/>
        <v>14</v>
      </c>
      <c r="AY16" s="25">
        <f t="shared" si="12"/>
        <v>0.24434609527920614</v>
      </c>
      <c r="AZ16">
        <f t="shared" si="22"/>
        <v>22.394837690975461</v>
      </c>
      <c r="BA16">
        <f t="shared" si="23"/>
        <v>9.7793996103903957</v>
      </c>
      <c r="BB16">
        <f t="shared" si="13"/>
        <v>-0.33491667832506844</v>
      </c>
      <c r="BC16">
        <f t="shared" si="14"/>
        <v>-0.22327778555004557</v>
      </c>
      <c r="BD16" s="97"/>
    </row>
    <row r="17" spans="1:56" x14ac:dyDescent="0.3">
      <c r="A17">
        <v>200</v>
      </c>
      <c r="B17" s="121">
        <f>AVERAGE(V37:V44)</f>
        <v>4.5</v>
      </c>
      <c r="C17" s="121"/>
      <c r="D17" s="121"/>
      <c r="G17" s="97"/>
      <c r="M17" s="97"/>
      <c r="N17">
        <f t="shared" si="0"/>
        <v>18.971258271808459</v>
      </c>
      <c r="O17">
        <f t="shared" si="1"/>
        <v>16.674325912334528</v>
      </c>
      <c r="P17">
        <f t="shared" si="2"/>
        <v>13.625425761261335</v>
      </c>
      <c r="Q17">
        <f t="shared" si="3"/>
        <v>1.6743259123345275</v>
      </c>
      <c r="R17">
        <f t="shared" si="4"/>
        <v>1.3745742387386652</v>
      </c>
      <c r="S17">
        <f t="shared" si="15"/>
        <v>14.627797349688034</v>
      </c>
      <c r="T17">
        <f t="shared" si="5"/>
        <v>15.305567853271604</v>
      </c>
      <c r="U17" s="97"/>
      <c r="V17" s="25">
        <v>15</v>
      </c>
      <c r="W17" s="25">
        <f t="shared" si="6"/>
        <v>0.26179938779914941</v>
      </c>
      <c r="X17">
        <f t="shared" si="16"/>
        <v>9.2856516786668557</v>
      </c>
      <c r="Y17">
        <f t="shared" si="17"/>
        <v>-0.64893780363473574</v>
      </c>
      <c r="Z17">
        <f t="shared" si="7"/>
        <v>-22.073952949250664</v>
      </c>
      <c r="AA17">
        <f t="shared" si="8"/>
        <v>-13.529196968895567</v>
      </c>
      <c r="AB17" s="97"/>
      <c r="AI17" s="97"/>
      <c r="AO17" s="97"/>
      <c r="AP17">
        <f t="shared" si="18"/>
        <v>18.971258271808459</v>
      </c>
      <c r="AQ17">
        <f t="shared" si="19"/>
        <v>16.674325912334528</v>
      </c>
      <c r="AR17">
        <f t="shared" si="9"/>
        <v>13.625425761261335</v>
      </c>
      <c r="AS17">
        <f t="shared" si="20"/>
        <v>1.6743259123345275</v>
      </c>
      <c r="AT17">
        <f t="shared" si="10"/>
        <v>1.3745742387386652</v>
      </c>
      <c r="AU17">
        <f t="shared" si="21"/>
        <v>14.627797349688034</v>
      </c>
      <c r="AV17">
        <f t="shared" si="11"/>
        <v>15.305567853271604</v>
      </c>
      <c r="AW17" s="97"/>
      <c r="AX17" s="25">
        <f>AX16+1</f>
        <v>15</v>
      </c>
      <c r="AY17" s="25">
        <f t="shared" si="12"/>
        <v>0.26179938779914941</v>
      </c>
      <c r="AZ17">
        <f t="shared" si="22"/>
        <v>21.443979204257968</v>
      </c>
      <c r="BA17">
        <f t="shared" si="23"/>
        <v>8.7422831826923932</v>
      </c>
      <c r="BB17">
        <f t="shared" si="13"/>
        <v>-0.33491667832506844</v>
      </c>
      <c r="BC17">
        <f t="shared" si="14"/>
        <v>-0.22327778555004557</v>
      </c>
      <c r="BD17" s="97"/>
    </row>
    <row r="18" spans="1:56" x14ac:dyDescent="0.3">
      <c r="A18">
        <v>300</v>
      </c>
      <c r="B18" s="121">
        <f>AVERAGE(V53:V58)</f>
        <v>2.5</v>
      </c>
      <c r="C18" s="121"/>
      <c r="D18" s="12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I18" s="97"/>
      <c r="AO18" s="97"/>
      <c r="AP18">
        <f>($D$6/TAN(AY18))</f>
        <v>17.727690089524618</v>
      </c>
      <c r="AQ18">
        <f>DEGREES(ATAN(($D$6/(AP18-(($B$4/2)/12)))))</f>
        <v>17.911307207522405</v>
      </c>
      <c r="AR18">
        <f t="shared" si="9"/>
        <v>14.449370139897376</v>
      </c>
      <c r="AS18">
        <f>AQ18-AX18</f>
        <v>1.9113072075224053</v>
      </c>
      <c r="AT18">
        <f t="shared" si="10"/>
        <v>1.5506298601026245</v>
      </c>
      <c r="AU18">
        <f>AX18+($B$9*AS18)+$B$10</f>
        <v>15.575116407767769</v>
      </c>
      <c r="AV18">
        <f t="shared" si="11"/>
        <v>16.344705017900814</v>
      </c>
      <c r="AW18" s="97"/>
      <c r="AX18" s="25">
        <f t="shared" ref="AX18:AX81" si="25">AX17+1</f>
        <v>16</v>
      </c>
      <c r="AY18" s="25">
        <f t="shared" si="12"/>
        <v>0.27925268031909273</v>
      </c>
      <c r="AZ18">
        <f t="shared" si="22"/>
        <v>20.496660146178233</v>
      </c>
      <c r="BA18">
        <f t="shared" si="23"/>
        <v>7.7031460180631832</v>
      </c>
      <c r="BB18">
        <f t="shared" si="13"/>
        <v>-0.33491667832506844</v>
      </c>
      <c r="BC18">
        <f t="shared" si="14"/>
        <v>-0.22327778555004557</v>
      </c>
      <c r="BD18" s="97"/>
    </row>
    <row r="19" spans="1:56" x14ac:dyDescent="0.3">
      <c r="A19">
        <v>348</v>
      </c>
      <c r="B19" s="121">
        <f>AVERAGE(V70:V74)</f>
        <v>2</v>
      </c>
      <c r="C19" s="121"/>
      <c r="D19" s="121"/>
      <c r="F19" s="19">
        <v>120</v>
      </c>
      <c r="G19" s="97"/>
      <c r="H19">
        <f>SQRT(('Input + Tire Forces'!$L$5*386.4)*F19)</f>
        <v>280.75897136155777</v>
      </c>
      <c r="I19">
        <f t="shared" ref="I19:I223" si="26">-(H19^2/F19)</f>
        <v>-656.88000000000022</v>
      </c>
      <c r="J19">
        <f t="shared" ref="J19:J223" si="27">I19/H19</f>
        <v>-2.3396580946796486</v>
      </c>
      <c r="K19">
        <v>0</v>
      </c>
      <c r="L19">
        <f t="shared" ref="L19:L223" si="28">H19*(K19*PI()/180)</f>
        <v>0</v>
      </c>
      <c r="M19" s="97"/>
      <c r="N19">
        <v>0</v>
      </c>
      <c r="O19">
        <v>0</v>
      </c>
      <c r="P19">
        <v>0</v>
      </c>
      <c r="Q19">
        <f>O19-V19</f>
        <v>0</v>
      </c>
      <c r="R19">
        <f>V19-P19</f>
        <v>0</v>
      </c>
      <c r="S19">
        <f>V19+($B$9*Q19)+$B$10</f>
        <v>0</v>
      </c>
      <c r="T19">
        <f>V19-($B$9*R19)-$B$10</f>
        <v>0</v>
      </c>
      <c r="U19" s="97"/>
      <c r="V19" s="25">
        <v>0</v>
      </c>
      <c r="W19" s="25">
        <f>V19*(PI()/180)</f>
        <v>0</v>
      </c>
      <c r="X19">
        <f>-(($L$19+($J$19*$B$2))/($H$19+($J$19*($B$4/2))))*(180/PI())</f>
        <v>18.931480480780959</v>
      </c>
      <c r="Y19">
        <f>-(($L$19+($J$19*$B$2))/($H$19-($J$19*($B$4/2))))*(180/PI())</f>
        <v>12.620986987187305</v>
      </c>
      <c r="Z19">
        <f>-(($L$19-($J$19*$B$3))/($H$19+($J$19*($B$5/2))))*(180/PI())</f>
        <v>-17.475212751490112</v>
      </c>
      <c r="AA19">
        <f>-(($L$19-($J$19*$B$3))/($H$19-($J$19*($B$5/2))))*(180/PI())</f>
        <v>-11.650141834326739</v>
      </c>
      <c r="AB19" s="97"/>
      <c r="AI19" s="97"/>
      <c r="AO19" s="97"/>
      <c r="AP19">
        <f t="shared" ref="AP19:AP32" si="29">($D$6/TAN(AY19))</f>
        <v>16.626834143961048</v>
      </c>
      <c r="AQ19">
        <f t="shared" ref="AQ19:AQ32" si="30">DEGREES(ATAN(($D$6/(AP19-(($B$4/2)/12)))))</f>
        <v>19.164116489615886</v>
      </c>
      <c r="AR19">
        <f t="shared" si="9"/>
        <v>15.264530937499364</v>
      </c>
      <c r="AS19">
        <f t="shared" ref="AS19:AS32" si="31">AQ19-AX19</f>
        <v>2.1641164896158855</v>
      </c>
      <c r="AT19">
        <f t="shared" si="10"/>
        <v>1.7354690625006359</v>
      </c>
      <c r="AU19">
        <f t="shared" ref="AU19:AU32" si="32">AX19+($B$9*AS19)+$B$10</f>
        <v>16.518916904358388</v>
      </c>
      <c r="AV19">
        <f t="shared" si="11"/>
        <v>17.38579477259389</v>
      </c>
      <c r="AW19" s="97"/>
      <c r="AX19" s="25">
        <f t="shared" si="25"/>
        <v>17</v>
      </c>
      <c r="AY19" s="25">
        <f t="shared" si="12"/>
        <v>0.29670597283903605</v>
      </c>
      <c r="AZ19">
        <f t="shared" si="22"/>
        <v>19.552859649587614</v>
      </c>
      <c r="BA19">
        <f t="shared" si="23"/>
        <v>6.6620562633701077</v>
      </c>
      <c r="BB19">
        <f t="shared" si="13"/>
        <v>-0.33491667832506844</v>
      </c>
      <c r="BC19">
        <f t="shared" si="14"/>
        <v>-0.22327778555004557</v>
      </c>
      <c r="BD19" s="97"/>
    </row>
    <row r="20" spans="1:56" x14ac:dyDescent="0.3">
      <c r="A20">
        <v>400</v>
      </c>
      <c r="B20" s="121">
        <f>AVERAGE(V87:V91)</f>
        <v>2</v>
      </c>
      <c r="C20" s="121"/>
      <c r="D20" s="121"/>
      <c r="G20" s="97"/>
      <c r="M20" s="97"/>
      <c r="N20">
        <f t="shared" ref="N20:N34" si="33">($D$6/TAN(W20))</f>
        <v>291.22397162302707</v>
      </c>
      <c r="O20">
        <f t="shared" ref="O20:O34" si="34">DEGREES(ATAN(($D$6/(N20-(($B$4/2)/12)))))</f>
        <v>1.0069136373297729</v>
      </c>
      <c r="P20">
        <f t="shared" ref="P20:P34" si="35">DEGREES(ATAN(($D$6/(N20+(($B$4/2)/12)))))</f>
        <v>0.99318064617350288</v>
      </c>
      <c r="Q20">
        <f t="shared" ref="Q20:Q34" si="36">O20-V20</f>
        <v>6.9136373297729037E-3</v>
      </c>
      <c r="R20">
        <f t="shared" ref="R20:R34" si="37">V20-P20</f>
        <v>6.819353826497121E-3</v>
      </c>
      <c r="S20">
        <f>V20+($B$9*Q20)+$B$10</f>
        <v>0.99846309842159153</v>
      </c>
      <c r="T20">
        <f t="shared" ref="T20:T34" si="38">V20-($B$9*R20)-$B$10</f>
        <v>1.0015159423556304</v>
      </c>
      <c r="U20" s="97"/>
      <c r="V20" s="25">
        <v>1</v>
      </c>
      <c r="W20" s="25">
        <f t="shared" ref="W20:W34" si="39">V20*(PI()/180)</f>
        <v>1.7453292519943295E-2</v>
      </c>
      <c r="X20">
        <f>$X$19-S20</f>
        <v>17.933017382359367</v>
      </c>
      <c r="Y20">
        <f>$Y$19-T20</f>
        <v>11.619471044831673</v>
      </c>
      <c r="Z20">
        <f t="shared" ref="Z20:Z34" si="40">-(($L$19-($J$19*$B$3))/($H$19+($J$19*($B$5/2))))*(180/PI())</f>
        <v>-17.475212751490112</v>
      </c>
      <c r="AA20">
        <f t="shared" ref="AA20:AA34" si="41">-(($L$19-($J$19*$B$3))/($H$19-($J$19*($B$5/2))))*(180/PI())</f>
        <v>-11.650141834326739</v>
      </c>
      <c r="AB20" s="97"/>
      <c r="AI20" s="97"/>
      <c r="AO20" s="97"/>
      <c r="AP20">
        <f t="shared" si="29"/>
        <v>15.644891313974206</v>
      </c>
      <c r="AQ20">
        <f t="shared" si="30"/>
        <v>20.432616481404278</v>
      </c>
      <c r="AR20">
        <f t="shared" si="9"/>
        <v>16.07121184560733</v>
      </c>
      <c r="AS20">
        <f t="shared" si="31"/>
        <v>2.4326164814042777</v>
      </c>
      <c r="AT20">
        <f t="shared" si="10"/>
        <v>1.9287881543926702</v>
      </c>
      <c r="AU20">
        <f t="shared" si="32"/>
        <v>17.45922935618383</v>
      </c>
      <c r="AV20">
        <f t="shared" si="11"/>
        <v>18.428769606721492</v>
      </c>
      <c r="AW20" s="97"/>
      <c r="AX20" s="25">
        <f t="shared" si="25"/>
        <v>18</v>
      </c>
      <c r="AY20" s="25">
        <f t="shared" si="12"/>
        <v>0.31415926535897931</v>
      </c>
      <c r="AZ20">
        <f t="shared" si="22"/>
        <v>18.612547197762172</v>
      </c>
      <c r="BA20">
        <f t="shared" si="23"/>
        <v>5.619081429242506</v>
      </c>
      <c r="BB20">
        <f t="shared" si="13"/>
        <v>-0.33491667832506844</v>
      </c>
      <c r="BC20">
        <f t="shared" si="14"/>
        <v>-0.22327778555004557</v>
      </c>
      <c r="BD20" s="97"/>
    </row>
    <row r="21" spans="1:56" x14ac:dyDescent="0.3">
      <c r="A21">
        <v>500</v>
      </c>
      <c r="B21" s="121">
        <f>AVERAGE(V104:V107)</f>
        <v>1.5</v>
      </c>
      <c r="C21" s="121"/>
      <c r="D21" s="121"/>
      <c r="G21" s="97"/>
      <c r="M21" s="97"/>
      <c r="N21">
        <f t="shared" si="33"/>
        <v>145.56762085482097</v>
      </c>
      <c r="O21">
        <f t="shared" si="34"/>
        <v>2.0278383342160931</v>
      </c>
      <c r="P21">
        <f t="shared" si="35"/>
        <v>1.9729153509744273</v>
      </c>
      <c r="Q21">
        <f t="shared" si="36"/>
        <v>2.7838334216093052E-2</v>
      </c>
      <c r="R21">
        <f t="shared" si="37"/>
        <v>2.7084649025572727E-2</v>
      </c>
      <c r="S21">
        <f t="shared" ref="S21:S34" si="42">V21+($B$9*Q21)+$B$10</f>
        <v>1.9938115383037625</v>
      </c>
      <c r="T21">
        <f t="shared" si="38"/>
        <v>2.0060209174783847</v>
      </c>
      <c r="U21" s="97"/>
      <c r="V21" s="25">
        <v>2</v>
      </c>
      <c r="W21" s="25">
        <f t="shared" si="39"/>
        <v>3.4906585039886591E-2</v>
      </c>
      <c r="X21">
        <f t="shared" ref="X21:X34" si="43">$X$19-S21</f>
        <v>16.937668942477195</v>
      </c>
      <c r="Y21">
        <f t="shared" ref="Y21:Y34" si="44">$Y$19-T21</f>
        <v>10.61496606970892</v>
      </c>
      <c r="Z21">
        <f t="shared" si="40"/>
        <v>-17.475212751490112</v>
      </c>
      <c r="AA21">
        <f t="shared" si="41"/>
        <v>-11.650141834326739</v>
      </c>
      <c r="AB21" s="97"/>
      <c r="AI21" s="97"/>
      <c r="AO21" s="97"/>
      <c r="AP21">
        <f t="shared" si="29"/>
        <v>14.763071961518763</v>
      </c>
      <c r="AQ21">
        <f t="shared" si="30"/>
        <v>21.716624296445755</v>
      </c>
      <c r="AR21">
        <f t="shared" si="9"/>
        <v>16.86971349641685</v>
      </c>
      <c r="AS21">
        <f t="shared" si="31"/>
        <v>2.7166242964457545</v>
      </c>
      <c r="AT21">
        <f t="shared" si="10"/>
        <v>2.1302865035831502</v>
      </c>
      <c r="AU21">
        <f t="shared" si="32"/>
        <v>18.396094418900109</v>
      </c>
      <c r="AV21">
        <f t="shared" si="11"/>
        <v>19.473562689746533</v>
      </c>
      <c r="AW21" s="97"/>
      <c r="AX21" s="25">
        <f t="shared" si="25"/>
        <v>19</v>
      </c>
      <c r="AY21" s="25">
        <f t="shared" si="12"/>
        <v>0.33161255787892263</v>
      </c>
      <c r="AZ21">
        <f t="shared" si="22"/>
        <v>17.675682135045893</v>
      </c>
      <c r="BA21">
        <f t="shared" si="23"/>
        <v>4.5742883462174646</v>
      </c>
      <c r="BB21">
        <f t="shared" si="13"/>
        <v>-0.33491667832506844</v>
      </c>
      <c r="BC21">
        <f t="shared" si="14"/>
        <v>-0.22327778555004557</v>
      </c>
      <c r="BD21" s="97"/>
    </row>
    <row r="22" spans="1:56" x14ac:dyDescent="0.3">
      <c r="A22">
        <v>600</v>
      </c>
      <c r="B22" s="121">
        <f>AVERAGE(V121:V123)</f>
        <v>1</v>
      </c>
      <c r="C22" s="121"/>
      <c r="D22" s="121"/>
      <c r="G22" s="97"/>
      <c r="M22" s="97"/>
      <c r="N22">
        <f t="shared" si="33"/>
        <v>96.995778162618393</v>
      </c>
      <c r="O22">
        <f t="shared" si="34"/>
        <v>3.0630416649496421</v>
      </c>
      <c r="P22">
        <f t="shared" si="35"/>
        <v>2.9394987432632744</v>
      </c>
      <c r="Q22">
        <f t="shared" si="36"/>
        <v>6.304166494964214E-2</v>
      </c>
      <c r="R22">
        <f t="shared" si="37"/>
        <v>6.0501256736725573E-2</v>
      </c>
      <c r="S22">
        <f t="shared" si="42"/>
        <v>2.9859858378816946</v>
      </c>
      <c r="T22">
        <f t="shared" si="38"/>
        <v>3.013449429372574</v>
      </c>
      <c r="U22" s="97"/>
      <c r="V22" s="25">
        <v>3</v>
      </c>
      <c r="W22" s="25">
        <f t="shared" si="39"/>
        <v>5.235987755982989E-2</v>
      </c>
      <c r="X22">
        <f t="shared" si="43"/>
        <v>15.945494642899265</v>
      </c>
      <c r="Y22">
        <f t="shared" si="44"/>
        <v>9.6075375578147302</v>
      </c>
      <c r="Z22">
        <f t="shared" si="40"/>
        <v>-17.475212751490112</v>
      </c>
      <c r="AA22">
        <f t="shared" si="41"/>
        <v>-11.650141834326739</v>
      </c>
      <c r="AB22" s="97"/>
      <c r="AI22" s="97"/>
      <c r="AO22" s="97"/>
      <c r="AP22">
        <f t="shared" si="29"/>
        <v>13.966343548894329</v>
      </c>
      <c r="AQ22">
        <f t="shared" si="30"/>
        <v>23.015909393725874</v>
      </c>
      <c r="AR22">
        <f t="shared" si="9"/>
        <v>17.660333303960357</v>
      </c>
      <c r="AS22">
        <f t="shared" si="31"/>
        <v>3.0159093937258739</v>
      </c>
      <c r="AT22">
        <f t="shared" si="10"/>
        <v>2.3396666960396431</v>
      </c>
      <c r="AU22">
        <f t="shared" si="32"/>
        <v>19.329563341774737</v>
      </c>
      <c r="AV22">
        <f t="shared" si="11"/>
        <v>20.520107906529613</v>
      </c>
      <c r="AW22" s="97"/>
      <c r="AX22" s="25">
        <f t="shared" si="25"/>
        <v>20</v>
      </c>
      <c r="AY22" s="25">
        <f t="shared" si="12"/>
        <v>0.3490658503988659</v>
      </c>
      <c r="AZ22">
        <f t="shared" si="22"/>
        <v>16.742213212171265</v>
      </c>
      <c r="BA22">
        <f t="shared" si="23"/>
        <v>3.5277431294343842</v>
      </c>
      <c r="BB22">
        <f t="shared" si="13"/>
        <v>-0.33491667832506844</v>
      </c>
      <c r="BC22">
        <f t="shared" si="14"/>
        <v>-0.22327778555004557</v>
      </c>
      <c r="BD22" s="97"/>
    </row>
    <row r="23" spans="1:56" x14ac:dyDescent="0.3">
      <c r="A23">
        <v>700</v>
      </c>
      <c r="B23" s="121">
        <f>AVERAGE(V138:V140)</f>
        <v>1</v>
      </c>
      <c r="C23" s="121"/>
      <c r="D23" s="121"/>
      <c r="G23" s="97"/>
      <c r="M23" s="97"/>
      <c r="N23">
        <f t="shared" si="33"/>
        <v>72.695053471618962</v>
      </c>
      <c r="O23">
        <f t="shared" si="34"/>
        <v>4.1127790850781825</v>
      </c>
      <c r="P23">
        <f t="shared" si="35"/>
        <v>3.8932317366729894</v>
      </c>
      <c r="Q23">
        <f t="shared" si="36"/>
        <v>0.11277908507818246</v>
      </c>
      <c r="R23">
        <f t="shared" si="37"/>
        <v>0.10676826332701062</v>
      </c>
      <c r="S23">
        <f t="shared" si="42"/>
        <v>3.97492920938712</v>
      </c>
      <c r="T23">
        <f t="shared" si="38"/>
        <v>4.0237345849375945</v>
      </c>
      <c r="U23" s="97"/>
      <c r="V23" s="25">
        <v>4</v>
      </c>
      <c r="W23" s="25">
        <f t="shared" si="39"/>
        <v>6.9813170079773182E-2</v>
      </c>
      <c r="X23">
        <f t="shared" si="43"/>
        <v>14.956551271393838</v>
      </c>
      <c r="Y23">
        <f t="shared" si="44"/>
        <v>8.5972524022497101</v>
      </c>
      <c r="Z23">
        <f t="shared" si="40"/>
        <v>-17.475212751490112</v>
      </c>
      <c r="AA23">
        <f t="shared" si="41"/>
        <v>-11.650141834326739</v>
      </c>
      <c r="AB23" s="97"/>
      <c r="AI23" s="97"/>
      <c r="AO23" s="97"/>
      <c r="AP23">
        <f t="shared" si="29"/>
        <v>13.242536078860157</v>
      </c>
      <c r="AQ23">
        <f t="shared" si="30"/>
        <v>24.330191728217535</v>
      </c>
      <c r="AR23">
        <f t="shared" si="9"/>
        <v>18.443365340381483</v>
      </c>
      <c r="AS23">
        <f t="shared" si="31"/>
        <v>3.3301917282175353</v>
      </c>
      <c r="AT23">
        <f t="shared" si="10"/>
        <v>2.556634659618517</v>
      </c>
      <c r="AU23">
        <f t="shared" si="32"/>
        <v>20.259698378817241</v>
      </c>
      <c r="AV23">
        <f t="shared" si="11"/>
        <v>21.568339884833197</v>
      </c>
      <c r="AW23" s="97"/>
      <c r="AX23" s="25">
        <f t="shared" si="25"/>
        <v>21</v>
      </c>
      <c r="AY23" s="25">
        <f t="shared" si="12"/>
        <v>0.36651914291880922</v>
      </c>
      <c r="AZ23">
        <f t="shared" si="22"/>
        <v>15.812078175128761</v>
      </c>
      <c r="BA23">
        <f t="shared" si="23"/>
        <v>2.4795111511308008</v>
      </c>
      <c r="BB23">
        <f t="shared" si="13"/>
        <v>-0.33491667832506844</v>
      </c>
      <c r="BC23">
        <f t="shared" si="14"/>
        <v>-0.22327778555004557</v>
      </c>
      <c r="BD23" s="97"/>
    </row>
    <row r="24" spans="1:56" x14ac:dyDescent="0.3">
      <c r="A24">
        <v>800</v>
      </c>
      <c r="B24" s="121">
        <f>AVERAGE(V155:V157)</f>
        <v>1</v>
      </c>
      <c r="C24" s="121"/>
      <c r="D24" s="121"/>
      <c r="G24" s="97"/>
      <c r="M24" s="97"/>
      <c r="N24">
        <f t="shared" si="33"/>
        <v>58.102765872370156</v>
      </c>
      <c r="O24">
        <f t="shared" si="34"/>
        <v>5.1772921945012662</v>
      </c>
      <c r="P24">
        <f t="shared" si="35"/>
        <v>4.834420340135833</v>
      </c>
      <c r="Q24">
        <f t="shared" si="36"/>
        <v>0.17729219450126621</v>
      </c>
      <c r="R24">
        <f t="shared" si="37"/>
        <v>0.16557965986416701</v>
      </c>
      <c r="S24">
        <f t="shared" si="42"/>
        <v>4.9605879451623682</v>
      </c>
      <c r="T24">
        <f t="shared" si="38"/>
        <v>5.0368083583878045</v>
      </c>
      <c r="U24" s="97"/>
      <c r="V24" s="25">
        <v>5</v>
      </c>
      <c r="W24" s="25">
        <f t="shared" si="39"/>
        <v>8.7266462599716474E-2</v>
      </c>
      <c r="X24">
        <f t="shared" si="43"/>
        <v>13.97089253561859</v>
      </c>
      <c r="Y24">
        <f t="shared" si="44"/>
        <v>7.5841786287995001</v>
      </c>
      <c r="Z24">
        <f t="shared" si="40"/>
        <v>-17.475212751490112</v>
      </c>
      <c r="AA24">
        <f t="shared" si="41"/>
        <v>-11.650141834326739</v>
      </c>
      <c r="AB24" s="97"/>
      <c r="AI24" s="97"/>
      <c r="AO24" s="97"/>
      <c r="AP24">
        <f t="shared" si="29"/>
        <v>12.581691504866169</v>
      </c>
      <c r="AQ24">
        <f t="shared" si="30"/>
        <v>25.659140138716463</v>
      </c>
      <c r="AR24">
        <f t="shared" si="9"/>
        <v>19.219100244158508</v>
      </c>
      <c r="AS24">
        <f t="shared" si="31"/>
        <v>3.659140138716463</v>
      </c>
      <c r="AT24">
        <f t="shared" si="10"/>
        <v>2.7808997558414923</v>
      </c>
      <c r="AU24">
        <f t="shared" si="32"/>
        <v>21.18657314716333</v>
      </c>
      <c r="AV24">
        <f t="shared" si="11"/>
        <v>22.618194015723564</v>
      </c>
      <c r="AW24" s="97"/>
      <c r="AX24" s="25">
        <f t="shared" si="25"/>
        <v>22</v>
      </c>
      <c r="AY24" s="25">
        <f t="shared" si="12"/>
        <v>0.38397243543875248</v>
      </c>
      <c r="AZ24">
        <f t="shared" si="22"/>
        <v>14.885203406782672</v>
      </c>
      <c r="BA24">
        <f t="shared" si="23"/>
        <v>1.429657020240434</v>
      </c>
      <c r="BB24">
        <f t="shared" si="13"/>
        <v>-0.33491667832506844</v>
      </c>
      <c r="BC24">
        <f t="shared" si="14"/>
        <v>-0.22327778555004557</v>
      </c>
      <c r="BD24" s="97"/>
    </row>
    <row r="25" spans="1:56" x14ac:dyDescent="0.3">
      <c r="A25">
        <v>900</v>
      </c>
      <c r="B25" s="121">
        <f>AVERAGE(V172:V173)</f>
        <v>0.5</v>
      </c>
      <c r="C25" s="121"/>
      <c r="D25" s="121"/>
      <c r="G25" s="97"/>
      <c r="M25" s="97"/>
      <c r="N25">
        <f t="shared" si="33"/>
        <v>48.364685975631467</v>
      </c>
      <c r="O25">
        <f t="shared" si="34"/>
        <v>6.2568068892593844</v>
      </c>
      <c r="P25">
        <f t="shared" si="35"/>
        <v>5.7633745694755074</v>
      </c>
      <c r="Q25">
        <f t="shared" si="36"/>
        <v>0.25680688925938444</v>
      </c>
      <c r="R25">
        <f t="shared" si="37"/>
        <v>0.23662543052449259</v>
      </c>
      <c r="S25">
        <f t="shared" si="42"/>
        <v>5.942911828517639</v>
      </c>
      <c r="T25">
        <f t="shared" si="38"/>
        <v>6.0526018332055944</v>
      </c>
      <c r="U25" s="97"/>
      <c r="V25" s="25">
        <v>6</v>
      </c>
      <c r="W25" s="25">
        <f t="shared" si="39"/>
        <v>0.10471975511965978</v>
      </c>
      <c r="X25">
        <f t="shared" si="43"/>
        <v>12.98856865226332</v>
      </c>
      <c r="Y25">
        <f t="shared" si="44"/>
        <v>6.5683851539817102</v>
      </c>
      <c r="Z25">
        <f t="shared" si="40"/>
        <v>-17.475212751490112</v>
      </c>
      <c r="AA25">
        <f t="shared" si="41"/>
        <v>-11.650141834326739</v>
      </c>
      <c r="AB25" s="97"/>
      <c r="AI25" s="97"/>
      <c r="AO25" s="97"/>
      <c r="AP25">
        <f t="shared" si="29"/>
        <v>11.975582859604076</v>
      </c>
      <c r="AQ25">
        <f t="shared" si="30"/>
        <v>27.002371015065791</v>
      </c>
      <c r="AR25">
        <f t="shared" si="9"/>
        <v>19.987825157349342</v>
      </c>
      <c r="AS25">
        <f t="shared" si="31"/>
        <v>4.0023710150657905</v>
      </c>
      <c r="AT25">
        <f t="shared" si="10"/>
        <v>3.0121748426506585</v>
      </c>
      <c r="AU25">
        <f t="shared" si="32"/>
        <v>22.110272923350873</v>
      </c>
      <c r="AV25">
        <f t="shared" si="11"/>
        <v>23.669606467521241</v>
      </c>
      <c r="AW25" s="97"/>
      <c r="AX25" s="25">
        <f t="shared" si="25"/>
        <v>23</v>
      </c>
      <c r="AY25" s="25">
        <f t="shared" si="12"/>
        <v>0.4014257279586958</v>
      </c>
      <c r="AZ25">
        <f t="shared" si="22"/>
        <v>13.961503630595129</v>
      </c>
      <c r="BA25">
        <f t="shared" si="23"/>
        <v>0.37824456844275645</v>
      </c>
      <c r="BB25">
        <f t="shared" si="13"/>
        <v>-0.33491667832506844</v>
      </c>
      <c r="BC25">
        <f t="shared" si="14"/>
        <v>-0.22327778555004557</v>
      </c>
      <c r="BD25" s="97"/>
    </row>
    <row r="26" spans="1:56" x14ac:dyDescent="0.3">
      <c r="A26">
        <v>1000</v>
      </c>
      <c r="B26" s="121">
        <f>AVERAGE(V189:V190)</f>
        <v>0.5</v>
      </c>
      <c r="C26" s="121"/>
      <c r="D26" s="121"/>
      <c r="G26" s="97"/>
      <c r="M26" s="97"/>
      <c r="N26">
        <f t="shared" si="33"/>
        <v>41.400427675537514</v>
      </c>
      <c r="O26">
        <f t="shared" si="34"/>
        <v>7.3515314045373188</v>
      </c>
      <c r="P26">
        <f t="shared" si="35"/>
        <v>6.6804074558448523</v>
      </c>
      <c r="Q26">
        <f t="shared" si="36"/>
        <v>0.35153140453731879</v>
      </c>
      <c r="R26">
        <f t="shared" si="37"/>
        <v>0.31959254415514771</v>
      </c>
      <c r="S26">
        <f t="shared" si="42"/>
        <v>6.9218545687713542</v>
      </c>
      <c r="T26">
        <f t="shared" si="38"/>
        <v>7.0710454225656889</v>
      </c>
      <c r="U26" s="97"/>
      <c r="V26" s="25">
        <v>7</v>
      </c>
      <c r="W26" s="25">
        <f t="shared" si="39"/>
        <v>0.12217304763960307</v>
      </c>
      <c r="X26">
        <f t="shared" si="43"/>
        <v>12.009625912009604</v>
      </c>
      <c r="Y26">
        <f t="shared" si="44"/>
        <v>5.5499415646216157</v>
      </c>
      <c r="Z26">
        <f t="shared" si="40"/>
        <v>-17.475212751490112</v>
      </c>
      <c r="AA26">
        <f t="shared" si="41"/>
        <v>-11.650141834326739</v>
      </c>
      <c r="AB26" s="97"/>
      <c r="AI26" s="97"/>
      <c r="AO26" s="97"/>
      <c r="AP26">
        <f t="shared" si="29"/>
        <v>11.417353600679762</v>
      </c>
      <c r="AQ26">
        <f t="shared" si="30"/>
        <v>28.35944728676526</v>
      </c>
      <c r="AR26">
        <f t="shared" si="9"/>
        <v>20.749823689140037</v>
      </c>
      <c r="AS26">
        <f t="shared" si="31"/>
        <v>4.3594472867652598</v>
      </c>
      <c r="AT26">
        <f t="shared" si="10"/>
        <v>3.2501763108599633</v>
      </c>
      <c r="AU26">
        <f t="shared" si="32"/>
        <v>23.030894868152082</v>
      </c>
      <c r="AV26">
        <f t="shared" si="11"/>
        <v>24.722514193904171</v>
      </c>
      <c r="AW26" s="97"/>
      <c r="AX26" s="25">
        <f t="shared" si="25"/>
        <v>24</v>
      </c>
      <c r="AY26" s="25">
        <f t="shared" si="12"/>
        <v>0.41887902047863912</v>
      </c>
      <c r="AZ26">
        <f t="shared" si="22"/>
        <v>13.04088168579392</v>
      </c>
      <c r="BA26">
        <f t="shared" si="23"/>
        <v>-0.67466315794017362</v>
      </c>
      <c r="BB26">
        <f t="shared" si="13"/>
        <v>-0.33491667832506844</v>
      </c>
      <c r="BC26">
        <f t="shared" si="14"/>
        <v>-0.22327778555004557</v>
      </c>
      <c r="BD26" s="97"/>
    </row>
    <row r="27" spans="1:56" x14ac:dyDescent="0.3">
      <c r="A27">
        <v>1100</v>
      </c>
      <c r="B27" s="121">
        <f>AVERAGE(V206:V207)</f>
        <v>0.5</v>
      </c>
      <c r="C27" s="121"/>
      <c r="D27" s="121"/>
      <c r="G27" s="97"/>
      <c r="M27" s="97"/>
      <c r="N27">
        <f t="shared" si="33"/>
        <v>36.169796088786391</v>
      </c>
      <c r="O27">
        <f t="shared" si="34"/>
        <v>8.4616542531871186</v>
      </c>
      <c r="P27">
        <f t="shared" si="35"/>
        <v>7.5858341464600265</v>
      </c>
      <c r="Q27">
        <f t="shared" si="36"/>
        <v>0.46165425318711861</v>
      </c>
      <c r="R27">
        <f t="shared" si="37"/>
        <v>0.41416585353997348</v>
      </c>
      <c r="S27">
        <f t="shared" si="42"/>
        <v>7.8973742595165035</v>
      </c>
      <c r="T27">
        <f t="shared" si="38"/>
        <v>8.0920690692419353</v>
      </c>
      <c r="U27" s="97"/>
      <c r="V27" s="25">
        <v>8</v>
      </c>
      <c r="W27" s="25">
        <f t="shared" si="39"/>
        <v>0.13962634015954636</v>
      </c>
      <c r="X27">
        <f t="shared" si="43"/>
        <v>11.034106221264455</v>
      </c>
      <c r="Y27">
        <f t="shared" si="44"/>
        <v>4.5289179179453694</v>
      </c>
      <c r="Z27">
        <f t="shared" si="40"/>
        <v>-17.475212751490112</v>
      </c>
      <c r="AA27">
        <f t="shared" si="41"/>
        <v>-11.650141834326739</v>
      </c>
      <c r="AB27" s="97"/>
      <c r="AI27" s="97"/>
      <c r="AO27" s="97"/>
      <c r="AP27">
        <f t="shared" si="29"/>
        <v>10.901243512590256</v>
      </c>
      <c r="AQ27">
        <f t="shared" si="30"/>
        <v>29.729877773866466</v>
      </c>
      <c r="AR27">
        <f t="shared" si="9"/>
        <v>21.505375903181218</v>
      </c>
      <c r="AS27">
        <f t="shared" si="31"/>
        <v>4.7298777738664661</v>
      </c>
      <c r="AT27">
        <f t="shared" si="10"/>
        <v>3.4946240968187823</v>
      </c>
      <c r="AU27">
        <f t="shared" si="32"/>
        <v>23.948548170869486</v>
      </c>
      <c r="AV27">
        <f t="shared" si="11"/>
        <v>25.776854936722817</v>
      </c>
      <c r="AW27" s="97"/>
      <c r="AX27" s="25">
        <f t="shared" si="25"/>
        <v>25</v>
      </c>
      <c r="AY27" s="25">
        <f t="shared" si="12"/>
        <v>0.43633231299858238</v>
      </c>
      <c r="AZ27">
        <f t="shared" si="22"/>
        <v>12.123228383076516</v>
      </c>
      <c r="BA27">
        <f t="shared" si="23"/>
        <v>-1.7290039007588192</v>
      </c>
      <c r="BB27">
        <f t="shared" si="13"/>
        <v>-0.33491667832506844</v>
      </c>
      <c r="BC27">
        <f t="shared" si="14"/>
        <v>-0.22327778555004557</v>
      </c>
      <c r="BD27" s="97"/>
    </row>
    <row r="28" spans="1:56" x14ac:dyDescent="0.3">
      <c r="A28">
        <v>1200</v>
      </c>
      <c r="B28" s="121">
        <f>AVERAGE(V223:V224)</f>
        <v>0.5</v>
      </c>
      <c r="C28" s="121"/>
      <c r="D28" s="121"/>
      <c r="G28" s="97"/>
      <c r="M28" s="97"/>
      <c r="N28">
        <f t="shared" si="33"/>
        <v>32.094903532931468</v>
      </c>
      <c r="O28">
        <f t="shared" si="34"/>
        <v>9.5873420661004971</v>
      </c>
      <c r="P28">
        <f t="shared" si="35"/>
        <v>8.4799710928606782</v>
      </c>
      <c r="Q28">
        <f t="shared" si="36"/>
        <v>0.58734206610049711</v>
      </c>
      <c r="R28">
        <f t="shared" si="37"/>
        <v>0.52002890713932182</v>
      </c>
      <c r="S28">
        <f t="shared" si="42"/>
        <v>8.8694338587058592</v>
      </c>
      <c r="T28">
        <f t="shared" si="38"/>
        <v>9.1156024260570714</v>
      </c>
      <c r="U28" s="97"/>
      <c r="V28" s="25">
        <v>9</v>
      </c>
      <c r="W28" s="25">
        <f t="shared" si="39"/>
        <v>0.15707963267948966</v>
      </c>
      <c r="X28">
        <f t="shared" si="43"/>
        <v>10.062046622075099</v>
      </c>
      <c r="Y28">
        <f t="shared" si="44"/>
        <v>3.5053845611302332</v>
      </c>
      <c r="Z28">
        <f t="shared" si="40"/>
        <v>-17.475212751490112</v>
      </c>
      <c r="AA28">
        <f t="shared" si="41"/>
        <v>-11.650141834326739</v>
      </c>
      <c r="AB28" s="97"/>
      <c r="AI28" s="97"/>
      <c r="AO28" s="97"/>
      <c r="AP28">
        <f t="shared" si="29"/>
        <v>10.422377861361422</v>
      </c>
      <c r="AQ28">
        <f t="shared" si="30"/>
        <v>31.113116938883913</v>
      </c>
      <c r="AR28">
        <f t="shared" si="9"/>
        <v>22.25475832639103</v>
      </c>
      <c r="AS28">
        <f t="shared" si="31"/>
        <v>5.1131169388839126</v>
      </c>
      <c r="AT28">
        <f t="shared" si="10"/>
        <v>3.7452416736089695</v>
      </c>
      <c r="AU28">
        <f t="shared" si="32"/>
        <v>24.863354104486106</v>
      </c>
      <c r="AV28">
        <f t="shared" si="11"/>
        <v>26.832567224043274</v>
      </c>
      <c r="AW28" s="97"/>
      <c r="AX28" s="25">
        <f t="shared" si="25"/>
        <v>26</v>
      </c>
      <c r="AY28" s="25">
        <f t="shared" si="12"/>
        <v>0.4537856055185257</v>
      </c>
      <c r="AZ28">
        <f t="shared" si="22"/>
        <v>11.208422449459896</v>
      </c>
      <c r="BA28">
        <f t="shared" si="23"/>
        <v>-2.7847161880792761</v>
      </c>
      <c r="BB28">
        <f t="shared" si="13"/>
        <v>-0.33491667832506844</v>
      </c>
      <c r="BC28">
        <f t="shared" si="14"/>
        <v>-0.22327778555004557</v>
      </c>
      <c r="BD28" s="97"/>
    </row>
    <row r="29" spans="1:56" x14ac:dyDescent="0.3">
      <c r="A29" t="s">
        <v>394</v>
      </c>
      <c r="B29" s="121" t="s">
        <v>387</v>
      </c>
      <c r="C29" s="121"/>
      <c r="D29" s="121"/>
      <c r="E29" s="121"/>
      <c r="G29" s="97"/>
      <c r="M29" s="97"/>
      <c r="N29">
        <f t="shared" si="33"/>
        <v>28.82901591639002</v>
      </c>
      <c r="O29">
        <f t="shared" si="34"/>
        <v>10.728737343023939</v>
      </c>
      <c r="P29">
        <f t="shared" si="35"/>
        <v>9.3631353217970563</v>
      </c>
      <c r="Q29">
        <f t="shared" si="36"/>
        <v>0.72873734302393878</v>
      </c>
      <c r="R29">
        <f t="shared" si="37"/>
        <v>0.63686467820294368</v>
      </c>
      <c r="S29">
        <f t="shared" si="42"/>
        <v>9.8380016886457788</v>
      </c>
      <c r="T29">
        <f t="shared" si="38"/>
        <v>10.141575017964515</v>
      </c>
      <c r="U29" s="97"/>
      <c r="V29" s="25">
        <v>10</v>
      </c>
      <c r="W29" s="25">
        <f t="shared" si="39"/>
        <v>0.17453292519943295</v>
      </c>
      <c r="X29">
        <f t="shared" si="43"/>
        <v>9.0934787921351798</v>
      </c>
      <c r="Y29">
        <f t="shared" si="44"/>
        <v>2.4794119692227898</v>
      </c>
      <c r="Z29">
        <f t="shared" si="40"/>
        <v>-17.475212751490112</v>
      </c>
      <c r="AA29">
        <f t="shared" si="41"/>
        <v>-11.650141834326739</v>
      </c>
      <c r="AB29" s="97"/>
      <c r="AI29" s="97"/>
      <c r="AO29" s="97"/>
      <c r="AP29">
        <f t="shared" si="29"/>
        <v>9.9766034029845159</v>
      </c>
      <c r="AQ29">
        <f t="shared" si="30"/>
        <v>32.508565075126086</v>
      </c>
      <c r="AR29">
        <f t="shared" si="9"/>
        <v>22.998243977087721</v>
      </c>
      <c r="AS29">
        <f t="shared" si="31"/>
        <v>5.5085650751260857</v>
      </c>
      <c r="AT29">
        <f t="shared" si="10"/>
        <v>4.0017560229122786</v>
      </c>
      <c r="AU29">
        <f t="shared" si="32"/>
        <v>25.775445983799472</v>
      </c>
      <c r="AV29">
        <f t="shared" si="11"/>
        <v>27.889590363893401</v>
      </c>
      <c r="AW29" s="97"/>
      <c r="AX29" s="25">
        <f t="shared" si="25"/>
        <v>27</v>
      </c>
      <c r="AY29" s="25">
        <f t="shared" si="12"/>
        <v>0.47123889803846897</v>
      </c>
      <c r="AZ29">
        <f t="shared" si="22"/>
        <v>10.29633057014653</v>
      </c>
      <c r="BA29">
        <f t="shared" si="23"/>
        <v>-3.8417393279294032</v>
      </c>
      <c r="BB29">
        <f t="shared" si="13"/>
        <v>-0.33491667832506844</v>
      </c>
      <c r="BC29">
        <f t="shared" si="14"/>
        <v>-0.22327778555004557</v>
      </c>
      <c r="BD29" s="97"/>
    </row>
    <row r="30" spans="1:56" x14ac:dyDescent="0.3">
      <c r="G30" s="97"/>
      <c r="M30" s="97"/>
      <c r="N30">
        <f t="shared" si="33"/>
        <v>26.151482914515743</v>
      </c>
      <c r="O30">
        <f t="shared" si="34"/>
        <v>11.88595612490643</v>
      </c>
      <c r="P30">
        <f t="shared" si="35"/>
        <v>10.235643783795052</v>
      </c>
      <c r="Q30">
        <f t="shared" si="36"/>
        <v>0.88595612490643028</v>
      </c>
      <c r="R30">
        <f t="shared" si="37"/>
        <v>0.76435621620494842</v>
      </c>
      <c r="S30">
        <f t="shared" si="42"/>
        <v>10.8030519534333</v>
      </c>
      <c r="T30">
        <f t="shared" si="38"/>
        <v>11.16991638686236</v>
      </c>
      <c r="U30" s="97"/>
      <c r="V30" s="25">
        <v>11</v>
      </c>
      <c r="W30" s="25">
        <f t="shared" si="39"/>
        <v>0.19198621771937624</v>
      </c>
      <c r="X30">
        <f t="shared" si="43"/>
        <v>8.1284285273476584</v>
      </c>
      <c r="Y30">
        <f t="shared" si="44"/>
        <v>1.4510706003249449</v>
      </c>
      <c r="Z30">
        <f t="shared" si="40"/>
        <v>-17.475212751490112</v>
      </c>
      <c r="AA30">
        <f t="shared" si="41"/>
        <v>-11.650141834326739</v>
      </c>
      <c r="AB30" s="97"/>
      <c r="AI30" s="97"/>
      <c r="AO30" s="97"/>
      <c r="AP30">
        <f t="shared" si="29"/>
        <v>9.5603595321771859</v>
      </c>
      <c r="AQ30">
        <f t="shared" si="30"/>
        <v>33.915568962328727</v>
      </c>
      <c r="AR30">
        <f t="shared" si="9"/>
        <v>23.736102410490417</v>
      </c>
      <c r="AS30">
        <f t="shared" si="31"/>
        <v>5.9155689623287273</v>
      </c>
      <c r="AT30">
        <f t="shared" si="10"/>
        <v>4.2638975895095825</v>
      </c>
      <c r="AU30">
        <f t="shared" si="32"/>
        <v>26.684969019674323</v>
      </c>
      <c r="AV30">
        <f t="shared" si="11"/>
        <v>28.947864434147981</v>
      </c>
      <c r="AW30" s="97"/>
      <c r="AX30" s="25">
        <f t="shared" si="25"/>
        <v>28</v>
      </c>
      <c r="AY30" s="25">
        <f t="shared" si="12"/>
        <v>0.48869219055841229</v>
      </c>
      <c r="AZ30">
        <f t="shared" si="22"/>
        <v>9.3868075342716786</v>
      </c>
      <c r="BA30">
        <f t="shared" si="23"/>
        <v>-4.9000133981839831</v>
      </c>
      <c r="BB30">
        <f t="shared" si="13"/>
        <v>-0.33491667832506844</v>
      </c>
      <c r="BC30">
        <f t="shared" si="14"/>
        <v>-0.22327778555004557</v>
      </c>
      <c r="BD30" s="97"/>
    </row>
    <row r="31" spans="1:56" x14ac:dyDescent="0.3">
      <c r="A31" t="s">
        <v>114</v>
      </c>
      <c r="B31" s="121" t="s">
        <v>391</v>
      </c>
      <c r="C31" s="121"/>
      <c r="D31" s="121"/>
      <c r="G31" s="97"/>
      <c r="M31" s="97"/>
      <c r="N31">
        <f t="shared" si="33"/>
        <v>23.915203056515473</v>
      </c>
      <c r="O31">
        <f t="shared" si="34"/>
        <v>13.059085601584721</v>
      </c>
      <c r="P31">
        <f t="shared" si="35"/>
        <v>11.097812774466078</v>
      </c>
      <c r="Q31">
        <f t="shared" si="36"/>
        <v>1.0590856015847212</v>
      </c>
      <c r="R31">
        <f t="shared" si="37"/>
        <v>0.90218722553392183</v>
      </c>
      <c r="S31">
        <f t="shared" si="42"/>
        <v>11.764565270767717</v>
      </c>
      <c r="T31">
        <f t="shared" si="38"/>
        <v>12.200556220236191</v>
      </c>
      <c r="U31" s="97"/>
      <c r="V31" s="25">
        <v>12</v>
      </c>
      <c r="W31" s="25">
        <f t="shared" si="39"/>
        <v>0.20943951023931956</v>
      </c>
      <c r="X31">
        <f t="shared" si="43"/>
        <v>7.1669152100132418</v>
      </c>
      <c r="Y31">
        <f t="shared" si="44"/>
        <v>0.42043076695111381</v>
      </c>
      <c r="Z31">
        <f t="shared" si="40"/>
        <v>-17.475212751490112</v>
      </c>
      <c r="AA31">
        <f t="shared" si="41"/>
        <v>-11.650141834326739</v>
      </c>
      <c r="AB31" s="97"/>
      <c r="AI31" s="97"/>
      <c r="AO31" s="97"/>
      <c r="AP31">
        <f t="shared" si="29"/>
        <v>9.1705760892964037</v>
      </c>
      <c r="AQ31">
        <f t="shared" si="30"/>
        <v>35.33342301475048</v>
      </c>
      <c r="AR31">
        <f t="shared" si="9"/>
        <v>24.46859977979177</v>
      </c>
      <c r="AS31">
        <f t="shared" si="31"/>
        <v>6.3334230147504798</v>
      </c>
      <c r="AT31">
        <f t="shared" si="10"/>
        <v>4.53140022020823</v>
      </c>
      <c r="AU31">
        <f t="shared" si="32"/>
        <v>27.592080063820969</v>
      </c>
      <c r="AV31">
        <f t="shared" si="11"/>
        <v>30.007330268952291</v>
      </c>
      <c r="AW31" s="97"/>
      <c r="AX31" s="25">
        <f t="shared" si="25"/>
        <v>29</v>
      </c>
      <c r="AY31" s="25">
        <f t="shared" si="12"/>
        <v>0.50614548307835561</v>
      </c>
      <c r="AZ31">
        <f t="shared" si="22"/>
        <v>8.4796964901250327</v>
      </c>
      <c r="BA31">
        <f t="shared" si="23"/>
        <v>-5.9594792329882935</v>
      </c>
      <c r="BB31">
        <f t="shared" si="13"/>
        <v>-0.33491667832506844</v>
      </c>
      <c r="BC31">
        <f t="shared" si="14"/>
        <v>-0.22327778555004557</v>
      </c>
      <c r="BD31" s="97"/>
    </row>
    <row r="32" spans="1:56" x14ac:dyDescent="0.3">
      <c r="A32">
        <v>100</v>
      </c>
      <c r="B32" s="121">
        <f>AVERAGE(AX20:AX29)</f>
        <v>22.5</v>
      </c>
      <c r="C32" s="121"/>
      <c r="D32" s="121"/>
      <c r="G32" s="97"/>
      <c r="M32" s="102"/>
      <c r="N32">
        <f t="shared" si="33"/>
        <v>22.018335694277788</v>
      </c>
      <c r="O32">
        <f t="shared" si="34"/>
        <v>14.248181671519944</v>
      </c>
      <c r="P32">
        <f t="shared" si="35"/>
        <v>11.949957423698619</v>
      </c>
      <c r="Q32">
        <f t="shared" si="36"/>
        <v>1.2481816715199443</v>
      </c>
      <c r="R32">
        <f t="shared" si="37"/>
        <v>1.0500425763013812</v>
      </c>
      <c r="S32">
        <f t="shared" si="42"/>
        <v>12.722529214421117</v>
      </c>
      <c r="T32">
        <f t="shared" si="38"/>
        <v>13.233424464711797</v>
      </c>
      <c r="U32" s="97"/>
      <c r="V32" s="25">
        <v>13</v>
      </c>
      <c r="W32" s="25">
        <f t="shared" si="39"/>
        <v>0.22689280275926285</v>
      </c>
      <c r="X32">
        <f t="shared" si="43"/>
        <v>6.2089512663598416</v>
      </c>
      <c r="Y32">
        <f t="shared" si="44"/>
        <v>-0.61243747752449273</v>
      </c>
      <c r="Z32">
        <f t="shared" si="40"/>
        <v>-17.475212751490112</v>
      </c>
      <c r="AA32">
        <f t="shared" si="41"/>
        <v>-11.650141834326739</v>
      </c>
      <c r="AB32" s="102"/>
      <c r="AI32" s="97"/>
      <c r="AO32" s="97"/>
      <c r="AP32">
        <f t="shared" si="29"/>
        <v>8.804591605141793</v>
      </c>
      <c r="AQ32">
        <f t="shared" si="30"/>
        <v>36.76137094001303</v>
      </c>
      <c r="AR32">
        <f t="shared" si="9"/>
        <v>25.195998911161549</v>
      </c>
      <c r="AS32">
        <f t="shared" si="31"/>
        <v>6.7613709400130304</v>
      </c>
      <c r="AT32">
        <f t="shared" si="10"/>
        <v>4.8040010888384508</v>
      </c>
      <c r="AU32">
        <f t="shared" si="32"/>
        <v>28.496947240035105</v>
      </c>
      <c r="AV32">
        <f t="shared" si="11"/>
        <v>31.067929442048786</v>
      </c>
      <c r="AW32" s="97"/>
      <c r="AX32" s="25">
        <f t="shared" si="25"/>
        <v>30</v>
      </c>
      <c r="AY32" s="25">
        <f t="shared" si="12"/>
        <v>0.52359877559829882</v>
      </c>
      <c r="AZ32">
        <f t="shared" si="22"/>
        <v>7.5748293139108966</v>
      </c>
      <c r="BA32">
        <f t="shared" si="23"/>
        <v>-7.0200784060847887</v>
      </c>
      <c r="BB32">
        <f t="shared" si="13"/>
        <v>-0.33491667832506844</v>
      </c>
      <c r="BC32">
        <f t="shared" si="14"/>
        <v>-0.22327778555004557</v>
      </c>
      <c r="BD32" s="97"/>
    </row>
    <row r="33" spans="1:56" x14ac:dyDescent="0.3">
      <c r="A33">
        <v>120</v>
      </c>
      <c r="B33" s="121">
        <f>AVERAGE(AX16:AX25)</f>
        <v>18.5</v>
      </c>
      <c r="C33" s="121"/>
      <c r="D33" s="121"/>
      <c r="G33" s="97"/>
      <c r="M33" s="102"/>
      <c r="N33">
        <f t="shared" si="33"/>
        <v>20.388136412140543</v>
      </c>
      <c r="O33">
        <f t="shared" si="34"/>
        <v>15.45326647336689</v>
      </c>
      <c r="P33">
        <f t="shared" si="35"/>
        <v>12.792391247981996</v>
      </c>
      <c r="Q33">
        <f t="shared" si="36"/>
        <v>1.4532664733668899</v>
      </c>
      <c r="R33">
        <f t="shared" si="37"/>
        <v>1.2076087520180039</v>
      </c>
      <c r="S33">
        <f t="shared" si="42"/>
        <v>13.676938862970541</v>
      </c>
      <c r="T33">
        <f t="shared" si="38"/>
        <v>14.268451425573602</v>
      </c>
      <c r="U33" s="97"/>
      <c r="V33" s="25">
        <v>14</v>
      </c>
      <c r="W33" s="25">
        <f t="shared" si="39"/>
        <v>0.24434609527920614</v>
      </c>
      <c r="X33">
        <f t="shared" si="43"/>
        <v>5.2545416178104176</v>
      </c>
      <c r="Y33">
        <f t="shared" si="44"/>
        <v>-1.6474644383862973</v>
      </c>
      <c r="Z33">
        <f t="shared" si="40"/>
        <v>-17.475212751490112</v>
      </c>
      <c r="AA33">
        <f t="shared" si="41"/>
        <v>-11.650141834326739</v>
      </c>
      <c r="AB33" s="102"/>
      <c r="AI33" s="97"/>
      <c r="AO33" s="97"/>
      <c r="AP33">
        <f>($D$6/TAN(AY33))</f>
        <v>8.4600873686151328</v>
      </c>
      <c r="AQ33">
        <f>DEGREES(ATAN(($D$6/(AP33-(($B$4/2)/12)))))</f>
        <v>38.198607919026635</v>
      </c>
      <c r="AR33">
        <f t="shared" si="9"/>
        <v>25.918559391185603</v>
      </c>
      <c r="AS33">
        <f>AQ33-AX33</f>
        <v>7.1986079190266352</v>
      </c>
      <c r="AT33">
        <f t="shared" si="10"/>
        <v>5.0814406088143969</v>
      </c>
      <c r="AU33">
        <f>AX33+($B$9*AS33)+$B$10</f>
        <v>29.399749459600379</v>
      </c>
      <c r="AV33">
        <f t="shared" si="11"/>
        <v>32.129604247339444</v>
      </c>
      <c r="AW33" s="97"/>
      <c r="AX33" s="25">
        <f t="shared" si="25"/>
        <v>31</v>
      </c>
      <c r="AY33" s="25">
        <f t="shared" si="12"/>
        <v>0.54105206811824214</v>
      </c>
      <c r="AZ33">
        <f t="shared" si="22"/>
        <v>6.6720270943456228</v>
      </c>
      <c r="BA33">
        <f t="shared" si="23"/>
        <v>-8.081753211375446</v>
      </c>
      <c r="BB33">
        <f t="shared" si="13"/>
        <v>-0.33491667832506844</v>
      </c>
      <c r="BC33">
        <f t="shared" si="14"/>
        <v>-0.22327778555004557</v>
      </c>
      <c r="BD33" s="97"/>
    </row>
    <row r="34" spans="1:56" x14ac:dyDescent="0.3">
      <c r="A34">
        <v>200</v>
      </c>
      <c r="B34" s="121">
        <f>AVERAGE(AX12:AX17)</f>
        <v>12.5</v>
      </c>
      <c r="C34" s="121"/>
      <c r="D34" s="121"/>
      <c r="G34" s="97"/>
      <c r="M34" s="102"/>
      <c r="N34">
        <f t="shared" si="33"/>
        <v>18.971258271808459</v>
      </c>
      <c r="O34">
        <f t="shared" si="34"/>
        <v>16.674325912334528</v>
      </c>
      <c r="P34">
        <f t="shared" si="35"/>
        <v>13.625425761261335</v>
      </c>
      <c r="Q34">
        <f t="shared" si="36"/>
        <v>1.6743259123345275</v>
      </c>
      <c r="R34">
        <f t="shared" si="37"/>
        <v>1.3745742387386652</v>
      </c>
      <c r="S34">
        <f t="shared" si="42"/>
        <v>14.627797349688034</v>
      </c>
      <c r="T34">
        <f t="shared" si="38"/>
        <v>15.305567853271604</v>
      </c>
      <c r="U34" s="97"/>
      <c r="V34" s="25">
        <v>15</v>
      </c>
      <c r="W34" s="25">
        <f t="shared" si="39"/>
        <v>0.26179938779914941</v>
      </c>
      <c r="X34">
        <f t="shared" si="43"/>
        <v>4.3036831310929244</v>
      </c>
      <c r="Y34">
        <f t="shared" si="44"/>
        <v>-2.6845808660842998</v>
      </c>
      <c r="Z34">
        <f t="shared" si="40"/>
        <v>-17.475212751490112</v>
      </c>
      <c r="AA34">
        <f t="shared" si="41"/>
        <v>-11.650141834326739</v>
      </c>
      <c r="AB34" s="102"/>
      <c r="AI34" s="97"/>
      <c r="AO34" s="97"/>
      <c r="AP34">
        <f t="shared" ref="AP34:AP47" si="45">($D$6/TAN(AY34))</f>
        <v>8.1350338559586728</v>
      </c>
      <c r="AQ34">
        <f t="shared" ref="AQ34:AQ47" si="46">DEGREES(ATAN(($D$6/(AP34-(($B$4/2)/12)))))</f>
        <v>39.644283308484404</v>
      </c>
      <c r="AR34">
        <f t="shared" si="9"/>
        <v>26.636537665380139</v>
      </c>
      <c r="AS34">
        <f t="shared" ref="AS34:AS47" si="47">AQ34-AX34</f>
        <v>7.644283308484404</v>
      </c>
      <c r="AT34">
        <f t="shared" si="10"/>
        <v>5.3634623346198609</v>
      </c>
      <c r="AU34">
        <f t="shared" ref="AU34:AU47" si="48">AX34+($B$9*AS34)+$B$10</f>
        <v>30.300675820523917</v>
      </c>
      <c r="AV34">
        <f t="shared" si="11"/>
        <v>33.192297676985994</v>
      </c>
      <c r="AW34" s="97"/>
      <c r="AX34" s="25">
        <f t="shared" si="25"/>
        <v>32</v>
      </c>
      <c r="AY34" s="25">
        <f t="shared" si="12"/>
        <v>0.55850536063818546</v>
      </c>
      <c r="AZ34">
        <f t="shared" si="22"/>
        <v>5.7711007334220845</v>
      </c>
      <c r="BA34">
        <f t="shared" si="23"/>
        <v>-9.1444466410219967</v>
      </c>
      <c r="BB34">
        <f t="shared" si="13"/>
        <v>-0.33491667832506844</v>
      </c>
      <c r="BC34">
        <f t="shared" si="14"/>
        <v>-0.22327778555004557</v>
      </c>
      <c r="BD34" s="97"/>
    </row>
    <row r="35" spans="1:56" x14ac:dyDescent="0.3">
      <c r="A35">
        <v>300</v>
      </c>
      <c r="B35" s="121">
        <f>AVERAGE(AX5:AX12)</f>
        <v>6.5</v>
      </c>
      <c r="C35" s="121"/>
      <c r="D35" s="12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I35" s="97"/>
      <c r="AO35" s="97"/>
      <c r="AP35">
        <f t="shared" si="45"/>
        <v>7.8276468993907953</v>
      </c>
      <c r="AQ35">
        <f t="shared" si="46"/>
        <v>41.097503857832599</v>
      </c>
      <c r="AR35">
        <f t="shared" si="9"/>
        <v>27.350187146547444</v>
      </c>
      <c r="AS35">
        <f t="shared" si="47"/>
        <v>8.0975038578325993</v>
      </c>
      <c r="AT35">
        <f t="shared" si="10"/>
        <v>5.6498128534525556</v>
      </c>
      <c r="AU35">
        <f t="shared" si="48"/>
        <v>31.199924892403814</v>
      </c>
      <c r="AV35">
        <f t="shared" si="11"/>
        <v>34.2559533973225</v>
      </c>
      <c r="AW35" s="97"/>
      <c r="AX35" s="25">
        <f t="shared" si="25"/>
        <v>33</v>
      </c>
      <c r="AY35" s="25">
        <f t="shared" si="12"/>
        <v>0.57595865315812877</v>
      </c>
      <c r="AZ35">
        <f t="shared" si="22"/>
        <v>4.8718516615421876</v>
      </c>
      <c r="BA35">
        <f t="shared" si="23"/>
        <v>-10.208102361358502</v>
      </c>
      <c r="BB35">
        <f t="shared" si="13"/>
        <v>-0.33491667832506844</v>
      </c>
      <c r="BC35">
        <f t="shared" si="14"/>
        <v>-0.22327778555004557</v>
      </c>
      <c r="BD35" s="97"/>
    </row>
    <row r="36" spans="1:56" x14ac:dyDescent="0.3">
      <c r="A36">
        <v>348</v>
      </c>
      <c r="B36" s="121">
        <f>AVERAGE(AX3:AX11)</f>
        <v>5</v>
      </c>
      <c r="C36" s="121"/>
      <c r="D36" s="121"/>
      <c r="F36" s="19">
        <v>200</v>
      </c>
      <c r="G36" s="97"/>
      <c r="H36">
        <f>SQRT(('Input + Tire Forces'!$L$5*386.4)*F36)</f>
        <v>362.45827346054608</v>
      </c>
      <c r="I36">
        <f t="shared" si="26"/>
        <v>-656.88</v>
      </c>
      <c r="J36">
        <f t="shared" si="27"/>
        <v>-1.8122913673027303</v>
      </c>
      <c r="K36">
        <v>0</v>
      </c>
      <c r="L36">
        <f t="shared" si="28"/>
        <v>0</v>
      </c>
      <c r="M36" s="102"/>
      <c r="N36">
        <v>0</v>
      </c>
      <c r="O36">
        <v>0</v>
      </c>
      <c r="P36">
        <v>0</v>
      </c>
      <c r="Q36">
        <f>O36-V36</f>
        <v>0</v>
      </c>
      <c r="R36">
        <f>V36-P36</f>
        <v>0</v>
      </c>
      <c r="S36">
        <f>V36+($B$9*Q36)+$B$10</f>
        <v>0</v>
      </c>
      <c r="T36">
        <f>V36-($B$9*R36)-$B$10</f>
        <v>0</v>
      </c>
      <c r="U36" s="97"/>
      <c r="V36" s="25">
        <v>0</v>
      </c>
      <c r="W36" s="25">
        <f>V36*(PI()/180)</f>
        <v>0</v>
      </c>
      <c r="X36">
        <f>-(($L$36+($J$36*$B$2))/($H$36+($J$36*($B$4/2))))*(180/PI())</f>
        <v>10.326262080425971</v>
      </c>
      <c r="Y36">
        <f>-(($L$36+($J$36*$B$2))/($H$36-($J$36*($B$4/2))))*(180/PI())</f>
        <v>8.1134916346204093</v>
      </c>
      <c r="Z36">
        <f>-(($L$36-($J$36*$B$3))/($H$36+($J$36*($B$5/2))))*(180/PI())</f>
        <v>-9.5319342280855111</v>
      </c>
      <c r="AA36">
        <f>-(($L$36-($J$36*$B$3))/($H$36-($J$36*($B$5/2))))*(180/PI())</f>
        <v>-7.4893768934957601</v>
      </c>
      <c r="AB36" s="97"/>
      <c r="AI36" s="97"/>
      <c r="AO36" s="97"/>
      <c r="AP36">
        <f t="shared" si="45"/>
        <v>7.5363515899397617</v>
      </c>
      <c r="AQ36">
        <f t="shared" si="46"/>
        <v>42.557337422574165</v>
      </c>
      <c r="AR36">
        <f t="shared" si="9"/>
        <v>28.059758331855829</v>
      </c>
      <c r="AS36">
        <f t="shared" si="47"/>
        <v>8.5573374225741645</v>
      </c>
      <c r="AT36">
        <f t="shared" si="10"/>
        <v>5.9402416681441714</v>
      </c>
      <c r="AU36">
        <f t="shared" si="48"/>
        <v>32.09770389096176</v>
      </c>
      <c r="AV36">
        <f t="shared" si="11"/>
        <v>35.320515722828446</v>
      </c>
      <c r="AW36" s="97"/>
      <c r="AX36" s="25">
        <f t="shared" si="25"/>
        <v>34</v>
      </c>
      <c r="AY36" s="25">
        <f t="shared" si="12"/>
        <v>0.59341194567807209</v>
      </c>
      <c r="AZ36">
        <f t="shared" si="22"/>
        <v>3.9740726629842413</v>
      </c>
      <c r="BA36">
        <f t="shared" si="23"/>
        <v>-11.272664686864449</v>
      </c>
      <c r="BB36">
        <f t="shared" si="13"/>
        <v>-0.33491667832506844</v>
      </c>
      <c r="BC36">
        <f t="shared" si="14"/>
        <v>-0.22327778555004557</v>
      </c>
      <c r="BD36" s="97"/>
    </row>
    <row r="37" spans="1:56" x14ac:dyDescent="0.3">
      <c r="A37">
        <v>400</v>
      </c>
      <c r="B37" s="121">
        <f>AVERAGE(AX2:AX10)</f>
        <v>4</v>
      </c>
      <c r="C37" s="121"/>
      <c r="D37" s="121"/>
      <c r="G37" s="97"/>
      <c r="M37" s="102"/>
      <c r="N37">
        <f t="shared" ref="N37:N51" si="49">($D$6/TAN(W37))</f>
        <v>291.22397162302707</v>
      </c>
      <c r="O37">
        <f t="shared" ref="O37:O51" si="50">DEGREES(ATAN(($D$6/(N37-(($B$4/2)/12)))))</f>
        <v>1.0069136373297729</v>
      </c>
      <c r="P37">
        <f t="shared" ref="P37:P51" si="51">DEGREES(ATAN(($D$6/(N37+(($B$4/2)/12)))))</f>
        <v>0.99318064617350288</v>
      </c>
      <c r="Q37">
        <f t="shared" ref="Q37:Q51" si="52">O37-V37</f>
        <v>6.9136373297729037E-3</v>
      </c>
      <c r="R37">
        <f t="shared" ref="R37:R51" si="53">V37-P37</f>
        <v>6.819353826497121E-3</v>
      </c>
      <c r="S37">
        <f>V37+($B$9*Q37)+$B$10</f>
        <v>0.99846309842159153</v>
      </c>
      <c r="T37">
        <f t="shared" ref="T37:T51" si="54">V37-($B$9*R37)-$B$10</f>
        <v>1.0015159423556304</v>
      </c>
      <c r="U37" s="97"/>
      <c r="V37" s="25">
        <v>1</v>
      </c>
      <c r="W37" s="25">
        <f t="shared" ref="W37:W51" si="55">V37*(PI()/180)</f>
        <v>1.7453292519943295E-2</v>
      </c>
      <c r="X37">
        <f>$X$36-S37</f>
        <v>9.3277989820043796</v>
      </c>
      <c r="Y37">
        <f>$Y$36-T37</f>
        <v>7.111975692264779</v>
      </c>
      <c r="Z37">
        <f t="shared" ref="Z37:Z51" si="56">-(($L$36-($J$36*$B$3))/($H$36+($J$36*($B$5/2))))*(180/PI())</f>
        <v>-9.5319342280855111</v>
      </c>
      <c r="AA37">
        <f t="shared" ref="AA37:AA51" si="57">-(($L$36-($J$36*$B$3))/($H$36-($J$36*($B$5/2))))*(180/PI())</f>
        <v>-7.4893768934957601</v>
      </c>
      <c r="AB37" s="97"/>
      <c r="AI37" s="97"/>
      <c r="AO37" s="97"/>
      <c r="AP37">
        <f t="shared" si="45"/>
        <v>7.2597523676057492</v>
      </c>
      <c r="AQ37">
        <f t="shared" si="46"/>
        <v>44.0228171455271</v>
      </c>
      <c r="AR37">
        <f t="shared" si="9"/>
        <v>28.765498927634525</v>
      </c>
      <c r="AS37">
        <f t="shared" si="47"/>
        <v>9.0228171455270996</v>
      </c>
      <c r="AT37">
        <f t="shared" si="10"/>
        <v>6.2345010723654752</v>
      </c>
      <c r="AU37">
        <f t="shared" si="48"/>
        <v>32.994227748549328</v>
      </c>
      <c r="AV37">
        <f t="shared" si="11"/>
        <v>36.385929588386844</v>
      </c>
      <c r="AW37" s="97"/>
      <c r="AX37" s="25">
        <f t="shared" si="25"/>
        <v>35</v>
      </c>
      <c r="AY37" s="25">
        <f t="shared" si="12"/>
        <v>0.6108652381980153</v>
      </c>
      <c r="AZ37">
        <f t="shared" si="22"/>
        <v>3.077548805396674</v>
      </c>
      <c r="BA37">
        <f t="shared" si="23"/>
        <v>-12.338078552422846</v>
      </c>
      <c r="BB37">
        <f t="shared" si="13"/>
        <v>-0.33491667832506844</v>
      </c>
      <c r="BC37">
        <f t="shared" si="14"/>
        <v>-0.22327778555004557</v>
      </c>
      <c r="BD37" s="97"/>
    </row>
    <row r="38" spans="1:56" x14ac:dyDescent="0.3">
      <c r="A38">
        <v>500</v>
      </c>
      <c r="B38" s="121">
        <f>AVERAGE(AX2:AX8)</f>
        <v>3</v>
      </c>
      <c r="C38" s="121"/>
      <c r="D38" s="121"/>
      <c r="G38" s="97"/>
      <c r="M38" s="102"/>
      <c r="N38">
        <f t="shared" si="49"/>
        <v>145.56762085482097</v>
      </c>
      <c r="O38">
        <f t="shared" si="50"/>
        <v>2.0278383342160931</v>
      </c>
      <c r="P38">
        <f t="shared" si="51"/>
        <v>1.9729153509744273</v>
      </c>
      <c r="Q38">
        <f t="shared" si="52"/>
        <v>2.7838334216093052E-2</v>
      </c>
      <c r="R38">
        <f t="shared" si="53"/>
        <v>2.7084649025572727E-2</v>
      </c>
      <c r="S38">
        <f t="shared" ref="S38:S51" si="58">V38+($B$9*Q38)+$B$10</f>
        <v>1.9938115383037625</v>
      </c>
      <c r="T38">
        <f t="shared" si="54"/>
        <v>2.0060209174783847</v>
      </c>
      <c r="U38" s="97"/>
      <c r="V38" s="25">
        <v>2</v>
      </c>
      <c r="W38" s="25">
        <f t="shared" si="55"/>
        <v>3.4906585039886591E-2</v>
      </c>
      <c r="X38">
        <f t="shared" ref="X38:X51" si="59">$X$36-S38</f>
        <v>8.3324505421222099</v>
      </c>
      <c r="Y38">
        <f t="shared" ref="Y38:Y51" si="60">$Y$36-T38</f>
        <v>6.1074707171420251</v>
      </c>
      <c r="Z38">
        <f t="shared" si="56"/>
        <v>-9.5319342280855111</v>
      </c>
      <c r="AA38">
        <f t="shared" si="57"/>
        <v>-7.4893768934957601</v>
      </c>
      <c r="AB38" s="97"/>
      <c r="AI38" s="97"/>
      <c r="AO38" s="97"/>
      <c r="AP38">
        <f t="shared" si="45"/>
        <v>6.9966080957284653</v>
      </c>
      <c r="AQ38">
        <f t="shared" si="46"/>
        <v>45.492946067552268</v>
      </c>
      <c r="AR38">
        <f t="shared" si="9"/>
        <v>29.467653980973736</v>
      </c>
      <c r="AS38">
        <f t="shared" si="47"/>
        <v>9.4929460675522677</v>
      </c>
      <c r="AT38">
        <f t="shared" si="10"/>
        <v>6.5323460190262637</v>
      </c>
      <c r="AU38">
        <f t="shared" si="48"/>
        <v>33.889718089183134</v>
      </c>
      <c r="AV38">
        <f t="shared" si="11"/>
        <v>37.452140520029538</v>
      </c>
      <c r="AW38" s="97"/>
      <c r="AX38" s="25">
        <f t="shared" si="25"/>
        <v>36</v>
      </c>
      <c r="AY38" s="25">
        <f t="shared" si="12"/>
        <v>0.62831853071795862</v>
      </c>
      <c r="AZ38">
        <f t="shared" si="22"/>
        <v>2.1820584647628678</v>
      </c>
      <c r="BA38">
        <f t="shared" si="23"/>
        <v>-13.40428948406554</v>
      </c>
      <c r="BB38">
        <f t="shared" si="13"/>
        <v>-0.33491667832506844</v>
      </c>
      <c r="BC38">
        <f t="shared" si="14"/>
        <v>-0.22327778555004557</v>
      </c>
      <c r="BD38" s="97"/>
    </row>
    <row r="39" spans="1:56" x14ac:dyDescent="0.3">
      <c r="A39">
        <v>600</v>
      </c>
      <c r="B39" s="121">
        <f>AVERAGE(AX2:AX7)</f>
        <v>2.5</v>
      </c>
      <c r="C39" s="121"/>
      <c r="D39" s="121"/>
      <c r="G39" s="97"/>
      <c r="M39" s="102"/>
      <c r="N39">
        <f t="shared" si="49"/>
        <v>96.995778162618393</v>
      </c>
      <c r="O39">
        <f t="shared" si="50"/>
        <v>3.0630416649496421</v>
      </c>
      <c r="P39">
        <f t="shared" si="51"/>
        <v>2.9394987432632744</v>
      </c>
      <c r="Q39">
        <f t="shared" si="52"/>
        <v>6.304166494964214E-2</v>
      </c>
      <c r="R39">
        <f t="shared" si="53"/>
        <v>6.0501256736725573E-2</v>
      </c>
      <c r="S39">
        <f t="shared" si="58"/>
        <v>2.9859858378816946</v>
      </c>
      <c r="T39">
        <f t="shared" si="54"/>
        <v>3.013449429372574</v>
      </c>
      <c r="U39" s="97"/>
      <c r="V39" s="25">
        <v>3</v>
      </c>
      <c r="W39" s="25">
        <f t="shared" si="55"/>
        <v>5.235987755982989E-2</v>
      </c>
      <c r="X39">
        <f t="shared" si="59"/>
        <v>7.3402762425442774</v>
      </c>
      <c r="Y39">
        <f t="shared" si="60"/>
        <v>5.1000422052478349</v>
      </c>
      <c r="Z39">
        <f t="shared" si="56"/>
        <v>-9.5319342280855111</v>
      </c>
      <c r="AA39">
        <f t="shared" si="57"/>
        <v>-7.4893768934957601</v>
      </c>
      <c r="AB39" s="97"/>
      <c r="AI39" s="97"/>
      <c r="AO39" s="97"/>
      <c r="AP39">
        <f t="shared" si="45"/>
        <v>6.7458111765704167</v>
      </c>
      <c r="AQ39">
        <f t="shared" si="46"/>
        <v>46.966702119623058</v>
      </c>
      <c r="AR39">
        <f t="shared" si="9"/>
        <v>30.166466017311048</v>
      </c>
      <c r="AS39">
        <f t="shared" si="47"/>
        <v>9.9667021196230579</v>
      </c>
      <c r="AT39">
        <f t="shared" si="10"/>
        <v>6.8335339826889516</v>
      </c>
      <c r="AU39">
        <f t="shared" si="48"/>
        <v>34.784402118807797</v>
      </c>
      <c r="AV39">
        <f t="shared" si="11"/>
        <v>38.519094604351757</v>
      </c>
      <c r="AW39" s="97"/>
      <c r="AX39" s="25">
        <f t="shared" si="25"/>
        <v>37</v>
      </c>
      <c r="AY39" s="25">
        <f t="shared" si="12"/>
        <v>0.64577182323790194</v>
      </c>
      <c r="AZ39">
        <f t="shared" si="22"/>
        <v>1.2873744351382044</v>
      </c>
      <c r="BA39">
        <f t="shared" si="23"/>
        <v>-14.471243568387759</v>
      </c>
      <c r="BB39">
        <f t="shared" si="13"/>
        <v>-0.33491667832506844</v>
      </c>
      <c r="BC39">
        <f t="shared" si="14"/>
        <v>-0.22327778555004557</v>
      </c>
      <c r="BD39" s="97"/>
    </row>
    <row r="40" spans="1:56" x14ac:dyDescent="0.3">
      <c r="A40">
        <v>700</v>
      </c>
      <c r="B40" s="121">
        <f>AVERAGE(AX2:AX6)</f>
        <v>2</v>
      </c>
      <c r="C40" s="121"/>
      <c r="D40" s="121"/>
      <c r="G40" s="97"/>
      <c r="M40" s="102"/>
      <c r="N40">
        <f t="shared" si="49"/>
        <v>72.695053471618962</v>
      </c>
      <c r="O40">
        <f t="shared" si="50"/>
        <v>4.1127790850781825</v>
      </c>
      <c r="P40">
        <f t="shared" si="51"/>
        <v>3.8932317366729894</v>
      </c>
      <c r="Q40">
        <f t="shared" si="52"/>
        <v>0.11277908507818246</v>
      </c>
      <c r="R40">
        <f t="shared" si="53"/>
        <v>0.10676826332701062</v>
      </c>
      <c r="S40">
        <f t="shared" si="58"/>
        <v>3.97492920938712</v>
      </c>
      <c r="T40">
        <f t="shared" si="54"/>
        <v>4.0237345849375945</v>
      </c>
      <c r="U40" s="97"/>
      <c r="V40" s="25">
        <v>4</v>
      </c>
      <c r="W40" s="25">
        <f t="shared" si="55"/>
        <v>6.9813170079773182E-2</v>
      </c>
      <c r="X40">
        <f t="shared" si="59"/>
        <v>6.351332871038851</v>
      </c>
      <c r="Y40">
        <f t="shared" si="60"/>
        <v>4.0897570496828148</v>
      </c>
      <c r="Z40">
        <f t="shared" si="56"/>
        <v>-9.5319342280855111</v>
      </c>
      <c r="AA40">
        <f t="shared" si="57"/>
        <v>-7.4893768934957601</v>
      </c>
      <c r="AB40" s="97"/>
      <c r="AI40" s="97"/>
      <c r="AO40" s="97"/>
      <c r="AP40">
        <f t="shared" si="45"/>
        <v>6.50636996364815</v>
      </c>
      <c r="AQ40">
        <f t="shared" si="46"/>
        <v>48.443043439266539</v>
      </c>
      <c r="AR40">
        <f t="shared" si="9"/>
        <v>30.862175183269326</v>
      </c>
      <c r="AS40">
        <f t="shared" si="47"/>
        <v>10.443043439266539</v>
      </c>
      <c r="AT40">
        <f t="shared" si="10"/>
        <v>7.1378248167306744</v>
      </c>
      <c r="AU40">
        <f t="shared" si="48"/>
        <v>35.67851144345105</v>
      </c>
      <c r="AV40">
        <f t="shared" si="11"/>
        <v>39.586738456759228</v>
      </c>
      <c r="AW40" s="97"/>
      <c r="AX40" s="25">
        <f t="shared" si="25"/>
        <v>38</v>
      </c>
      <c r="AY40" s="25">
        <f t="shared" si="12"/>
        <v>0.66322511575784526</v>
      </c>
      <c r="AZ40">
        <f t="shared" si="22"/>
        <v>0.39326511049495139</v>
      </c>
      <c r="BA40">
        <f t="shared" si="23"/>
        <v>-15.538887420795231</v>
      </c>
      <c r="BB40">
        <f t="shared" si="13"/>
        <v>-0.33491667832506844</v>
      </c>
      <c r="BC40">
        <f t="shared" si="14"/>
        <v>-0.22327778555004557</v>
      </c>
      <c r="BD40" s="97"/>
    </row>
    <row r="41" spans="1:56" x14ac:dyDescent="0.3">
      <c r="A41">
        <v>800</v>
      </c>
      <c r="B41" s="121">
        <f>AVERAGE(AX2:AX6)</f>
        <v>2</v>
      </c>
      <c r="C41" s="121"/>
      <c r="D41" s="121"/>
      <c r="G41" s="97"/>
      <c r="M41" s="102"/>
      <c r="N41">
        <f t="shared" si="49"/>
        <v>58.102765872370156</v>
      </c>
      <c r="O41">
        <f t="shared" si="50"/>
        <v>5.1772921945012662</v>
      </c>
      <c r="P41">
        <f t="shared" si="51"/>
        <v>4.834420340135833</v>
      </c>
      <c r="Q41">
        <f t="shared" si="52"/>
        <v>0.17729219450126621</v>
      </c>
      <c r="R41">
        <f t="shared" si="53"/>
        <v>0.16557965986416701</v>
      </c>
      <c r="S41">
        <f t="shared" si="58"/>
        <v>4.9605879451623682</v>
      </c>
      <c r="T41">
        <f t="shared" si="54"/>
        <v>5.0368083583878045</v>
      </c>
      <c r="U41" s="97"/>
      <c r="V41" s="25">
        <v>5</v>
      </c>
      <c r="W41" s="25">
        <f t="shared" si="55"/>
        <v>8.7266462599716474E-2</v>
      </c>
      <c r="X41">
        <f t="shared" si="59"/>
        <v>5.3656741352636033</v>
      </c>
      <c r="Y41">
        <f t="shared" si="60"/>
        <v>3.0766832762326048</v>
      </c>
      <c r="Z41">
        <f t="shared" si="56"/>
        <v>-9.5319342280855111</v>
      </c>
      <c r="AA41">
        <f t="shared" si="57"/>
        <v>-7.4893768934957601</v>
      </c>
      <c r="AB41" s="97"/>
      <c r="AI41" s="97"/>
      <c r="AO41" s="97"/>
      <c r="AP41">
        <f t="shared" si="45"/>
        <v>6.2773938790531787</v>
      </c>
      <c r="AQ41">
        <f t="shared" si="46"/>
        <v>49.920913946684486</v>
      </c>
      <c r="AR41">
        <f t="shared" si="9"/>
        <v>31.555019394086965</v>
      </c>
      <c r="AS41">
        <f t="shared" si="47"/>
        <v>10.920913946684486</v>
      </c>
      <c r="AT41">
        <f t="shared" si="10"/>
        <v>7.4449806059130346</v>
      </c>
      <c r="AU41">
        <f t="shared" si="48"/>
        <v>36.572280829652037</v>
      </c>
      <c r="AV41">
        <f t="shared" si="11"/>
        <v>40.655019188694467</v>
      </c>
      <c r="AW41" s="97"/>
      <c r="AX41" s="25">
        <f t="shared" si="25"/>
        <v>39</v>
      </c>
      <c r="AY41" s="25">
        <f t="shared" si="12"/>
        <v>0.68067840827778847</v>
      </c>
      <c r="AZ41">
        <f t="shared" si="22"/>
        <v>-0.50050427570603517</v>
      </c>
      <c r="BA41">
        <f t="shared" si="23"/>
        <v>-16.60716815273047</v>
      </c>
      <c r="BB41">
        <f t="shared" si="13"/>
        <v>-0.33491667832506844</v>
      </c>
      <c r="BC41">
        <f t="shared" si="14"/>
        <v>-0.22327778555004557</v>
      </c>
      <c r="BD41" s="97"/>
    </row>
    <row r="42" spans="1:56" x14ac:dyDescent="0.3">
      <c r="A42">
        <v>900</v>
      </c>
      <c r="B42" s="121">
        <f>AVERAGE(AX2:AX5)</f>
        <v>1.5</v>
      </c>
      <c r="C42" s="121"/>
      <c r="D42" s="121"/>
      <c r="G42" s="97"/>
      <c r="M42" s="102"/>
      <c r="N42">
        <f t="shared" si="49"/>
        <v>48.364685975631467</v>
      </c>
      <c r="O42">
        <f t="shared" si="50"/>
        <v>6.2568068892593844</v>
      </c>
      <c r="P42">
        <f t="shared" si="51"/>
        <v>5.7633745694755074</v>
      </c>
      <c r="Q42">
        <f t="shared" si="52"/>
        <v>0.25680688925938444</v>
      </c>
      <c r="R42">
        <f t="shared" si="53"/>
        <v>0.23662543052449259</v>
      </c>
      <c r="S42">
        <f t="shared" si="58"/>
        <v>5.942911828517639</v>
      </c>
      <c r="T42">
        <f t="shared" si="54"/>
        <v>6.0526018332055944</v>
      </c>
      <c r="U42" s="97"/>
      <c r="V42" s="25">
        <v>6</v>
      </c>
      <c r="W42" s="25">
        <f t="shared" si="55"/>
        <v>0.10471975511965978</v>
      </c>
      <c r="X42">
        <f t="shared" si="59"/>
        <v>4.3833502519083325</v>
      </c>
      <c r="Y42">
        <f t="shared" si="60"/>
        <v>2.0608898014148149</v>
      </c>
      <c r="Z42">
        <f t="shared" si="56"/>
        <v>-9.5319342280855111</v>
      </c>
      <c r="AA42">
        <f t="shared" si="57"/>
        <v>-7.4893768934957601</v>
      </c>
      <c r="AB42" s="97"/>
      <c r="AI42" s="97"/>
      <c r="AO42" s="97"/>
      <c r="AP42">
        <f t="shared" si="45"/>
        <v>6.0580807623539012</v>
      </c>
      <c r="AQ42">
        <f t="shared" si="46"/>
        <v>51.399249109553203</v>
      </c>
      <c r="AR42">
        <f t="shared" si="9"/>
        <v>32.2452344850511</v>
      </c>
      <c r="AS42">
        <f t="shared" si="47"/>
        <v>11.399249109553203</v>
      </c>
      <c r="AT42">
        <f t="shared" si="10"/>
        <v>7.7547655149489003</v>
      </c>
      <c r="AU42">
        <f t="shared" si="48"/>
        <v>37.465946922946323</v>
      </c>
      <c r="AV42">
        <f t="shared" si="11"/>
        <v>41.723884373973142</v>
      </c>
      <c r="AW42" s="97"/>
      <c r="AX42" s="25">
        <f t="shared" si="25"/>
        <v>40</v>
      </c>
      <c r="AY42" s="25">
        <f t="shared" si="12"/>
        <v>0.69813170079773179</v>
      </c>
      <c r="AZ42">
        <f t="shared" si="22"/>
        <v>-1.3941703690003209</v>
      </c>
      <c r="BA42">
        <f t="shared" si="23"/>
        <v>-17.676033338009145</v>
      </c>
      <c r="BB42">
        <f t="shared" si="13"/>
        <v>-0.33491667832506844</v>
      </c>
      <c r="BC42">
        <f t="shared" si="14"/>
        <v>-0.22327778555004557</v>
      </c>
      <c r="BD42" s="97"/>
    </row>
    <row r="43" spans="1:56" x14ac:dyDescent="0.3">
      <c r="A43">
        <v>1000</v>
      </c>
      <c r="B43" s="121">
        <f>AVERAGE(AX2:AX5)</f>
        <v>1.5</v>
      </c>
      <c r="C43" s="121"/>
      <c r="D43" s="121"/>
      <c r="G43" s="97"/>
      <c r="M43" s="102"/>
      <c r="N43">
        <f t="shared" si="49"/>
        <v>41.400427675537514</v>
      </c>
      <c r="O43">
        <f t="shared" si="50"/>
        <v>7.3515314045373188</v>
      </c>
      <c r="P43">
        <f t="shared" si="51"/>
        <v>6.6804074558448523</v>
      </c>
      <c r="Q43">
        <f t="shared" si="52"/>
        <v>0.35153140453731879</v>
      </c>
      <c r="R43">
        <f t="shared" si="53"/>
        <v>0.31959254415514771</v>
      </c>
      <c r="S43">
        <f t="shared" si="58"/>
        <v>6.9218545687713542</v>
      </c>
      <c r="T43">
        <f t="shared" si="54"/>
        <v>7.0710454225656889</v>
      </c>
      <c r="U43" s="97"/>
      <c r="V43" s="25">
        <v>7</v>
      </c>
      <c r="W43" s="25">
        <f t="shared" si="55"/>
        <v>0.12217304763960307</v>
      </c>
      <c r="X43">
        <f t="shared" si="59"/>
        <v>3.4044075116546173</v>
      </c>
      <c r="Y43">
        <f t="shared" si="60"/>
        <v>1.0424462120547204</v>
      </c>
      <c r="Z43">
        <f t="shared" si="56"/>
        <v>-9.5319342280855111</v>
      </c>
      <c r="AA43">
        <f t="shared" si="57"/>
        <v>-7.4893768934957601</v>
      </c>
      <c r="AB43" s="97"/>
      <c r="AI43" s="97"/>
      <c r="AO43" s="97"/>
      <c r="AP43">
        <f t="shared" si="45"/>
        <v>5.8477060700401315</v>
      </c>
      <c r="AQ43">
        <f t="shared" si="46"/>
        <v>52.876981820847291</v>
      </c>
      <c r="AR43">
        <f t="shared" si="9"/>
        <v>32.933054366406715</v>
      </c>
      <c r="AS43">
        <f t="shared" si="47"/>
        <v>11.876981820847291</v>
      </c>
      <c r="AT43">
        <f t="shared" si="10"/>
        <v>8.066945633593285</v>
      </c>
      <c r="AU43">
        <f t="shared" si="48"/>
        <v>38.359746941225644</v>
      </c>
      <c r="AV43">
        <f t="shared" si="11"/>
        <v>42.793282014347788</v>
      </c>
      <c r="AW43" s="97"/>
      <c r="AX43" s="25">
        <f t="shared" si="25"/>
        <v>41</v>
      </c>
      <c r="AY43" s="25">
        <f t="shared" si="12"/>
        <v>0.71558499331767511</v>
      </c>
      <c r="AZ43">
        <f t="shared" si="22"/>
        <v>-2.2879703872796426</v>
      </c>
      <c r="BA43">
        <f t="shared" si="23"/>
        <v>-18.745430978383791</v>
      </c>
      <c r="BB43">
        <f t="shared" si="13"/>
        <v>-0.33491667832506844</v>
      </c>
      <c r="BC43">
        <f t="shared" si="14"/>
        <v>-0.22327778555004557</v>
      </c>
      <c r="BD43" s="97"/>
    </row>
    <row r="44" spans="1:56" x14ac:dyDescent="0.3">
      <c r="A44">
        <v>1100</v>
      </c>
      <c r="B44" s="121">
        <f>AVERAGE(AX2:AX5)</f>
        <v>1.5</v>
      </c>
      <c r="C44" s="121"/>
      <c r="D44" s="121"/>
      <c r="G44" s="97"/>
      <c r="M44" s="102"/>
      <c r="N44">
        <f t="shared" si="49"/>
        <v>36.169796088786391</v>
      </c>
      <c r="O44">
        <f t="shared" si="50"/>
        <v>8.4616542531871186</v>
      </c>
      <c r="P44">
        <f t="shared" si="51"/>
        <v>7.5858341464600265</v>
      </c>
      <c r="Q44">
        <f t="shared" si="52"/>
        <v>0.46165425318711861</v>
      </c>
      <c r="R44">
        <f t="shared" si="53"/>
        <v>0.41416585353997348</v>
      </c>
      <c r="S44">
        <f t="shared" si="58"/>
        <v>7.8973742595165035</v>
      </c>
      <c r="T44">
        <f t="shared" si="54"/>
        <v>8.0920690692419353</v>
      </c>
      <c r="U44" s="97"/>
      <c r="V44" s="25">
        <v>8</v>
      </c>
      <c r="W44" s="25">
        <f t="shared" si="55"/>
        <v>0.13962634015954636</v>
      </c>
      <c r="X44">
        <f t="shared" si="59"/>
        <v>2.428887820909468</v>
      </c>
      <c r="Y44">
        <f t="shared" si="60"/>
        <v>2.142256537847409E-2</v>
      </c>
      <c r="Z44">
        <f t="shared" si="56"/>
        <v>-9.5319342280855111</v>
      </c>
      <c r="AA44">
        <f t="shared" si="57"/>
        <v>-7.4893768934957601</v>
      </c>
      <c r="AB44" s="97"/>
      <c r="AI44" s="97"/>
      <c r="AO44" s="97"/>
      <c r="AP44">
        <f t="shared" si="45"/>
        <v>5.6456136170483973</v>
      </c>
      <c r="AQ44">
        <f t="shared" si="46"/>
        <v>54.353048311216853</v>
      </c>
      <c r="AR44">
        <f t="shared" si="9"/>
        <v>33.618711181271593</v>
      </c>
      <c r="AS44">
        <f t="shared" si="47"/>
        <v>12.353048311216853</v>
      </c>
      <c r="AT44">
        <f t="shared" si="10"/>
        <v>8.3812888187284074</v>
      </c>
      <c r="AU44">
        <f t="shared" si="48"/>
        <v>39.253917360416494</v>
      </c>
      <c r="AV44">
        <f t="shared" si="11"/>
        <v>43.863160504403325</v>
      </c>
      <c r="AW44" s="97"/>
      <c r="AX44" s="25">
        <f t="shared" si="25"/>
        <v>42</v>
      </c>
      <c r="AY44" s="25">
        <f t="shared" si="12"/>
        <v>0.73303828583761843</v>
      </c>
      <c r="AZ44">
        <f t="shared" si="22"/>
        <v>-3.1821408064704926</v>
      </c>
      <c r="BA44">
        <f t="shared" si="23"/>
        <v>-19.815309468439327</v>
      </c>
      <c r="BB44">
        <f t="shared" si="13"/>
        <v>-0.33491667832506844</v>
      </c>
      <c r="BC44">
        <f t="shared" si="14"/>
        <v>-0.22327778555004557</v>
      </c>
      <c r="BD44" s="97"/>
    </row>
    <row r="45" spans="1:56" x14ac:dyDescent="0.3">
      <c r="A45">
        <v>1200</v>
      </c>
      <c r="B45" s="121">
        <f>AVERAGE(AX2:AX4)</f>
        <v>1</v>
      </c>
      <c r="C45" s="121"/>
      <c r="D45" s="121"/>
      <c r="G45" s="97"/>
      <c r="M45" s="102"/>
      <c r="N45">
        <f t="shared" si="49"/>
        <v>32.094903532931468</v>
      </c>
      <c r="O45">
        <f t="shared" si="50"/>
        <v>9.5873420661004971</v>
      </c>
      <c r="P45">
        <f t="shared" si="51"/>
        <v>8.4799710928606782</v>
      </c>
      <c r="Q45">
        <f t="shared" si="52"/>
        <v>0.58734206610049711</v>
      </c>
      <c r="R45">
        <f t="shared" si="53"/>
        <v>0.52002890713932182</v>
      </c>
      <c r="S45">
        <f t="shared" si="58"/>
        <v>8.8694338587058592</v>
      </c>
      <c r="T45">
        <f t="shared" si="54"/>
        <v>9.1156024260570714</v>
      </c>
      <c r="U45" s="97"/>
      <c r="V45" s="25">
        <v>9</v>
      </c>
      <c r="W45" s="25">
        <f t="shared" si="55"/>
        <v>0.15707963267948966</v>
      </c>
      <c r="X45">
        <f t="shared" si="59"/>
        <v>1.4568282217201123</v>
      </c>
      <c r="Y45">
        <f t="shared" si="60"/>
        <v>-1.002110791436662</v>
      </c>
      <c r="Z45">
        <f t="shared" si="56"/>
        <v>-9.5319342280855111</v>
      </c>
      <c r="AA45">
        <f t="shared" si="57"/>
        <v>-7.4893768934957601</v>
      </c>
      <c r="AB45" s="97"/>
      <c r="AI45" s="97"/>
      <c r="AO45" s="97"/>
      <c r="AP45">
        <f t="shared" si="45"/>
        <v>5.451207609292136</v>
      </c>
      <c r="AQ45">
        <f t="shared" si="46"/>
        <v>55.826394016583151</v>
      </c>
      <c r="AR45">
        <f t="shared" si="9"/>
        <v>34.302435466137297</v>
      </c>
      <c r="AS45">
        <f t="shared" si="47"/>
        <v>12.826394016583151</v>
      </c>
      <c r="AT45">
        <f t="shared" si="10"/>
        <v>8.6975645338627032</v>
      </c>
      <c r="AU45">
        <f t="shared" si="48"/>
        <v>40.148692610113564</v>
      </c>
      <c r="AV45">
        <f t="shared" si="11"/>
        <v>44.933468595877677</v>
      </c>
      <c r="AW45" s="97"/>
      <c r="AX45" s="25">
        <f t="shared" si="25"/>
        <v>43</v>
      </c>
      <c r="AY45" s="25">
        <f t="shared" si="12"/>
        <v>0.75049157835756175</v>
      </c>
      <c r="AZ45">
        <f t="shared" si="22"/>
        <v>-4.0769160561675619</v>
      </c>
      <c r="BA45">
        <f t="shared" si="23"/>
        <v>-20.88561755991368</v>
      </c>
      <c r="BB45">
        <f t="shared" si="13"/>
        <v>-0.33491667832506844</v>
      </c>
      <c r="BC45">
        <f t="shared" si="14"/>
        <v>-0.22327778555004557</v>
      </c>
      <c r="BD45" s="97"/>
    </row>
    <row r="46" spans="1:56" x14ac:dyDescent="0.3">
      <c r="A46" t="s">
        <v>394</v>
      </c>
      <c r="B46" s="121" t="s">
        <v>387</v>
      </c>
      <c r="C46" s="121"/>
      <c r="D46" s="121"/>
      <c r="E46" s="121"/>
      <c r="G46" s="97"/>
      <c r="M46" s="102"/>
      <c r="N46">
        <f t="shared" si="49"/>
        <v>28.82901591639002</v>
      </c>
      <c r="O46">
        <f t="shared" si="50"/>
        <v>10.728737343023939</v>
      </c>
      <c r="P46">
        <f t="shared" si="51"/>
        <v>9.3631353217970563</v>
      </c>
      <c r="Q46">
        <f t="shared" si="52"/>
        <v>0.72873734302393878</v>
      </c>
      <c r="R46">
        <f t="shared" si="53"/>
        <v>0.63686467820294368</v>
      </c>
      <c r="S46">
        <f t="shared" si="58"/>
        <v>9.8380016886457788</v>
      </c>
      <c r="T46">
        <f t="shared" si="54"/>
        <v>10.141575017964515</v>
      </c>
      <c r="U46" s="97"/>
      <c r="V46" s="25">
        <v>10</v>
      </c>
      <c r="W46" s="25">
        <f t="shared" si="55"/>
        <v>0.17453292519943295</v>
      </c>
      <c r="X46">
        <f t="shared" si="59"/>
        <v>0.48826039178019265</v>
      </c>
      <c r="Y46">
        <f t="shared" si="60"/>
        <v>-2.0280833833441054</v>
      </c>
      <c r="Z46">
        <f t="shared" si="56"/>
        <v>-9.5319342280855111</v>
      </c>
      <c r="AA46">
        <f t="shared" si="57"/>
        <v>-7.4893768934957601</v>
      </c>
      <c r="AB46" s="97"/>
      <c r="AI46" s="97"/>
      <c r="AO46" s="97"/>
      <c r="AP46">
        <f t="shared" si="45"/>
        <v>5.2639457617687286</v>
      </c>
      <c r="AQ46">
        <f t="shared" si="46"/>
        <v>57.295979322737715</v>
      </c>
      <c r="AR46">
        <f t="shared" si="9"/>
        <v>34.984456313582164</v>
      </c>
      <c r="AS46">
        <f t="shared" si="47"/>
        <v>13.295979322737715</v>
      </c>
      <c r="AT46">
        <f t="shared" si="10"/>
        <v>9.0155436864178355</v>
      </c>
      <c r="AU46">
        <f t="shared" si="48"/>
        <v>41.044303796555404</v>
      </c>
      <c r="AV46">
        <f t="shared" si="11"/>
        <v>46.004155361490682</v>
      </c>
      <c r="AW46" s="97"/>
      <c r="AX46" s="25">
        <f t="shared" si="25"/>
        <v>44</v>
      </c>
      <c r="AY46" s="25">
        <f t="shared" si="12"/>
        <v>0.76794487087750496</v>
      </c>
      <c r="AZ46">
        <f t="shared" si="22"/>
        <v>-4.9725272426094023</v>
      </c>
      <c r="BA46">
        <f t="shared" si="23"/>
        <v>-21.956304325526684</v>
      </c>
      <c r="BB46">
        <f t="shared" si="13"/>
        <v>-0.33491667832506844</v>
      </c>
      <c r="BC46">
        <f t="shared" si="14"/>
        <v>-0.22327778555004557</v>
      </c>
      <c r="BD46" s="97"/>
    </row>
    <row r="47" spans="1:56" x14ac:dyDescent="0.3">
      <c r="B47" s="121" t="s">
        <v>392</v>
      </c>
      <c r="C47" s="121"/>
      <c r="D47" s="121"/>
      <c r="E47" s="121"/>
      <c r="G47" s="97"/>
      <c r="M47" s="102"/>
      <c r="N47">
        <f t="shared" si="49"/>
        <v>26.151482914515743</v>
      </c>
      <c r="O47">
        <f t="shared" si="50"/>
        <v>11.88595612490643</v>
      </c>
      <c r="P47">
        <f t="shared" si="51"/>
        <v>10.235643783795052</v>
      </c>
      <c r="Q47">
        <f t="shared" si="52"/>
        <v>0.88595612490643028</v>
      </c>
      <c r="R47">
        <f t="shared" si="53"/>
        <v>0.76435621620494842</v>
      </c>
      <c r="S47">
        <f t="shared" si="58"/>
        <v>10.8030519534333</v>
      </c>
      <c r="T47">
        <f t="shared" si="54"/>
        <v>11.16991638686236</v>
      </c>
      <c r="U47" s="97"/>
      <c r="V47" s="25">
        <v>11</v>
      </c>
      <c r="W47" s="25">
        <f t="shared" si="55"/>
        <v>0.19198621771937624</v>
      </c>
      <c r="X47">
        <f t="shared" si="59"/>
        <v>-0.47678987300732878</v>
      </c>
      <c r="Y47">
        <f t="shared" si="60"/>
        <v>-3.0564247522419503</v>
      </c>
      <c r="Z47">
        <f t="shared" si="56"/>
        <v>-9.5319342280855111</v>
      </c>
      <c r="AA47">
        <f t="shared" si="57"/>
        <v>-7.4893768934957601</v>
      </c>
      <c r="AB47" s="97"/>
      <c r="AI47" s="97"/>
      <c r="AO47" s="97"/>
      <c r="AP47">
        <f t="shared" si="45"/>
        <v>5.0833333333333339</v>
      </c>
      <c r="AQ47">
        <f t="shared" si="46"/>
        <v>58.760785111791236</v>
      </c>
      <c r="AR47">
        <f t="shared" si="9"/>
        <v>35.665001536861759</v>
      </c>
      <c r="AS47">
        <f t="shared" si="47"/>
        <v>13.760785111791236</v>
      </c>
      <c r="AT47">
        <f t="shared" si="10"/>
        <v>9.3349984631382412</v>
      </c>
      <c r="AU47">
        <f t="shared" si="48"/>
        <v>41.940977469648807</v>
      </c>
      <c r="AV47">
        <f t="shared" si="11"/>
        <v>47.075170158355633</v>
      </c>
      <c r="AW47" s="97"/>
      <c r="AX47" s="25">
        <f t="shared" si="25"/>
        <v>45</v>
      </c>
      <c r="AY47" s="25">
        <f t="shared" si="12"/>
        <v>0.78539816339744828</v>
      </c>
      <c r="AZ47">
        <f t="shared" si="22"/>
        <v>-5.8692009157028053</v>
      </c>
      <c r="BA47">
        <f t="shared" si="23"/>
        <v>-23.027319122391635</v>
      </c>
      <c r="BB47">
        <f t="shared" si="13"/>
        <v>-0.33491667832506844</v>
      </c>
      <c r="BC47">
        <f t="shared" si="14"/>
        <v>-0.22327778555004557</v>
      </c>
      <c r="BD47" s="97"/>
    </row>
    <row r="48" spans="1:56" x14ac:dyDescent="0.3">
      <c r="G48" s="97"/>
      <c r="M48" s="102"/>
      <c r="N48">
        <f t="shared" si="49"/>
        <v>23.915203056515473</v>
      </c>
      <c r="O48">
        <f t="shared" si="50"/>
        <v>13.059085601584721</v>
      </c>
      <c r="P48">
        <f t="shared" si="51"/>
        <v>11.097812774466078</v>
      </c>
      <c r="Q48">
        <f t="shared" si="52"/>
        <v>1.0590856015847212</v>
      </c>
      <c r="R48">
        <f t="shared" si="53"/>
        <v>0.90218722553392183</v>
      </c>
      <c r="S48">
        <f t="shared" si="58"/>
        <v>11.764565270767717</v>
      </c>
      <c r="T48">
        <f t="shared" si="54"/>
        <v>12.200556220236191</v>
      </c>
      <c r="U48" s="97"/>
      <c r="V48" s="25">
        <v>12</v>
      </c>
      <c r="W48" s="25">
        <f t="shared" si="55"/>
        <v>0.20943951023931956</v>
      </c>
      <c r="X48">
        <f t="shared" si="59"/>
        <v>-1.4383031903417454</v>
      </c>
      <c r="Y48">
        <f t="shared" si="60"/>
        <v>-4.0870645856157815</v>
      </c>
      <c r="Z48">
        <f t="shared" si="56"/>
        <v>-9.5319342280855111</v>
      </c>
      <c r="AA48">
        <f t="shared" si="57"/>
        <v>-7.4893768934957601</v>
      </c>
      <c r="AB48" s="97"/>
      <c r="AI48" s="97"/>
      <c r="AO48" s="97"/>
      <c r="AP48">
        <f>($D$6/TAN(AY48))</f>
        <v>4.9089179386026256</v>
      </c>
      <c r="AQ48">
        <f>DEGREES(ATAN(($D$6/(AP48-(($B$4/2)/12)))))</f>
        <v>60.219818040197566</v>
      </c>
      <c r="AR48">
        <f t="shared" si="9"/>
        <v>36.344297836077843</v>
      </c>
      <c r="AS48">
        <f>AQ48-AX48</f>
        <v>14.219818040197566</v>
      </c>
      <c r="AT48">
        <f t="shared" si="10"/>
        <v>9.6557021639221574</v>
      </c>
      <c r="AU48">
        <f>AX48+($B$9*AS48)+$B$10</f>
        <v>42.83893444966408</v>
      </c>
      <c r="AV48">
        <f t="shared" si="11"/>
        <v>48.146462591039892</v>
      </c>
      <c r="AW48" s="97"/>
      <c r="AX48" s="25">
        <f t="shared" si="25"/>
        <v>46</v>
      </c>
      <c r="AY48" s="25">
        <f t="shared" si="12"/>
        <v>0.8028514559173916</v>
      </c>
      <c r="AZ48">
        <f t="shared" si="22"/>
        <v>-6.7671578957180785</v>
      </c>
      <c r="BA48">
        <f t="shared" si="23"/>
        <v>-24.098611555075895</v>
      </c>
      <c r="BB48">
        <f t="shared" si="13"/>
        <v>-0.33491667832506844</v>
      </c>
      <c r="BC48">
        <f t="shared" si="14"/>
        <v>-0.22327778555004557</v>
      </c>
      <c r="BD48" s="97"/>
    </row>
    <row r="49" spans="6:56" x14ac:dyDescent="0.3">
      <c r="G49" s="97"/>
      <c r="M49" s="102"/>
      <c r="N49">
        <f t="shared" si="49"/>
        <v>22.018335694277788</v>
      </c>
      <c r="O49">
        <f t="shared" si="50"/>
        <v>14.248181671519944</v>
      </c>
      <c r="P49">
        <f t="shared" si="51"/>
        <v>11.949957423698619</v>
      </c>
      <c r="Q49">
        <f t="shared" si="52"/>
        <v>1.2481816715199443</v>
      </c>
      <c r="R49">
        <f t="shared" si="53"/>
        <v>1.0500425763013812</v>
      </c>
      <c r="S49">
        <f t="shared" si="58"/>
        <v>12.722529214421117</v>
      </c>
      <c r="T49">
        <f t="shared" si="54"/>
        <v>13.233424464711797</v>
      </c>
      <c r="U49" s="97"/>
      <c r="V49" s="25">
        <v>13</v>
      </c>
      <c r="W49" s="25">
        <f t="shared" si="55"/>
        <v>0.22689280275926285</v>
      </c>
      <c r="X49">
        <f t="shared" si="59"/>
        <v>-2.3962671339951456</v>
      </c>
      <c r="Y49">
        <f t="shared" si="60"/>
        <v>-5.119932830091388</v>
      </c>
      <c r="Z49">
        <f t="shared" si="56"/>
        <v>-9.5319342280855111</v>
      </c>
      <c r="AA49">
        <f t="shared" si="57"/>
        <v>-7.4893768934957601</v>
      </c>
      <c r="AB49" s="102"/>
      <c r="AI49" s="97"/>
      <c r="AO49" s="97"/>
      <c r="AP49">
        <f t="shared" ref="AP49:AP62" si="61">($D$6/TAN(AY49))</f>
        <v>4.7402850211997798</v>
      </c>
      <c r="AQ49">
        <f t="shared" ref="AQ49:AQ62" si="62">DEGREES(ATAN(($D$6/(AP49-(($B$4/2)/12)))))</f>
        <v>61.672115484585277</v>
      </c>
      <c r="AR49">
        <f t="shared" si="9"/>
        <v>37.022570965656911</v>
      </c>
      <c r="AS49">
        <f t="shared" ref="AS49:AS62" si="63">AQ49-AX49</f>
        <v>14.672115484585277</v>
      </c>
      <c r="AT49">
        <f t="shared" si="10"/>
        <v>9.9774290343430891</v>
      </c>
      <c r="AU49">
        <f t="shared" ref="AU49:AU62" si="64">AX49+($B$9*AS49)+$B$10</f>
        <v>43.738388727776695</v>
      </c>
      <c r="AV49">
        <f t="shared" si="11"/>
        <v>49.21798247433447</v>
      </c>
      <c r="AW49" s="97"/>
      <c r="AX49" s="25">
        <f t="shared" si="25"/>
        <v>47</v>
      </c>
      <c r="AY49" s="25">
        <f t="shared" si="12"/>
        <v>0.82030474843733492</v>
      </c>
      <c r="AZ49">
        <f t="shared" si="22"/>
        <v>-7.6666121738306927</v>
      </c>
      <c r="BA49">
        <f t="shared" si="23"/>
        <v>-25.170131438370472</v>
      </c>
      <c r="BB49">
        <f t="shared" si="13"/>
        <v>-0.33491667832506844</v>
      </c>
      <c r="BC49">
        <f t="shared" si="14"/>
        <v>-0.22327778555004557</v>
      </c>
      <c r="BD49" s="97"/>
    </row>
    <row r="50" spans="6:56" x14ac:dyDescent="0.3">
      <c r="G50" s="97"/>
      <c r="M50" s="102"/>
      <c r="N50">
        <f t="shared" si="49"/>
        <v>20.388136412140543</v>
      </c>
      <c r="O50">
        <f t="shared" si="50"/>
        <v>15.45326647336689</v>
      </c>
      <c r="P50">
        <f t="shared" si="51"/>
        <v>12.792391247981996</v>
      </c>
      <c r="Q50">
        <f t="shared" si="52"/>
        <v>1.4532664733668899</v>
      </c>
      <c r="R50">
        <f t="shared" si="53"/>
        <v>1.2076087520180039</v>
      </c>
      <c r="S50">
        <f t="shared" si="58"/>
        <v>13.676938862970541</v>
      </c>
      <c r="T50">
        <f t="shared" si="54"/>
        <v>14.268451425573602</v>
      </c>
      <c r="U50" s="97"/>
      <c r="V50" s="25">
        <v>14</v>
      </c>
      <c r="W50" s="25">
        <f t="shared" si="55"/>
        <v>0.24434609527920614</v>
      </c>
      <c r="X50">
        <f t="shared" si="59"/>
        <v>-3.3506767825445696</v>
      </c>
      <c r="Y50">
        <f t="shared" si="60"/>
        <v>-6.1549597909531926</v>
      </c>
      <c r="Z50">
        <f t="shared" si="56"/>
        <v>-9.5319342280855111</v>
      </c>
      <c r="AA50">
        <f t="shared" si="57"/>
        <v>-7.4893768934957601</v>
      </c>
      <c r="AB50" s="102"/>
      <c r="AI50" s="97"/>
      <c r="AO50" s="97"/>
      <c r="AP50">
        <f t="shared" si="61"/>
        <v>4.5770538918473527</v>
      </c>
      <c r="AQ50">
        <f t="shared" si="62"/>
        <v>63.11675009951221</v>
      </c>
      <c r="AR50">
        <f t="shared" si="9"/>
        <v>37.700045902895738</v>
      </c>
      <c r="AS50">
        <f t="shared" si="63"/>
        <v>15.11675009951221</v>
      </c>
      <c r="AT50">
        <f t="shared" si="10"/>
        <v>10.299954097104262</v>
      </c>
      <c r="AU50">
        <f t="shared" si="64"/>
        <v>44.639546452878434</v>
      </c>
      <c r="AV50">
        <f t="shared" si="11"/>
        <v>50.289679795786277</v>
      </c>
      <c r="AW50" s="97"/>
      <c r="AX50" s="25">
        <f t="shared" si="25"/>
        <v>48</v>
      </c>
      <c r="AY50" s="25">
        <f t="shared" si="12"/>
        <v>0.83775804095727824</v>
      </c>
      <c r="AZ50">
        <f t="shared" si="22"/>
        <v>-8.5677698989324327</v>
      </c>
      <c r="BA50">
        <f t="shared" si="23"/>
        <v>-26.24182875982228</v>
      </c>
      <c r="BB50">
        <f t="shared" si="13"/>
        <v>-0.33491667832506844</v>
      </c>
      <c r="BC50">
        <f t="shared" si="14"/>
        <v>-0.22327778555004557</v>
      </c>
      <c r="BD50" s="97"/>
    </row>
    <row r="51" spans="6:56" x14ac:dyDescent="0.3">
      <c r="G51" s="97"/>
      <c r="M51" s="102"/>
      <c r="N51">
        <f t="shared" si="49"/>
        <v>18.971258271808459</v>
      </c>
      <c r="O51">
        <f t="shared" si="50"/>
        <v>16.674325912334528</v>
      </c>
      <c r="P51">
        <f t="shared" si="51"/>
        <v>13.625425761261335</v>
      </c>
      <c r="Q51">
        <f t="shared" si="52"/>
        <v>1.6743259123345275</v>
      </c>
      <c r="R51">
        <f t="shared" si="53"/>
        <v>1.3745742387386652</v>
      </c>
      <c r="S51">
        <f t="shared" si="58"/>
        <v>14.627797349688034</v>
      </c>
      <c r="T51">
        <f t="shared" si="54"/>
        <v>15.305567853271604</v>
      </c>
      <c r="U51" s="97"/>
      <c r="V51" s="25">
        <v>15</v>
      </c>
      <c r="W51" s="25">
        <f t="shared" si="55"/>
        <v>0.26179938779914941</v>
      </c>
      <c r="X51">
        <f t="shared" si="59"/>
        <v>-4.3015352692620628</v>
      </c>
      <c r="Y51">
        <f t="shared" si="60"/>
        <v>-7.1920762186511951</v>
      </c>
      <c r="Z51">
        <f t="shared" si="56"/>
        <v>-9.5319342280855111</v>
      </c>
      <c r="AA51">
        <f t="shared" si="57"/>
        <v>-7.4893768934957601</v>
      </c>
      <c r="AB51" s="102"/>
      <c r="AI51" s="97"/>
      <c r="AO51" s="97"/>
      <c r="AP51">
        <f t="shared" si="61"/>
        <v>4.4188742505658194</v>
      </c>
      <c r="AQ51">
        <f t="shared" si="62"/>
        <v>64.552833940222953</v>
      </c>
      <c r="AR51">
        <f t="shared" si="9"/>
        <v>38.376947017352464</v>
      </c>
      <c r="AS51">
        <f t="shared" si="63"/>
        <v>15.552833940222953</v>
      </c>
      <c r="AT51">
        <f t="shared" si="10"/>
        <v>10.623052982647536</v>
      </c>
      <c r="AU51">
        <f t="shared" si="64"/>
        <v>45.542605015088441</v>
      </c>
      <c r="AV51">
        <f t="shared" si="11"/>
        <v>51.36150467804255</v>
      </c>
      <c r="AW51" s="97"/>
      <c r="AX51" s="25">
        <f t="shared" si="25"/>
        <v>49</v>
      </c>
      <c r="AY51" s="25">
        <f t="shared" si="12"/>
        <v>0.85521133347722145</v>
      </c>
      <c r="AZ51">
        <f t="shared" si="22"/>
        <v>-9.4708284611424389</v>
      </c>
      <c r="BA51">
        <f t="shared" si="23"/>
        <v>-27.313653642078553</v>
      </c>
      <c r="BB51">
        <f t="shared" si="13"/>
        <v>-0.33491667832506844</v>
      </c>
      <c r="BC51">
        <f t="shared" si="14"/>
        <v>-0.22327778555004557</v>
      </c>
      <c r="BD51" s="97"/>
    </row>
    <row r="52" spans="6:56" x14ac:dyDescent="0.3"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I52" s="97"/>
      <c r="AO52" s="97"/>
      <c r="AP52">
        <f t="shared" si="61"/>
        <v>4.2654231251511732</v>
      </c>
      <c r="AQ52">
        <f t="shared" si="62"/>
        <v>65.979522113211047</v>
      </c>
      <c r="AR52">
        <f t="shared" si="9"/>
        <v>39.053498240879989</v>
      </c>
      <c r="AS52">
        <f t="shared" si="63"/>
        <v>15.979522113211047</v>
      </c>
      <c r="AT52">
        <f t="shared" si="10"/>
        <v>10.946501759120011</v>
      </c>
      <c r="AU52">
        <f t="shared" si="64"/>
        <v>46.447752234233185</v>
      </c>
      <c r="AV52">
        <f t="shared" si="11"/>
        <v>52.43340734105238</v>
      </c>
      <c r="AW52" s="97"/>
      <c r="AX52" s="25">
        <f t="shared" si="25"/>
        <v>50</v>
      </c>
      <c r="AY52" s="25">
        <f t="shared" si="12"/>
        <v>0.87266462599716477</v>
      </c>
      <c r="AZ52">
        <f t="shared" si="22"/>
        <v>-10.375975680287183</v>
      </c>
      <c r="BA52">
        <f t="shared" si="23"/>
        <v>-28.385556305088382</v>
      </c>
      <c r="BB52">
        <f t="shared" si="13"/>
        <v>-0.33491667832506844</v>
      </c>
      <c r="BC52">
        <f t="shared" si="14"/>
        <v>-0.22327778555004557</v>
      </c>
      <c r="BD52" s="97"/>
    </row>
    <row r="53" spans="6:56" x14ac:dyDescent="0.3">
      <c r="F53" s="19">
        <v>300</v>
      </c>
      <c r="G53" s="97"/>
      <c r="H53">
        <f>SQRT(('Input + Tire Forces'!$L$5*386.4)*F53)</f>
        <v>443.91891151425392</v>
      </c>
      <c r="I53">
        <f t="shared" si="26"/>
        <v>-656.88</v>
      </c>
      <c r="J53">
        <f t="shared" si="27"/>
        <v>-1.4797297050475131</v>
      </c>
      <c r="K53">
        <v>0</v>
      </c>
      <c r="L53">
        <f t="shared" si="28"/>
        <v>0</v>
      </c>
      <c r="M53" s="102"/>
      <c r="N53">
        <v>0</v>
      </c>
      <c r="O53">
        <v>0</v>
      </c>
      <c r="P53">
        <v>0</v>
      </c>
      <c r="Q53">
        <f>O53-V53</f>
        <v>0</v>
      </c>
      <c r="R53">
        <f>V53-P53</f>
        <v>0</v>
      </c>
      <c r="S53">
        <f>V53+($B$9*Q53)+$B$10</f>
        <v>0</v>
      </c>
      <c r="T53">
        <f>V53-($B$9*R53)-$B$10</f>
        <v>0</v>
      </c>
      <c r="U53" s="97"/>
      <c r="V53" s="25">
        <v>0</v>
      </c>
      <c r="W53" s="25">
        <f>V53*(PI()/180)</f>
        <v>0</v>
      </c>
      <c r="X53">
        <f>-(($L$53+($J$53*$B$2))/($H$53+($J$53*($B$4/2))))*(180/PI())</f>
        <v>6.584862775923809</v>
      </c>
      <c r="Y53">
        <f>-(($L$53+($J$53*$B$2))/($H$53-($J$53*($B$4/2))))*(180/PI())</f>
        <v>5.6093275498610229</v>
      </c>
      <c r="Z53">
        <f>-(($L$53-($J$53*$B$3))/($H$53+($J$53*($B$5/2))))*(180/PI())</f>
        <v>-6.0783348700835163</v>
      </c>
      <c r="AA53">
        <f>-(($L$53-($J$53*$B$3))/($H$53-($J$53*($B$5/2))))*(180/PI())</f>
        <v>-5.177840815256328</v>
      </c>
      <c r="AB53" s="97"/>
      <c r="AI53" s="97"/>
      <c r="AO53" s="97"/>
      <c r="AP53">
        <f t="shared" si="61"/>
        <v>4.1164021687412857</v>
      </c>
      <c r="AQ53">
        <f t="shared" si="62"/>
        <v>67.396015927528921</v>
      </c>
      <c r="AR53">
        <f t="shared" si="9"/>
        <v>39.72992323811134</v>
      </c>
      <c r="AS53">
        <f t="shared" si="63"/>
        <v>16.396015927528921</v>
      </c>
      <c r="AT53">
        <f t="shared" si="10"/>
        <v>11.27007676188866</v>
      </c>
      <c r="AU53">
        <f t="shared" si="64"/>
        <v>47.355165659310323</v>
      </c>
      <c r="AV53">
        <f t="shared" si="11"/>
        <v>53.505338064167852</v>
      </c>
      <c r="AW53" s="97"/>
      <c r="AX53" s="25">
        <f t="shared" si="25"/>
        <v>51</v>
      </c>
      <c r="AY53" s="25">
        <f t="shared" si="12"/>
        <v>0.89011791851710809</v>
      </c>
      <c r="AZ53">
        <f t="shared" si="22"/>
        <v>-11.283389105364321</v>
      </c>
      <c r="BA53">
        <f t="shared" si="23"/>
        <v>-29.457487028203854</v>
      </c>
      <c r="BB53">
        <f t="shared" si="13"/>
        <v>-0.33491667832506844</v>
      </c>
      <c r="BC53">
        <f t="shared" si="14"/>
        <v>-0.22327778555004557</v>
      </c>
      <c r="BD53" s="97"/>
    </row>
    <row r="54" spans="6:56" x14ac:dyDescent="0.3">
      <c r="G54" s="97"/>
      <c r="M54" s="102"/>
      <c r="N54">
        <f t="shared" ref="N54:N68" si="65">($D$6/TAN(W54))</f>
        <v>291.22397162302707</v>
      </c>
      <c r="O54">
        <f t="shared" ref="O54:O68" si="66">DEGREES(ATAN(($D$6/(N54-(($B$4/2)/12)))))</f>
        <v>1.0069136373297729</v>
      </c>
      <c r="P54">
        <f t="shared" ref="P54:P68" si="67">DEGREES(ATAN(($D$6/(N54+(($B$4/2)/12)))))</f>
        <v>0.99318064617350288</v>
      </c>
      <c r="Q54">
        <f t="shared" ref="Q54:Q68" si="68">O54-V54</f>
        <v>6.9136373297729037E-3</v>
      </c>
      <c r="R54">
        <f t="shared" ref="R54:R68" si="69">V54-P54</f>
        <v>6.819353826497121E-3</v>
      </c>
      <c r="S54">
        <f>V54+($B$9*Q54)+$B$10</f>
        <v>0.99846309842159153</v>
      </c>
      <c r="T54">
        <f t="shared" ref="T54:T68" si="70">V54-($B$9*R54)-$B$10</f>
        <v>1.0015159423556304</v>
      </c>
      <c r="U54" s="97"/>
      <c r="V54" s="25">
        <v>1</v>
      </c>
      <c r="W54" s="25">
        <f t="shared" ref="W54:W68" si="71">V54*(PI()/180)</f>
        <v>1.7453292519943295E-2</v>
      </c>
      <c r="X54">
        <f>$X$53-S54</f>
        <v>5.5863996775022171</v>
      </c>
      <c r="Y54">
        <f>$Y$53-T54</f>
        <v>4.6078116075053925</v>
      </c>
      <c r="Z54">
        <f t="shared" ref="Z54:Z68" si="72">-(($L$53-($J$53*$B$3))/($H$53+($J$53*($B$5/2))))*(180/PI())</f>
        <v>-6.0783348700835163</v>
      </c>
      <c r="AA54">
        <f t="shared" ref="AA54:AA68" si="73">-(($L$53-($J$53*$B$3))/($H$53-($J$53*($B$5/2))))*(180/PI())</f>
        <v>-5.177840815256328</v>
      </c>
      <c r="AB54" s="97"/>
      <c r="AI54" s="97"/>
      <c r="AO54" s="97"/>
      <c r="AP54">
        <f t="shared" si="61"/>
        <v>3.9715352680758134</v>
      </c>
      <c r="AQ54">
        <f t="shared" si="62"/>
        <v>68.801565530018692</v>
      </c>
      <c r="AR54">
        <f t="shared" si="9"/>
        <v>40.406445577216886</v>
      </c>
      <c r="AS54">
        <f t="shared" si="63"/>
        <v>16.801565530018692</v>
      </c>
      <c r="AT54">
        <f t="shared" si="10"/>
        <v>11.593554422783114</v>
      </c>
      <c r="AU54">
        <f t="shared" si="64"/>
        <v>48.265011982676846</v>
      </c>
      <c r="AV54">
        <f t="shared" si="11"/>
        <v>54.577247148184689</v>
      </c>
      <c r="AW54" s="97"/>
      <c r="AX54" s="25">
        <f t="shared" si="25"/>
        <v>52</v>
      </c>
      <c r="AY54" s="25">
        <f t="shared" si="12"/>
        <v>0.90757121103705141</v>
      </c>
      <c r="AZ54">
        <f t="shared" si="22"/>
        <v>-12.193235428730844</v>
      </c>
      <c r="BA54">
        <f t="shared" si="23"/>
        <v>-30.529396112220692</v>
      </c>
      <c r="BB54">
        <f t="shared" si="13"/>
        <v>-0.33491667832506844</v>
      </c>
      <c r="BC54">
        <f t="shared" si="14"/>
        <v>-0.22327778555004557</v>
      </c>
      <c r="BD54" s="97"/>
    </row>
    <row r="55" spans="6:56" x14ac:dyDescent="0.3">
      <c r="G55" s="97"/>
      <c r="M55" s="102"/>
      <c r="N55">
        <f t="shared" si="65"/>
        <v>145.56762085482097</v>
      </c>
      <c r="O55">
        <f t="shared" si="66"/>
        <v>2.0278383342160931</v>
      </c>
      <c r="P55">
        <f t="shared" si="67"/>
        <v>1.9729153509744273</v>
      </c>
      <c r="Q55">
        <f t="shared" si="68"/>
        <v>2.7838334216093052E-2</v>
      </c>
      <c r="R55">
        <f t="shared" si="69"/>
        <v>2.7084649025572727E-2</v>
      </c>
      <c r="S55">
        <f t="shared" ref="S55:S68" si="74">V55+($B$9*Q55)+$B$10</f>
        <v>1.9938115383037625</v>
      </c>
      <c r="T55">
        <f t="shared" si="70"/>
        <v>2.0060209174783847</v>
      </c>
      <c r="U55" s="97"/>
      <c r="V55" s="25">
        <v>2</v>
      </c>
      <c r="W55" s="25">
        <f t="shared" si="71"/>
        <v>3.4906585039886591E-2</v>
      </c>
      <c r="X55">
        <f t="shared" ref="X55:X68" si="75">$X$53-S55</f>
        <v>4.5910512376200465</v>
      </c>
      <c r="Y55">
        <f t="shared" ref="Y55:Y68" si="76">$Y$53-T55</f>
        <v>3.6033066323826382</v>
      </c>
      <c r="Z55">
        <f t="shared" si="72"/>
        <v>-6.0783348700835163</v>
      </c>
      <c r="AA55">
        <f t="shared" si="73"/>
        <v>-5.177840815256328</v>
      </c>
      <c r="AB55" s="97"/>
      <c r="AI55" s="97"/>
      <c r="AO55" s="97"/>
      <c r="AP55">
        <f t="shared" si="61"/>
        <v>3.8305664213558708</v>
      </c>
      <c r="AQ55">
        <f t="shared" si="62"/>
        <v>70.195472017640029</v>
      </c>
      <c r="AR55">
        <f t="shared" si="9"/>
        <v>41.083288900758909</v>
      </c>
      <c r="AS55">
        <f t="shared" si="63"/>
        <v>17.195472017640029</v>
      </c>
      <c r="AT55">
        <f t="shared" si="10"/>
        <v>11.916711099241091</v>
      </c>
      <c r="AU55">
        <f t="shared" si="64"/>
        <v>49.177446570478622</v>
      </c>
      <c r="AV55">
        <f t="shared" si="11"/>
        <v>55.649084877361297</v>
      </c>
      <c r="AW55" s="97"/>
      <c r="AX55" s="25">
        <f t="shared" si="25"/>
        <v>53</v>
      </c>
      <c r="AY55" s="25">
        <f t="shared" si="12"/>
        <v>0.92502450355699462</v>
      </c>
      <c r="AZ55">
        <f t="shared" si="22"/>
        <v>-13.105670016532621</v>
      </c>
      <c r="BA55">
        <f t="shared" si="23"/>
        <v>-31.601233841397299</v>
      </c>
      <c r="BB55">
        <f t="shared" si="13"/>
        <v>-0.33491667832506844</v>
      </c>
      <c r="BC55">
        <f t="shared" si="14"/>
        <v>-0.22327778555004557</v>
      </c>
      <c r="BD55" s="97"/>
    </row>
    <row r="56" spans="6:56" x14ac:dyDescent="0.3">
      <c r="G56" s="97"/>
      <c r="M56" s="102"/>
      <c r="N56">
        <f t="shared" si="65"/>
        <v>96.995778162618393</v>
      </c>
      <c r="O56">
        <f t="shared" si="66"/>
        <v>3.0630416649496421</v>
      </c>
      <c r="P56">
        <f t="shared" si="67"/>
        <v>2.9394987432632744</v>
      </c>
      <c r="Q56">
        <f t="shared" si="68"/>
        <v>6.304166494964214E-2</v>
      </c>
      <c r="R56">
        <f t="shared" si="69"/>
        <v>6.0501256736725573E-2</v>
      </c>
      <c r="S56">
        <f t="shared" si="74"/>
        <v>2.9859858378816946</v>
      </c>
      <c r="T56">
        <f t="shared" si="70"/>
        <v>3.013449429372574</v>
      </c>
      <c r="U56" s="97"/>
      <c r="V56" s="25">
        <v>3</v>
      </c>
      <c r="W56" s="25">
        <f t="shared" si="71"/>
        <v>5.235987755982989E-2</v>
      </c>
      <c r="X56">
        <f t="shared" si="75"/>
        <v>3.5988769380421144</v>
      </c>
      <c r="Y56">
        <f t="shared" si="76"/>
        <v>2.5958781204884489</v>
      </c>
      <c r="Z56">
        <f t="shared" si="72"/>
        <v>-6.0783348700835163</v>
      </c>
      <c r="AA56">
        <f t="shared" si="73"/>
        <v>-5.177840815256328</v>
      </c>
      <c r="AB56" s="97"/>
      <c r="AI56" s="97"/>
      <c r="AO56" s="97"/>
      <c r="AP56">
        <f t="shared" si="61"/>
        <v>3.693257850693918</v>
      </c>
      <c r="AQ56">
        <f t="shared" si="62"/>
        <v>71.577089029567844</v>
      </c>
      <c r="AR56">
        <f t="shared" si="9"/>
        <v>41.760677096471071</v>
      </c>
      <c r="AS56">
        <f t="shared" si="63"/>
        <v>17.577089029567844</v>
      </c>
      <c r="AT56">
        <f t="shared" si="10"/>
        <v>12.239322903528929</v>
      </c>
      <c r="AU56">
        <f t="shared" si="64"/>
        <v>50.092613108727065</v>
      </c>
      <c r="AV56">
        <f t="shared" si="11"/>
        <v>56.72080148145448</v>
      </c>
      <c r="AW56" s="97"/>
      <c r="AX56" s="25">
        <f t="shared" si="25"/>
        <v>54</v>
      </c>
      <c r="AY56" s="25">
        <f t="shared" si="12"/>
        <v>0.94247779607693793</v>
      </c>
      <c r="AZ56">
        <f t="shared" si="22"/>
        <v>-14.020836554781063</v>
      </c>
      <c r="BA56">
        <f t="shared" si="23"/>
        <v>-32.672950445490486</v>
      </c>
      <c r="BB56">
        <f t="shared" si="13"/>
        <v>-0.33491667832506844</v>
      </c>
      <c r="BC56">
        <f t="shared" si="14"/>
        <v>-0.22327778555004557</v>
      </c>
      <c r="BD56" s="97"/>
    </row>
    <row r="57" spans="6:56" x14ac:dyDescent="0.3">
      <c r="G57" s="97"/>
      <c r="M57" s="102"/>
      <c r="N57">
        <f t="shared" si="65"/>
        <v>72.695053471618962</v>
      </c>
      <c r="O57">
        <f t="shared" si="66"/>
        <v>4.1127790850781825</v>
      </c>
      <c r="P57">
        <f t="shared" si="67"/>
        <v>3.8932317366729894</v>
      </c>
      <c r="Q57">
        <f t="shared" si="68"/>
        <v>0.11277908507818246</v>
      </c>
      <c r="R57">
        <f t="shared" si="69"/>
        <v>0.10676826332701062</v>
      </c>
      <c r="S57">
        <f t="shared" si="74"/>
        <v>3.97492920938712</v>
      </c>
      <c r="T57">
        <f t="shared" si="70"/>
        <v>4.0237345849375945</v>
      </c>
      <c r="U57" s="97"/>
      <c r="V57" s="25">
        <v>4</v>
      </c>
      <c r="W57" s="25">
        <f t="shared" si="71"/>
        <v>6.9813170079773182E-2</v>
      </c>
      <c r="X57">
        <f t="shared" si="75"/>
        <v>2.609933566536689</v>
      </c>
      <c r="Y57">
        <f t="shared" si="76"/>
        <v>1.5855929649234284</v>
      </c>
      <c r="Z57">
        <f t="shared" si="72"/>
        <v>-6.0783348700835163</v>
      </c>
      <c r="AA57">
        <f t="shared" si="73"/>
        <v>-5.177840815256328</v>
      </c>
      <c r="AB57" s="97"/>
      <c r="AI57" s="97"/>
      <c r="AO57" s="97"/>
      <c r="AP57">
        <f t="shared" si="61"/>
        <v>3.5593883192326916</v>
      </c>
      <c r="AQ57">
        <f t="shared" si="62"/>
        <v>72.945823830482183</v>
      </c>
      <c r="AR57">
        <f t="shared" si="9"/>
        <v>42.438834467788986</v>
      </c>
      <c r="AS57">
        <f t="shared" si="63"/>
        <v>17.945823830482183</v>
      </c>
      <c r="AT57">
        <f t="shared" si="10"/>
        <v>12.561165532211014</v>
      </c>
      <c r="AU57">
        <f t="shared" si="64"/>
        <v>51.010643362483812</v>
      </c>
      <c r="AV57">
        <f t="shared" si="11"/>
        <v>57.792347097810506</v>
      </c>
      <c r="AW57" s="97"/>
      <c r="AX57" s="25">
        <f t="shared" si="25"/>
        <v>55</v>
      </c>
      <c r="AY57" s="25">
        <f t="shared" si="12"/>
        <v>0.95993108859688125</v>
      </c>
      <c r="AZ57">
        <f t="shared" si="22"/>
        <v>-14.93886680853781</v>
      </c>
      <c r="BA57">
        <f t="shared" si="23"/>
        <v>-33.744496061846505</v>
      </c>
      <c r="BB57">
        <f t="shared" si="13"/>
        <v>-0.33491667832506844</v>
      </c>
      <c r="BC57">
        <f t="shared" si="14"/>
        <v>-0.22327778555004557</v>
      </c>
      <c r="BD57" s="97"/>
    </row>
    <row r="58" spans="6:56" x14ac:dyDescent="0.3">
      <c r="G58" s="97"/>
      <c r="M58" s="102"/>
      <c r="N58">
        <f t="shared" si="65"/>
        <v>58.102765872370156</v>
      </c>
      <c r="O58">
        <f t="shared" si="66"/>
        <v>5.1772921945012662</v>
      </c>
      <c r="P58">
        <f t="shared" si="67"/>
        <v>4.834420340135833</v>
      </c>
      <c r="Q58">
        <f t="shared" si="68"/>
        <v>0.17729219450126621</v>
      </c>
      <c r="R58">
        <f t="shared" si="69"/>
        <v>0.16557965986416701</v>
      </c>
      <c r="S58">
        <f t="shared" si="74"/>
        <v>4.9605879451623682</v>
      </c>
      <c r="T58">
        <f t="shared" si="70"/>
        <v>5.0368083583878045</v>
      </c>
      <c r="U58" s="97"/>
      <c r="V58" s="25">
        <v>5</v>
      </c>
      <c r="W58" s="25">
        <f t="shared" si="71"/>
        <v>8.7266462599716474E-2</v>
      </c>
      <c r="X58">
        <f t="shared" si="75"/>
        <v>1.6242748307614407</v>
      </c>
      <c r="Y58">
        <f t="shared" si="76"/>
        <v>0.57251919147321839</v>
      </c>
      <c r="Z58">
        <f t="shared" si="72"/>
        <v>-6.0783348700835163</v>
      </c>
      <c r="AA58">
        <f t="shared" si="73"/>
        <v>-5.177840815256328</v>
      </c>
      <c r="AB58" s="97"/>
      <c r="AI58" s="97"/>
      <c r="AO58" s="97"/>
      <c r="AP58">
        <f t="shared" si="61"/>
        <v>3.4287516272823351</v>
      </c>
      <c r="AQ58">
        <f t="shared" si="62"/>
        <v>74.301137904282839</v>
      </c>
      <c r="AR58">
        <f t="shared" si="9"/>
        <v>43.117985903952345</v>
      </c>
      <c r="AS58">
        <f t="shared" si="63"/>
        <v>18.301137904282839</v>
      </c>
      <c r="AT58">
        <f t="shared" si="10"/>
        <v>12.882014096047655</v>
      </c>
      <c r="AU58">
        <f t="shared" si="64"/>
        <v>51.931657043877927</v>
      </c>
      <c r="AV58">
        <f t="shared" si="11"/>
        <v>58.863671733551392</v>
      </c>
      <c r="AW58" s="97"/>
      <c r="AX58" s="25">
        <f t="shared" si="25"/>
        <v>56</v>
      </c>
      <c r="AY58" s="25">
        <f t="shared" si="12"/>
        <v>0.97738438111682457</v>
      </c>
      <c r="AZ58">
        <f t="shared" si="22"/>
        <v>-15.859880489931925</v>
      </c>
      <c r="BA58">
        <f t="shared" si="23"/>
        <v>-34.815820697587398</v>
      </c>
      <c r="BB58">
        <f t="shared" si="13"/>
        <v>-0.33491667832506844</v>
      </c>
      <c r="BC58">
        <f t="shared" si="14"/>
        <v>-0.22327778555004557</v>
      </c>
      <c r="BD58" s="97"/>
    </row>
    <row r="59" spans="6:56" x14ac:dyDescent="0.3">
      <c r="G59" s="97"/>
      <c r="M59" s="102"/>
      <c r="N59">
        <f t="shared" si="65"/>
        <v>48.364685975631467</v>
      </c>
      <c r="O59">
        <f t="shared" si="66"/>
        <v>6.2568068892593844</v>
      </c>
      <c r="P59">
        <f t="shared" si="67"/>
        <v>5.7633745694755074</v>
      </c>
      <c r="Q59">
        <f t="shared" si="68"/>
        <v>0.25680688925938444</v>
      </c>
      <c r="R59">
        <f t="shared" si="69"/>
        <v>0.23662543052449259</v>
      </c>
      <c r="S59">
        <f t="shared" si="74"/>
        <v>5.942911828517639</v>
      </c>
      <c r="T59">
        <f t="shared" si="70"/>
        <v>6.0526018332055944</v>
      </c>
      <c r="U59" s="97"/>
      <c r="V59" s="25">
        <v>6</v>
      </c>
      <c r="W59" s="25">
        <f t="shared" si="71"/>
        <v>0.10471975511965978</v>
      </c>
      <c r="X59">
        <f t="shared" si="75"/>
        <v>0.64195094740616998</v>
      </c>
      <c r="Y59">
        <f t="shared" si="76"/>
        <v>-0.44327428334457153</v>
      </c>
      <c r="Z59">
        <f t="shared" si="72"/>
        <v>-6.0783348700835163</v>
      </c>
      <c r="AA59">
        <f t="shared" si="73"/>
        <v>-5.177840815256328</v>
      </c>
      <c r="AB59" s="97"/>
      <c r="AI59" s="97"/>
      <c r="AO59" s="97"/>
      <c r="AP59">
        <f t="shared" si="61"/>
        <v>3.3011552654206784</v>
      </c>
      <c r="AQ59">
        <f t="shared" si="62"/>
        <v>75.642547084194888</v>
      </c>
      <c r="AR59">
        <f t="shared" si="9"/>
        <v>43.798357049490143</v>
      </c>
      <c r="AS59">
        <f t="shared" si="63"/>
        <v>18.642547084194888</v>
      </c>
      <c r="AT59">
        <f t="shared" si="10"/>
        <v>13.201642950509857</v>
      </c>
      <c r="AU59">
        <f t="shared" si="64"/>
        <v>52.855761783183475</v>
      </c>
      <c r="AV59">
        <f t="shared" si="11"/>
        <v>59.93472522789834</v>
      </c>
      <c r="AW59" s="97"/>
      <c r="AX59" s="25">
        <f t="shared" si="25"/>
        <v>57</v>
      </c>
      <c r="AY59" s="25">
        <f t="shared" si="12"/>
        <v>0.99483767363676789</v>
      </c>
      <c r="AZ59">
        <f t="shared" si="22"/>
        <v>-16.783985229237473</v>
      </c>
      <c r="BA59">
        <f t="shared" si="23"/>
        <v>-35.886874191934339</v>
      </c>
      <c r="BB59">
        <f t="shared" si="13"/>
        <v>-0.33491667832506844</v>
      </c>
      <c r="BC59">
        <f t="shared" si="14"/>
        <v>-0.22327778555004557</v>
      </c>
      <c r="BD59" s="97"/>
    </row>
    <row r="60" spans="6:56" x14ac:dyDescent="0.3">
      <c r="G60" s="97"/>
      <c r="M60" s="102"/>
      <c r="N60">
        <f t="shared" si="65"/>
        <v>41.400427675537514</v>
      </c>
      <c r="O60">
        <f t="shared" si="66"/>
        <v>7.3515314045373188</v>
      </c>
      <c r="P60">
        <f t="shared" si="67"/>
        <v>6.6804074558448523</v>
      </c>
      <c r="Q60">
        <f t="shared" si="68"/>
        <v>0.35153140453731879</v>
      </c>
      <c r="R60">
        <f t="shared" si="69"/>
        <v>0.31959254415514771</v>
      </c>
      <c r="S60">
        <f t="shared" si="74"/>
        <v>6.9218545687713542</v>
      </c>
      <c r="T60">
        <f t="shared" si="70"/>
        <v>7.0710454225656889</v>
      </c>
      <c r="U60" s="97"/>
      <c r="V60" s="25">
        <v>7</v>
      </c>
      <c r="W60" s="25">
        <f t="shared" si="71"/>
        <v>0.12217304763960307</v>
      </c>
      <c r="X60">
        <f t="shared" si="75"/>
        <v>-0.33699179284754521</v>
      </c>
      <c r="Y60">
        <f t="shared" si="76"/>
        <v>-1.461717872704666</v>
      </c>
      <c r="Z60">
        <f t="shared" si="72"/>
        <v>-6.0783348700835163</v>
      </c>
      <c r="AA60">
        <f t="shared" si="73"/>
        <v>-5.177840815256328</v>
      </c>
      <c r="AB60" s="97"/>
      <c r="AI60" s="97"/>
      <c r="AO60" s="97"/>
      <c r="AP60">
        <f t="shared" si="61"/>
        <v>3.1764192055390805</v>
      </c>
      <c r="AQ60">
        <f t="shared" si="62"/>
        <v>76.969621250799165</v>
      </c>
      <c r="AR60">
        <f t="shared" si="9"/>
        <v>44.480174472887548</v>
      </c>
      <c r="AS60">
        <f t="shared" si="63"/>
        <v>18.969621250799165</v>
      </c>
      <c r="AT60">
        <f t="shared" si="10"/>
        <v>13.519825527112452</v>
      </c>
      <c r="AU60">
        <f t="shared" si="64"/>
        <v>53.783053195947346</v>
      </c>
      <c r="AV60">
        <f t="shared" si="11"/>
        <v>61.005457214677101</v>
      </c>
      <c r="AW60" s="97"/>
      <c r="AX60" s="25">
        <f t="shared" si="25"/>
        <v>58</v>
      </c>
      <c r="AY60" s="25">
        <f t="shared" si="12"/>
        <v>1.0122909661567112</v>
      </c>
      <c r="AZ60">
        <f t="shared" si="22"/>
        <v>-17.711276642001344</v>
      </c>
      <c r="BA60">
        <f t="shared" si="23"/>
        <v>-36.957606178713107</v>
      </c>
      <c r="BB60">
        <f t="shared" si="13"/>
        <v>-0.33491667832506844</v>
      </c>
      <c r="BC60">
        <f t="shared" si="14"/>
        <v>-0.22327778555004557</v>
      </c>
      <c r="BD60" s="97"/>
    </row>
    <row r="61" spans="6:56" x14ac:dyDescent="0.3">
      <c r="G61" s="97"/>
      <c r="M61" s="102"/>
      <c r="N61">
        <f t="shared" si="65"/>
        <v>36.169796088786391</v>
      </c>
      <c r="O61">
        <f t="shared" si="66"/>
        <v>8.4616542531871186</v>
      </c>
      <c r="P61">
        <f t="shared" si="67"/>
        <v>7.5858341464600265</v>
      </c>
      <c r="Q61">
        <f t="shared" si="68"/>
        <v>0.46165425318711861</v>
      </c>
      <c r="R61">
        <f t="shared" si="69"/>
        <v>0.41416585353997348</v>
      </c>
      <c r="S61">
        <f t="shared" si="74"/>
        <v>7.8973742595165035</v>
      </c>
      <c r="T61">
        <f t="shared" si="70"/>
        <v>8.0920690692419353</v>
      </c>
      <c r="U61" s="97"/>
      <c r="V61" s="25">
        <v>8</v>
      </c>
      <c r="W61" s="25">
        <f t="shared" si="71"/>
        <v>0.13962634015954636</v>
      </c>
      <c r="X61">
        <f t="shared" si="75"/>
        <v>-1.3125114835926945</v>
      </c>
      <c r="Y61">
        <f t="shared" si="76"/>
        <v>-2.4827415193809124</v>
      </c>
      <c r="Z61">
        <f t="shared" si="72"/>
        <v>-6.0783348700835163</v>
      </c>
      <c r="AA61">
        <f t="shared" si="73"/>
        <v>-5.177840815256328</v>
      </c>
      <c r="AB61" s="97"/>
      <c r="AI61" s="97"/>
      <c r="AO61" s="97"/>
      <c r="AP61">
        <f t="shared" si="61"/>
        <v>3.0543748133900981</v>
      </c>
      <c r="AQ61">
        <f t="shared" si="62"/>
        <v>78.281983633888274</v>
      </c>
      <c r="AR61">
        <f t="shared" si="9"/>
        <v>45.163665834215323</v>
      </c>
      <c r="AS61">
        <f t="shared" si="63"/>
        <v>19.281983633888274</v>
      </c>
      <c r="AT61">
        <f t="shared" si="10"/>
        <v>13.836334165784677</v>
      </c>
      <c r="AU61">
        <f t="shared" si="64"/>
        <v>54.713615038186639</v>
      </c>
      <c r="AV61">
        <f t="shared" si="11"/>
        <v>62.075817085053934</v>
      </c>
      <c r="AW61" s="97"/>
      <c r="AX61" s="25">
        <f t="shared" si="25"/>
        <v>59</v>
      </c>
      <c r="AY61" s="25">
        <f t="shared" si="12"/>
        <v>1.0297442586766545</v>
      </c>
      <c r="AZ61">
        <f t="shared" si="22"/>
        <v>-18.641838484240637</v>
      </c>
      <c r="BA61">
        <f t="shared" si="23"/>
        <v>-38.02796604908994</v>
      </c>
      <c r="BB61">
        <f t="shared" si="13"/>
        <v>-0.33491667832506844</v>
      </c>
      <c r="BC61">
        <f t="shared" si="14"/>
        <v>-0.22327778555004557</v>
      </c>
      <c r="BD61" s="97"/>
    </row>
    <row r="62" spans="6:56" x14ac:dyDescent="0.3">
      <c r="G62" s="97"/>
      <c r="M62" s="102"/>
      <c r="N62">
        <f t="shared" si="65"/>
        <v>32.094903532931468</v>
      </c>
      <c r="O62">
        <f t="shared" si="66"/>
        <v>9.5873420661004971</v>
      </c>
      <c r="P62">
        <f t="shared" si="67"/>
        <v>8.4799710928606782</v>
      </c>
      <c r="Q62">
        <f t="shared" si="68"/>
        <v>0.58734206610049711</v>
      </c>
      <c r="R62">
        <f t="shared" si="69"/>
        <v>0.52002890713932182</v>
      </c>
      <c r="S62">
        <f t="shared" si="74"/>
        <v>8.8694338587058592</v>
      </c>
      <c r="T62">
        <f t="shared" si="70"/>
        <v>9.1156024260570714</v>
      </c>
      <c r="U62" s="97"/>
      <c r="V62" s="25">
        <v>9</v>
      </c>
      <c r="W62" s="25">
        <f t="shared" si="71"/>
        <v>0.15707963267948966</v>
      </c>
      <c r="X62">
        <f t="shared" si="75"/>
        <v>-2.2845710827820502</v>
      </c>
      <c r="Y62">
        <f t="shared" si="76"/>
        <v>-3.5062748761960485</v>
      </c>
      <c r="Z62">
        <f t="shared" si="72"/>
        <v>-6.0783348700835163</v>
      </c>
      <c r="AA62">
        <f t="shared" si="73"/>
        <v>-5.177840815256328</v>
      </c>
      <c r="AB62" s="97"/>
      <c r="AI62" s="97"/>
      <c r="AO62" s="97"/>
      <c r="AP62">
        <f t="shared" si="61"/>
        <v>2.9348638683805985</v>
      </c>
      <c r="AQ62">
        <f t="shared" si="62"/>
        <v>79.579309757222291</v>
      </c>
      <c r="AR62">
        <f t="shared" si="9"/>
        <v>45.849060051482581</v>
      </c>
      <c r="AS62">
        <f t="shared" si="63"/>
        <v>19.579309757222291</v>
      </c>
      <c r="AT62">
        <f t="shared" si="10"/>
        <v>14.150939948517419</v>
      </c>
      <c r="AU62">
        <f t="shared" si="64"/>
        <v>55.647519440969482</v>
      </c>
      <c r="AV62">
        <f t="shared" si="11"/>
        <v>63.145753950555424</v>
      </c>
      <c r="AW62" s="97"/>
      <c r="AX62" s="25">
        <f t="shared" si="25"/>
        <v>60</v>
      </c>
      <c r="AY62" s="25">
        <f t="shared" si="12"/>
        <v>1.0471975511965976</v>
      </c>
      <c r="AZ62">
        <f t="shared" si="22"/>
        <v>-19.57574288702348</v>
      </c>
      <c r="BA62">
        <f t="shared" si="23"/>
        <v>-39.09790291459143</v>
      </c>
      <c r="BB62">
        <f t="shared" si="13"/>
        <v>-0.33491667832506844</v>
      </c>
      <c r="BC62">
        <f t="shared" si="14"/>
        <v>-0.22327778555004557</v>
      </c>
      <c r="BD62" s="97"/>
    </row>
    <row r="63" spans="6:56" x14ac:dyDescent="0.3">
      <c r="G63" s="97"/>
      <c r="M63" s="102"/>
      <c r="N63">
        <f t="shared" si="65"/>
        <v>28.82901591639002</v>
      </c>
      <c r="O63">
        <f t="shared" si="66"/>
        <v>10.728737343023939</v>
      </c>
      <c r="P63">
        <f t="shared" si="67"/>
        <v>9.3631353217970563</v>
      </c>
      <c r="Q63">
        <f t="shared" si="68"/>
        <v>0.72873734302393878</v>
      </c>
      <c r="R63">
        <f t="shared" si="69"/>
        <v>0.63686467820294368</v>
      </c>
      <c r="S63">
        <f t="shared" si="74"/>
        <v>9.8380016886457788</v>
      </c>
      <c r="T63">
        <f t="shared" si="70"/>
        <v>10.141575017964515</v>
      </c>
      <c r="U63" s="97"/>
      <c r="V63" s="25">
        <v>10</v>
      </c>
      <c r="W63" s="25">
        <f t="shared" si="71"/>
        <v>0.17453292519943295</v>
      </c>
      <c r="X63">
        <f t="shared" si="75"/>
        <v>-3.2531389127219699</v>
      </c>
      <c r="Y63">
        <f t="shared" si="76"/>
        <v>-4.5322474681034919</v>
      </c>
      <c r="Z63">
        <f t="shared" si="72"/>
        <v>-6.0783348700835163</v>
      </c>
      <c r="AA63">
        <f t="shared" si="73"/>
        <v>-5.177840815256328</v>
      </c>
      <c r="AB63" s="97"/>
      <c r="AI63" s="97"/>
      <c r="AO63" s="97"/>
      <c r="AP63">
        <f>($D$6/TAN(AY63))</f>
        <v>2.8177376782182422</v>
      </c>
      <c r="AQ63">
        <f>DEGREES(ATAN(($D$6/(AP63-(($B$4/2)/12)))))</f>
        <v>80.861326067285304</v>
      </c>
      <c r="AR63">
        <f t="shared" si="9"/>
        <v>46.536587465447333</v>
      </c>
      <c r="AS63">
        <f>AQ63-AX63</f>
        <v>19.861326067285304</v>
      </c>
      <c r="AT63">
        <f t="shared" si="10"/>
        <v>14.463412534552667</v>
      </c>
      <c r="AU63">
        <f>AX63+($B$9*AS63)+$B$10</f>
        <v>56.584827215242477</v>
      </c>
      <c r="AV63">
        <f t="shared" si="11"/>
        <v>64.215216606431056</v>
      </c>
      <c r="AW63" s="97"/>
      <c r="AX63" s="25">
        <f t="shared" si="25"/>
        <v>61</v>
      </c>
      <c r="AY63" s="25">
        <f t="shared" si="12"/>
        <v>1.064650843716541</v>
      </c>
      <c r="AZ63">
        <f t="shared" si="22"/>
        <v>-20.513050661296475</v>
      </c>
      <c r="BA63">
        <f t="shared" si="23"/>
        <v>-40.167365570467055</v>
      </c>
      <c r="BB63">
        <f t="shared" si="13"/>
        <v>-0.33491667832506844</v>
      </c>
      <c r="BC63">
        <f t="shared" si="14"/>
        <v>-0.22327778555004557</v>
      </c>
      <c r="BD63" s="97"/>
    </row>
    <row r="64" spans="6:56" x14ac:dyDescent="0.3">
      <c r="G64" s="97"/>
      <c r="M64" s="102"/>
      <c r="N64">
        <f t="shared" si="65"/>
        <v>26.151482914515743</v>
      </c>
      <c r="O64">
        <f t="shared" si="66"/>
        <v>11.88595612490643</v>
      </c>
      <c r="P64">
        <f t="shared" si="67"/>
        <v>10.235643783795052</v>
      </c>
      <c r="Q64">
        <f t="shared" si="68"/>
        <v>0.88595612490643028</v>
      </c>
      <c r="R64">
        <f t="shared" si="69"/>
        <v>0.76435621620494842</v>
      </c>
      <c r="S64">
        <f t="shared" si="74"/>
        <v>10.8030519534333</v>
      </c>
      <c r="T64">
        <f t="shared" si="70"/>
        <v>11.16991638686236</v>
      </c>
      <c r="U64" s="97"/>
      <c r="V64" s="25">
        <v>11</v>
      </c>
      <c r="W64" s="25">
        <f t="shared" si="71"/>
        <v>0.19198621771937624</v>
      </c>
      <c r="X64">
        <f t="shared" si="75"/>
        <v>-4.2181891775094913</v>
      </c>
      <c r="Y64">
        <f t="shared" si="76"/>
        <v>-5.5605888370013368</v>
      </c>
      <c r="Z64">
        <f t="shared" si="72"/>
        <v>-6.0783348700835163</v>
      </c>
      <c r="AA64">
        <f t="shared" si="73"/>
        <v>-5.177840815256328</v>
      </c>
      <c r="AB64" s="97"/>
      <c r="AI64" s="97"/>
      <c r="AO64" s="97"/>
      <c r="AP64">
        <f t="shared" ref="AP64:AP77" si="77">($D$6/TAN(AY64))</f>
        <v>2.7028562776125171</v>
      </c>
      <c r="AQ64">
        <f t="shared" ref="AQ64:AQ77" si="78">DEGREES(ATAN(($D$6/(AP64-(($B$4/2)/12)))))</f>
        <v>82.127808288106237</v>
      </c>
      <c r="AR64">
        <f t="shared" si="9"/>
        <v>47.226480002589945</v>
      </c>
      <c r="AS64">
        <f t="shared" ref="AS64:AS77" si="79">AQ64-AX64</f>
        <v>20.127808288106237</v>
      </c>
      <c r="AT64">
        <f t="shared" si="10"/>
        <v>14.773519997410055</v>
      </c>
      <c r="AU64">
        <f t="shared" ref="AU64:AU77" si="80">AX64+($B$9*AS64)+$B$10</f>
        <v>57.525588217553981</v>
      </c>
      <c r="AV64">
        <f t="shared" si="11"/>
        <v>65.284153495424249</v>
      </c>
      <c r="AW64" s="97"/>
      <c r="AX64" s="25">
        <f t="shared" si="25"/>
        <v>62</v>
      </c>
      <c r="AY64" s="25">
        <f t="shared" si="12"/>
        <v>1.0821041362364843</v>
      </c>
      <c r="AZ64">
        <f t="shared" si="22"/>
        <v>-21.453811663607979</v>
      </c>
      <c r="BA64">
        <f t="shared" si="23"/>
        <v>-41.236302459460248</v>
      </c>
      <c r="BB64">
        <f t="shared" si="13"/>
        <v>-0.33491667832506844</v>
      </c>
      <c r="BC64">
        <f t="shared" si="14"/>
        <v>-0.22327778555004557</v>
      </c>
      <c r="BD64" s="97"/>
    </row>
    <row r="65" spans="6:56" x14ac:dyDescent="0.3">
      <c r="G65" s="97"/>
      <c r="M65" s="102"/>
      <c r="N65">
        <f t="shared" si="65"/>
        <v>23.915203056515473</v>
      </c>
      <c r="O65">
        <f t="shared" si="66"/>
        <v>13.059085601584721</v>
      </c>
      <c r="P65">
        <f t="shared" si="67"/>
        <v>11.097812774466078</v>
      </c>
      <c r="Q65">
        <f t="shared" si="68"/>
        <v>1.0590856015847212</v>
      </c>
      <c r="R65">
        <f t="shared" si="69"/>
        <v>0.90218722553392183</v>
      </c>
      <c r="S65">
        <f t="shared" si="74"/>
        <v>11.764565270767717</v>
      </c>
      <c r="T65">
        <f t="shared" si="70"/>
        <v>12.200556220236191</v>
      </c>
      <c r="U65" s="97"/>
      <c r="V65" s="25">
        <v>12</v>
      </c>
      <c r="W65" s="25">
        <f t="shared" si="71"/>
        <v>0.20943951023931956</v>
      </c>
      <c r="X65">
        <f t="shared" si="75"/>
        <v>-5.1797024948439079</v>
      </c>
      <c r="Y65">
        <f t="shared" si="76"/>
        <v>-6.5912286703751679</v>
      </c>
      <c r="Z65">
        <f t="shared" si="72"/>
        <v>-6.0783348700835163</v>
      </c>
      <c r="AA65">
        <f t="shared" si="73"/>
        <v>-5.177840815256328</v>
      </c>
      <c r="AB65" s="97"/>
      <c r="AI65" s="97"/>
      <c r="AO65" s="97"/>
      <c r="AP65">
        <f t="shared" si="77"/>
        <v>2.5900877015966799</v>
      </c>
      <c r="AQ65">
        <f t="shared" si="78"/>
        <v>83.378579544207582</v>
      </c>
      <c r="AR65">
        <f t="shared" si="9"/>
        <v>47.918971335920133</v>
      </c>
      <c r="AS65">
        <f t="shared" si="79"/>
        <v>20.378579544207582</v>
      </c>
      <c r="AT65">
        <f t="shared" si="10"/>
        <v>15.081028664079867</v>
      </c>
      <c r="AU65">
        <f t="shared" si="80"/>
        <v>58.469841767322656</v>
      </c>
      <c r="AV65">
        <f t="shared" si="11"/>
        <v>66.352512672024957</v>
      </c>
      <c r="AW65" s="97"/>
      <c r="AX65" s="25">
        <f t="shared" si="25"/>
        <v>63</v>
      </c>
      <c r="AY65" s="25">
        <f t="shared" si="12"/>
        <v>1.0995574287564276</v>
      </c>
      <c r="AZ65">
        <f t="shared" si="22"/>
        <v>-22.398065213376654</v>
      </c>
      <c r="BA65">
        <f t="shared" si="23"/>
        <v>-42.304661636060956</v>
      </c>
      <c r="BB65">
        <f t="shared" si="13"/>
        <v>-0.33491667832506844</v>
      </c>
      <c r="BC65">
        <f t="shared" si="14"/>
        <v>-0.22327778555004557</v>
      </c>
      <c r="BD65" s="97"/>
    </row>
    <row r="66" spans="6:56" x14ac:dyDescent="0.3">
      <c r="G66" s="97"/>
      <c r="M66" s="102"/>
      <c r="N66">
        <f t="shared" si="65"/>
        <v>22.018335694277788</v>
      </c>
      <c r="O66">
        <f t="shared" si="66"/>
        <v>14.248181671519944</v>
      </c>
      <c r="P66">
        <f t="shared" si="67"/>
        <v>11.949957423698619</v>
      </c>
      <c r="Q66">
        <f t="shared" si="68"/>
        <v>1.2481816715199443</v>
      </c>
      <c r="R66">
        <f t="shared" si="69"/>
        <v>1.0500425763013812</v>
      </c>
      <c r="S66">
        <f t="shared" si="74"/>
        <v>12.722529214421117</v>
      </c>
      <c r="T66">
        <f t="shared" si="70"/>
        <v>13.233424464711797</v>
      </c>
      <c r="U66" s="97"/>
      <c r="V66" s="25">
        <v>13</v>
      </c>
      <c r="W66" s="25">
        <f t="shared" si="71"/>
        <v>0.22689280275926285</v>
      </c>
      <c r="X66">
        <f t="shared" si="75"/>
        <v>-6.1376664384973081</v>
      </c>
      <c r="Y66">
        <f t="shared" si="76"/>
        <v>-7.6240969148507745</v>
      </c>
      <c r="Z66">
        <f t="shared" si="72"/>
        <v>-6.0783348700835163</v>
      </c>
      <c r="AA66">
        <f t="shared" si="73"/>
        <v>-5.177840815256328</v>
      </c>
      <c r="AB66" s="102"/>
      <c r="AI66" s="97"/>
      <c r="AO66" s="97"/>
      <c r="AP66">
        <f t="shared" si="77"/>
        <v>2.4793073252097955</v>
      </c>
      <c r="AQ66">
        <f t="shared" si="78"/>
        <v>84.613508292904726</v>
      </c>
      <c r="AR66">
        <f t="shared" si="9"/>
        <v>48.614297043248541</v>
      </c>
      <c r="AS66">
        <f t="shared" si="79"/>
        <v>20.613508292904726</v>
      </c>
      <c r="AT66">
        <f t="shared" si="10"/>
        <v>15.385702956751459</v>
      </c>
      <c r="AU66">
        <f t="shared" si="80"/>
        <v>59.417617106487278</v>
      </c>
      <c r="AV66">
        <f t="shared" si="11"/>
        <v>67.420241767285845</v>
      </c>
      <c r="AW66" s="97"/>
      <c r="AX66" s="25">
        <f t="shared" si="25"/>
        <v>64</v>
      </c>
      <c r="AY66" s="25">
        <f t="shared" si="12"/>
        <v>1.1170107212763709</v>
      </c>
      <c r="AZ66">
        <f t="shared" si="22"/>
        <v>-23.345840552541276</v>
      </c>
      <c r="BA66">
        <f t="shared" si="23"/>
        <v>-43.372390731321843</v>
      </c>
      <c r="BB66">
        <f t="shared" si="13"/>
        <v>-0.33491667832506844</v>
      </c>
      <c r="BC66">
        <f t="shared" si="14"/>
        <v>-0.22327778555004557</v>
      </c>
      <c r="BD66" s="97"/>
    </row>
    <row r="67" spans="6:56" x14ac:dyDescent="0.3">
      <c r="G67" s="97"/>
      <c r="M67" s="102"/>
      <c r="N67">
        <f t="shared" si="65"/>
        <v>20.388136412140543</v>
      </c>
      <c r="O67">
        <f t="shared" si="66"/>
        <v>15.45326647336689</v>
      </c>
      <c r="P67">
        <f t="shared" si="67"/>
        <v>12.792391247981996</v>
      </c>
      <c r="Q67">
        <f t="shared" si="68"/>
        <v>1.4532664733668899</v>
      </c>
      <c r="R67">
        <f t="shared" si="69"/>
        <v>1.2076087520180039</v>
      </c>
      <c r="S67">
        <f t="shared" si="74"/>
        <v>13.676938862970541</v>
      </c>
      <c r="T67">
        <f t="shared" si="70"/>
        <v>14.268451425573602</v>
      </c>
      <c r="U67" s="97"/>
      <c r="V67" s="25">
        <v>14</v>
      </c>
      <c r="W67" s="25">
        <f t="shared" si="71"/>
        <v>0.24434609527920614</v>
      </c>
      <c r="X67">
        <f t="shared" si="75"/>
        <v>-7.0920760870467321</v>
      </c>
      <c r="Y67">
        <f t="shared" si="76"/>
        <v>-8.659123875712579</v>
      </c>
      <c r="Z67">
        <f t="shared" si="72"/>
        <v>-6.0783348700835163</v>
      </c>
      <c r="AA67">
        <f t="shared" si="73"/>
        <v>-5.177840815256328</v>
      </c>
      <c r="AB67" s="102"/>
      <c r="AI67" s="97"/>
      <c r="AO67" s="97"/>
      <c r="AP67">
        <f t="shared" si="77"/>
        <v>2.3703972622879093</v>
      </c>
      <c r="AQ67">
        <f t="shared" si="78"/>
        <v>85.832506105628113</v>
      </c>
      <c r="AR67">
        <f t="shared" ref="AR67:AR92" si="81">DEGREES(ATAN(($D$6/(AP67+(($B$4/2)/12)))))</f>
        <v>49.312694762509487</v>
      </c>
      <c r="AS67">
        <f t="shared" si="79"/>
        <v>20.832506105628113</v>
      </c>
      <c r="AT67">
        <f t="shared" ref="AT67:AT92" si="82">AX67-AR67</f>
        <v>15.687305237490513</v>
      </c>
      <c r="AU67">
        <f t="shared" si="80"/>
        <v>60.368933892718871</v>
      </c>
      <c r="AV67">
        <f t="shared" ref="AV67:AV92" si="83">AX67-($B$9*AT67)-$B$10</f>
        <v>68.487287954294146</v>
      </c>
      <c r="AW67" s="97"/>
      <c r="AX67" s="25">
        <f t="shared" si="25"/>
        <v>65</v>
      </c>
      <c r="AY67" s="25">
        <f t="shared" ref="AY67:AY92" si="84">AX67*(PI()/180)</f>
        <v>1.1344640137963142</v>
      </c>
      <c r="AZ67">
        <f t="shared" si="22"/>
        <v>-24.29715733877287</v>
      </c>
      <c r="BA67">
        <f t="shared" si="23"/>
        <v>-44.439436918330145</v>
      </c>
      <c r="BB67">
        <f t="shared" ref="BB67:BB92" si="85">-(($AN$2-($AL$2*$B$3))/($AJ$2+($AL$2*($B$5/2))))*(180/PI())</f>
        <v>-0.33491667832506844</v>
      </c>
      <c r="BC67">
        <f t="shared" ref="BC67:BC92" si="86">-(($AN$2-($AL$2*$B$3))/($AJ$2-($AL$2*($B$5/2))))*(180/PI())</f>
        <v>-0.22327778555004557</v>
      </c>
      <c r="BD67" s="97"/>
    </row>
    <row r="68" spans="6:56" x14ac:dyDescent="0.3">
      <c r="G68" s="97"/>
      <c r="M68" s="102"/>
      <c r="N68">
        <f t="shared" si="65"/>
        <v>18.971258271808459</v>
      </c>
      <c r="O68">
        <f t="shared" si="66"/>
        <v>16.674325912334528</v>
      </c>
      <c r="P68">
        <f t="shared" si="67"/>
        <v>13.625425761261335</v>
      </c>
      <c r="Q68">
        <f t="shared" si="68"/>
        <v>1.6743259123345275</v>
      </c>
      <c r="R68">
        <f t="shared" si="69"/>
        <v>1.3745742387386652</v>
      </c>
      <c r="S68">
        <f t="shared" si="74"/>
        <v>14.627797349688034</v>
      </c>
      <c r="T68">
        <f t="shared" si="70"/>
        <v>15.305567853271604</v>
      </c>
      <c r="U68" s="97"/>
      <c r="V68" s="25">
        <v>15</v>
      </c>
      <c r="W68" s="25">
        <f t="shared" si="71"/>
        <v>0.26179938779914941</v>
      </c>
      <c r="X68">
        <f t="shared" si="75"/>
        <v>-8.0429345737642244</v>
      </c>
      <c r="Y68">
        <f t="shared" si="76"/>
        <v>-9.6962403034105815</v>
      </c>
      <c r="Z68">
        <f t="shared" si="72"/>
        <v>-6.0783348700835163</v>
      </c>
      <c r="AA68">
        <f t="shared" si="73"/>
        <v>-5.177840815256328</v>
      </c>
      <c r="AB68" s="102"/>
      <c r="AI68" s="97"/>
      <c r="AO68" s="97"/>
      <c r="AP68">
        <f t="shared" si="77"/>
        <v>2.2632458169850582</v>
      </c>
      <c r="AQ68">
        <f t="shared" si="78"/>
        <v>87.035525335812252</v>
      </c>
      <c r="AR68">
        <f t="shared" si="81"/>
        <v>50.01440434367165</v>
      </c>
      <c r="AS68">
        <f t="shared" si="79"/>
        <v>21.035525335812252</v>
      </c>
      <c r="AT68">
        <f t="shared" si="82"/>
        <v>15.98559565632835</v>
      </c>
      <c r="AU68">
        <f t="shared" si="80"/>
        <v>61.323802717848935</v>
      </c>
      <c r="AV68">
        <f t="shared" si="83"/>
        <v>69.553597914401792</v>
      </c>
      <c r="AW68" s="97"/>
      <c r="AX68" s="25">
        <f t="shared" si="25"/>
        <v>66</v>
      </c>
      <c r="AY68" s="25">
        <f t="shared" si="84"/>
        <v>1.1519173063162575</v>
      </c>
      <c r="AZ68">
        <f t="shared" ref="AZ68:AZ92" si="87">$AZ$2-AU68</f>
        <v>-25.252026163902933</v>
      </c>
      <c r="BA68">
        <f t="shared" ref="BA68:BA92" si="88">$BA$2-AV68</f>
        <v>-45.50574687843779</v>
      </c>
      <c r="BB68">
        <f t="shared" si="85"/>
        <v>-0.33491667832506844</v>
      </c>
      <c r="BC68">
        <f t="shared" si="86"/>
        <v>-0.22327778555004557</v>
      </c>
      <c r="BD68" s="97"/>
    </row>
    <row r="69" spans="6:56" x14ac:dyDescent="0.3"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I69" s="97"/>
      <c r="AO69" s="97"/>
      <c r="AP69">
        <f t="shared" si="77"/>
        <v>2.1577469823988236</v>
      </c>
      <c r="AQ69">
        <f t="shared" si="78"/>
        <v>88.222556708322557</v>
      </c>
      <c r="AR69">
        <f t="shared" si="81"/>
        <v>50.719667996717213</v>
      </c>
      <c r="AS69">
        <f t="shared" si="79"/>
        <v>21.222556708322557</v>
      </c>
      <c r="AT69">
        <f t="shared" si="82"/>
        <v>16.280332003282787</v>
      </c>
      <c r="AU69">
        <f t="shared" si="80"/>
        <v>62.282225643739892</v>
      </c>
      <c r="AV69">
        <f t="shared" si="83"/>
        <v>70.619117804329761</v>
      </c>
      <c r="AW69" s="97"/>
      <c r="AX69" s="25">
        <f t="shared" si="25"/>
        <v>67</v>
      </c>
      <c r="AY69" s="25">
        <f t="shared" si="84"/>
        <v>1.1693705988362009</v>
      </c>
      <c r="AZ69">
        <f t="shared" si="87"/>
        <v>-26.21044908979389</v>
      </c>
      <c r="BA69">
        <f t="shared" si="88"/>
        <v>-46.57126676836576</v>
      </c>
      <c r="BB69">
        <f t="shared" si="85"/>
        <v>-0.33491667832506844</v>
      </c>
      <c r="BC69">
        <f t="shared" si="86"/>
        <v>-0.22327778555004557</v>
      </c>
      <c r="BD69" s="97"/>
    </row>
    <row r="70" spans="6:56" x14ac:dyDescent="0.3">
      <c r="F70" s="19">
        <v>348</v>
      </c>
      <c r="G70" s="97"/>
      <c r="H70">
        <f>SQRT(('Input + Tire Forces'!$L$5*386.4)*F70)</f>
        <v>478.11529990160324</v>
      </c>
      <c r="I70">
        <f t="shared" si="26"/>
        <v>-656.88</v>
      </c>
      <c r="J70">
        <f t="shared" si="27"/>
        <v>-1.3738945399471356</v>
      </c>
      <c r="K70">
        <v>0</v>
      </c>
      <c r="L70">
        <f t="shared" si="28"/>
        <v>0</v>
      </c>
      <c r="M70" s="102"/>
      <c r="N70">
        <v>0</v>
      </c>
      <c r="O70">
        <v>0</v>
      </c>
      <c r="P70">
        <v>0</v>
      </c>
      <c r="Q70">
        <f>O70-V70</f>
        <v>0</v>
      </c>
      <c r="R70">
        <f>V70-P70</f>
        <v>0</v>
      </c>
      <c r="S70">
        <f>V70+($B$9*Q70)+$B$10</f>
        <v>0</v>
      </c>
      <c r="T70">
        <f>V70-($B$9*R70)-$B$10</f>
        <v>0</v>
      </c>
      <c r="U70" s="97"/>
      <c r="V70" s="25">
        <v>0</v>
      </c>
      <c r="W70" s="25">
        <f>V70*(PI()/180)</f>
        <v>0</v>
      </c>
      <c r="X70">
        <f>-(($L$70+($J$70*$B$2))/($H$70+($J$70*($B$4/2))))*(180/PI())</f>
        <v>5.609327549861022</v>
      </c>
      <c r="Y70">
        <f>-(($L$70+($J$70*$B$2))/($H$70-($J$70*($B$4/2))))*(180/PI())</f>
        <v>4.8855433498789553</v>
      </c>
      <c r="Z70">
        <f>-(($L$70-($J$70*$B$3))/($H$70+($J$70*($B$5/2))))*(180/PI())</f>
        <v>-5.1778408152563271</v>
      </c>
      <c r="AA70">
        <f>-(($L$70-($J$70*$B$3))/($H$70-($J$70*($B$5/2))))*(180/PI())</f>
        <v>-4.5097323229651893</v>
      </c>
      <c r="AB70" s="97"/>
      <c r="AI70" s="97"/>
      <c r="AO70" s="97"/>
      <c r="AP70">
        <f t="shared" si="77"/>
        <v>2.0537999813287131</v>
      </c>
      <c r="AQ70">
        <f t="shared" si="78"/>
        <v>89.393626862496106</v>
      </c>
      <c r="AR70">
        <f t="shared" si="81"/>
        <v>51.428730435108513</v>
      </c>
      <c r="AS70">
        <f t="shared" si="79"/>
        <v>21.393626862496106</v>
      </c>
      <c r="AT70">
        <f t="shared" si="82"/>
        <v>16.571269564891487</v>
      </c>
      <c r="AU70">
        <f t="shared" si="80"/>
        <v>63.244196748467118</v>
      </c>
      <c r="AV70">
        <f t="shared" si="83"/>
        <v>71.683793224275377</v>
      </c>
      <c r="AW70" s="97"/>
      <c r="AX70" s="25">
        <f t="shared" si="25"/>
        <v>68</v>
      </c>
      <c r="AY70" s="25">
        <f t="shared" si="84"/>
        <v>1.1868238913561442</v>
      </c>
      <c r="AZ70">
        <f t="shared" si="87"/>
        <v>-27.172420194521116</v>
      </c>
      <c r="BA70">
        <f t="shared" si="88"/>
        <v>-47.635942188311375</v>
      </c>
      <c r="BB70">
        <f t="shared" si="85"/>
        <v>-0.33491667832506844</v>
      </c>
      <c r="BC70">
        <f t="shared" si="86"/>
        <v>-0.22327778555004557</v>
      </c>
      <c r="BD70" s="97"/>
    </row>
    <row r="71" spans="6:56" x14ac:dyDescent="0.3">
      <c r="G71" s="97"/>
      <c r="M71" s="102"/>
      <c r="N71">
        <f t="shared" ref="N71:N85" si="89">($D$6/TAN(W71))</f>
        <v>291.22397162302707</v>
      </c>
      <c r="O71">
        <f t="shared" ref="O71:O85" si="90">DEGREES(ATAN(($D$6/(N71-(($B$4/2)/12)))))</f>
        <v>1.0069136373297729</v>
      </c>
      <c r="P71">
        <f t="shared" ref="P71:P85" si="91">DEGREES(ATAN(($D$6/(N71+(($B$4/2)/12)))))</f>
        <v>0.99318064617350288</v>
      </c>
      <c r="Q71">
        <f t="shared" ref="Q71:Q85" si="92">O71-V71</f>
        <v>6.9136373297729037E-3</v>
      </c>
      <c r="R71">
        <f t="shared" ref="R71:R85" si="93">V71-P71</f>
        <v>6.819353826497121E-3</v>
      </c>
      <c r="S71">
        <f>V71+($B$9*Q71)+$B$10</f>
        <v>0.99846309842159153</v>
      </c>
      <c r="T71">
        <f t="shared" ref="T71:T85" si="94">V71-($B$9*R71)-$B$10</f>
        <v>1.0015159423556304</v>
      </c>
      <c r="U71" s="97"/>
      <c r="V71" s="25">
        <v>1</v>
      </c>
      <c r="W71" s="25">
        <f t="shared" ref="W71:W85" si="95">V71*(PI()/180)</f>
        <v>1.7453292519943295E-2</v>
      </c>
      <c r="X71">
        <f>$X$70-S71</f>
        <v>4.6108644514394301</v>
      </c>
      <c r="Y71">
        <f>$Y$70-T71</f>
        <v>3.884027407523325</v>
      </c>
      <c r="Z71">
        <f t="shared" ref="Z71:Z85" si="96">-(($L$70-($J$70*$B$3))/($H$70+($J$70*($B$5/2))))*(180/PI())</f>
        <v>-5.1778408152563271</v>
      </c>
      <c r="AA71">
        <f t="shared" ref="AA71:AA85" si="97">-(($L$70-($J$70*$B$3))/($H$70-($J$70*($B$5/2))))*(180/PI())</f>
        <v>-4.5097323229651893</v>
      </c>
      <c r="AB71" s="97"/>
      <c r="AI71" s="97"/>
      <c r="AO71" s="97"/>
      <c r="AP71">
        <f t="shared" si="77"/>
        <v>1.9513088447633642</v>
      </c>
      <c r="AQ71">
        <f t="shared" si="78"/>
        <v>-89.451204122229441</v>
      </c>
      <c r="AR71">
        <f t="shared" si="81"/>
        <v>52.141839014092646</v>
      </c>
      <c r="AS71">
        <f t="shared" si="79"/>
        <v>-158.45120412222946</v>
      </c>
      <c r="AT71">
        <f t="shared" si="82"/>
        <v>16.858160985907354</v>
      </c>
      <c r="AU71">
        <f t="shared" si="80"/>
        <v>104.2237026763716</v>
      </c>
      <c r="AV71">
        <f t="shared" si="83"/>
        <v>72.747569187167201</v>
      </c>
      <c r="AW71" s="97"/>
      <c r="AX71" s="25">
        <f t="shared" si="25"/>
        <v>69</v>
      </c>
      <c r="AY71" s="25">
        <f t="shared" si="84"/>
        <v>1.2042771838760873</v>
      </c>
      <c r="AZ71">
        <f t="shared" si="87"/>
        <v>-68.151926122425607</v>
      </c>
      <c r="BA71">
        <f t="shared" si="88"/>
        <v>-48.6997181512032</v>
      </c>
      <c r="BB71">
        <f t="shared" si="85"/>
        <v>-0.33491667832506844</v>
      </c>
      <c r="BC71">
        <f t="shared" si="86"/>
        <v>-0.22327778555004557</v>
      </c>
      <c r="BD71" s="97"/>
    </row>
    <row r="72" spans="6:56" x14ac:dyDescent="0.3">
      <c r="G72" s="97"/>
      <c r="M72" s="102"/>
      <c r="N72">
        <f t="shared" si="89"/>
        <v>145.56762085482097</v>
      </c>
      <c r="O72">
        <f t="shared" si="90"/>
        <v>2.0278383342160931</v>
      </c>
      <c r="P72">
        <f t="shared" si="91"/>
        <v>1.9729153509744273</v>
      </c>
      <c r="Q72">
        <f t="shared" si="92"/>
        <v>2.7838334216093052E-2</v>
      </c>
      <c r="R72">
        <f t="shared" si="93"/>
        <v>2.7084649025572727E-2</v>
      </c>
      <c r="S72">
        <f t="shared" ref="S72:S85" si="98">V72+($B$9*Q72)+$B$10</f>
        <v>1.9938115383037625</v>
      </c>
      <c r="T72">
        <f t="shared" si="94"/>
        <v>2.0060209174783847</v>
      </c>
      <c r="U72" s="97"/>
      <c r="V72" s="25">
        <v>2</v>
      </c>
      <c r="W72" s="25">
        <f t="shared" si="95"/>
        <v>3.4906585039886591E-2</v>
      </c>
      <c r="X72">
        <f t="shared" ref="X72:X85" si="99">$X$70-S72</f>
        <v>3.6155160115572595</v>
      </c>
      <c r="Y72">
        <f t="shared" ref="Y72:Y85" si="100">$Y$70-T72</f>
        <v>2.8795224324005706</v>
      </c>
      <c r="Z72">
        <f t="shared" si="96"/>
        <v>-5.1778408152563271</v>
      </c>
      <c r="AA72">
        <f t="shared" si="97"/>
        <v>-4.5097323229651893</v>
      </c>
      <c r="AB72" s="97"/>
      <c r="AI72" s="97"/>
      <c r="AO72" s="97"/>
      <c r="AP72">
        <f t="shared" si="77"/>
        <v>1.850182024186529</v>
      </c>
      <c r="AQ72">
        <f t="shared" si="78"/>
        <v>-88.31184519233102</v>
      </c>
      <c r="AR72">
        <f t="shared" si="81"/>
        <v>52.85924386311904</v>
      </c>
      <c r="AS72">
        <f t="shared" si="79"/>
        <v>-158.31184519233102</v>
      </c>
      <c r="AT72">
        <f t="shared" si="82"/>
        <v>17.14075613688096</v>
      </c>
      <c r="AU72">
        <f t="shared" si="80"/>
        <v>105.19272318625519</v>
      </c>
      <c r="AV72">
        <f t="shared" si="83"/>
        <v>73.810390089228633</v>
      </c>
      <c r="AW72" s="97"/>
      <c r="AX72" s="25">
        <f t="shared" si="25"/>
        <v>70</v>
      </c>
      <c r="AY72" s="25">
        <f t="shared" si="84"/>
        <v>1.2217304763960306</v>
      </c>
      <c r="AZ72">
        <f t="shared" si="87"/>
        <v>-69.120946632309199</v>
      </c>
      <c r="BA72">
        <f t="shared" si="88"/>
        <v>-49.762539053264632</v>
      </c>
      <c r="BB72">
        <f t="shared" si="85"/>
        <v>-0.33491667832506844</v>
      </c>
      <c r="BC72">
        <f t="shared" si="86"/>
        <v>-0.22327778555004557</v>
      </c>
      <c r="BD72" s="97"/>
    </row>
    <row r="73" spans="6:56" x14ac:dyDescent="0.3">
      <c r="G73" s="97"/>
      <c r="M73" s="102"/>
      <c r="N73">
        <f t="shared" si="89"/>
        <v>96.995778162618393</v>
      </c>
      <c r="O73">
        <f t="shared" si="90"/>
        <v>3.0630416649496421</v>
      </c>
      <c r="P73">
        <f t="shared" si="91"/>
        <v>2.9394987432632744</v>
      </c>
      <c r="Q73">
        <f t="shared" si="92"/>
        <v>6.304166494964214E-2</v>
      </c>
      <c r="R73">
        <f t="shared" si="93"/>
        <v>6.0501256736725573E-2</v>
      </c>
      <c r="S73">
        <f t="shared" si="98"/>
        <v>2.9859858378816946</v>
      </c>
      <c r="T73">
        <f t="shared" si="94"/>
        <v>3.013449429372574</v>
      </c>
      <c r="U73" s="97"/>
      <c r="V73" s="25">
        <v>3</v>
      </c>
      <c r="W73" s="25">
        <f t="shared" si="95"/>
        <v>5.235987755982989E-2</v>
      </c>
      <c r="X73">
        <f t="shared" si="99"/>
        <v>2.6233417119793274</v>
      </c>
      <c r="Y73">
        <f t="shared" si="100"/>
        <v>1.8720939205063813</v>
      </c>
      <c r="Z73">
        <f t="shared" si="96"/>
        <v>-5.1778408152563271</v>
      </c>
      <c r="AA73">
        <f t="shared" si="97"/>
        <v>-4.5097323229651893</v>
      </c>
      <c r="AB73" s="97"/>
      <c r="AI73" s="97"/>
      <c r="AO73" s="97"/>
      <c r="AP73">
        <f t="shared" si="77"/>
        <v>1.7503320342224653</v>
      </c>
      <c r="AQ73">
        <f t="shared" si="78"/>
        <v>-87.188176755315595</v>
      </c>
      <c r="AR73">
        <f t="shared" si="81"/>
        <v>53.581198011562698</v>
      </c>
      <c r="AS73">
        <f t="shared" si="79"/>
        <v>-158.1881767553156</v>
      </c>
      <c r="AT73">
        <f t="shared" si="82"/>
        <v>17.418801988437302</v>
      </c>
      <c r="AU73">
        <f t="shared" si="80"/>
        <v>106.16523169270666</v>
      </c>
      <c r="AV73">
        <f t="shared" si="83"/>
        <v>74.872199682029617</v>
      </c>
      <c r="AW73" s="97"/>
      <c r="AX73" s="25">
        <f t="shared" si="25"/>
        <v>71</v>
      </c>
      <c r="AY73" s="25">
        <f t="shared" si="84"/>
        <v>1.2391837689159739</v>
      </c>
      <c r="AZ73">
        <f t="shared" si="87"/>
        <v>-70.093455138760646</v>
      </c>
      <c r="BA73">
        <f t="shared" si="88"/>
        <v>-50.824348646065616</v>
      </c>
      <c r="BB73">
        <f t="shared" si="85"/>
        <v>-0.33491667832506844</v>
      </c>
      <c r="BC73">
        <f t="shared" si="86"/>
        <v>-0.22327778555004557</v>
      </c>
      <c r="BD73" s="97"/>
    </row>
    <row r="74" spans="6:56" x14ac:dyDescent="0.3">
      <c r="G74" s="97"/>
      <c r="M74" s="102"/>
      <c r="N74">
        <f t="shared" si="89"/>
        <v>72.695053471618962</v>
      </c>
      <c r="O74">
        <f t="shared" si="90"/>
        <v>4.1127790850781825</v>
      </c>
      <c r="P74">
        <f t="shared" si="91"/>
        <v>3.8932317366729894</v>
      </c>
      <c r="Q74">
        <f t="shared" si="92"/>
        <v>0.11277908507818246</v>
      </c>
      <c r="R74">
        <f t="shared" si="93"/>
        <v>0.10676826332701062</v>
      </c>
      <c r="S74">
        <f t="shared" si="98"/>
        <v>3.97492920938712</v>
      </c>
      <c r="T74">
        <f t="shared" si="94"/>
        <v>4.0237345849375945</v>
      </c>
      <c r="U74" s="97"/>
      <c r="V74" s="25">
        <v>4</v>
      </c>
      <c r="W74" s="25">
        <f t="shared" si="95"/>
        <v>6.9813170079773182E-2</v>
      </c>
      <c r="X74">
        <f t="shared" si="99"/>
        <v>1.634398340473902</v>
      </c>
      <c r="Y74">
        <f t="shared" si="100"/>
        <v>0.86180876494136083</v>
      </c>
      <c r="Z74">
        <f t="shared" si="96"/>
        <v>-5.1778408152563271</v>
      </c>
      <c r="AA74">
        <f t="shared" si="97"/>
        <v>-4.5097323229651893</v>
      </c>
      <c r="AB74" s="97"/>
      <c r="AI74" s="97"/>
      <c r="AO74" s="97"/>
      <c r="AP74">
        <f t="shared" si="77"/>
        <v>1.6516751225172741</v>
      </c>
      <c r="AQ74">
        <f t="shared" si="78"/>
        <v>-86.080053064557859</v>
      </c>
      <c r="AR74">
        <f t="shared" si="81"/>
        <v>54.307957506855367</v>
      </c>
      <c r="AS74">
        <f t="shared" si="79"/>
        <v>-158.08005306455786</v>
      </c>
      <c r="AT74">
        <f t="shared" si="82"/>
        <v>17.692042493144633</v>
      </c>
      <c r="AU74">
        <f t="shared" si="80"/>
        <v>107.14119579625121</v>
      </c>
      <c r="AV74">
        <f t="shared" si="83"/>
        <v>75.932941046226048</v>
      </c>
      <c r="AW74" s="97"/>
      <c r="AX74" s="25">
        <f t="shared" si="25"/>
        <v>72</v>
      </c>
      <c r="AY74" s="25">
        <f t="shared" si="84"/>
        <v>1.2566370614359172</v>
      </c>
      <c r="AZ74">
        <f t="shared" si="87"/>
        <v>-71.069419242305202</v>
      </c>
      <c r="BA74">
        <f t="shared" si="88"/>
        <v>-51.885090010262047</v>
      </c>
      <c r="BB74">
        <f t="shared" si="85"/>
        <v>-0.33491667832506844</v>
      </c>
      <c r="BC74">
        <f t="shared" si="86"/>
        <v>-0.22327778555004557</v>
      </c>
      <c r="BD74" s="97"/>
    </row>
    <row r="75" spans="6:56" x14ac:dyDescent="0.3">
      <c r="G75" s="97"/>
      <c r="M75" s="102"/>
      <c r="N75">
        <f t="shared" si="89"/>
        <v>58.102765872370156</v>
      </c>
      <c r="O75">
        <f t="shared" si="90"/>
        <v>5.1772921945012662</v>
      </c>
      <c r="P75">
        <f t="shared" si="91"/>
        <v>4.834420340135833</v>
      </c>
      <c r="Q75">
        <f t="shared" si="92"/>
        <v>0.17729219450126621</v>
      </c>
      <c r="R75">
        <f t="shared" si="93"/>
        <v>0.16557965986416701</v>
      </c>
      <c r="S75">
        <f t="shared" si="98"/>
        <v>4.9605879451623682</v>
      </c>
      <c r="T75">
        <f t="shared" si="94"/>
        <v>5.0368083583878045</v>
      </c>
      <c r="U75" s="97"/>
      <c r="V75" s="25">
        <v>5</v>
      </c>
      <c r="W75" s="25">
        <f t="shared" si="95"/>
        <v>8.7266462599716474E-2</v>
      </c>
      <c r="X75">
        <f t="shared" si="99"/>
        <v>0.64873960469865377</v>
      </c>
      <c r="Y75">
        <f t="shared" si="100"/>
        <v>-0.15126500850884916</v>
      </c>
      <c r="Z75">
        <f t="shared" si="96"/>
        <v>-5.1778408152563271</v>
      </c>
      <c r="AA75">
        <f t="shared" si="97"/>
        <v>-4.5097323229651893</v>
      </c>
      <c r="AB75" s="97"/>
      <c r="AI75" s="97"/>
      <c r="AO75" s="97"/>
      <c r="AP75">
        <f t="shared" si="77"/>
        <v>1.5541309640815235</v>
      </c>
      <c r="AQ75">
        <f t="shared" si="78"/>
        <v>-84.987304537532509</v>
      </c>
      <c r="AR75">
        <f t="shared" si="81"/>
        <v>55.039781524028882</v>
      </c>
      <c r="AS75">
        <f t="shared" si="79"/>
        <v>-157.98730453753251</v>
      </c>
      <c r="AT75">
        <f t="shared" si="82"/>
        <v>17.960218475971118</v>
      </c>
      <c r="AU75">
        <f t="shared" si="80"/>
        <v>108.12057779869347</v>
      </c>
      <c r="AV75">
        <f t="shared" si="83"/>
        <v>76.992556567208382</v>
      </c>
      <c r="AW75" s="97"/>
      <c r="AX75" s="25">
        <f t="shared" si="25"/>
        <v>73</v>
      </c>
      <c r="AY75" s="25">
        <f t="shared" si="84"/>
        <v>1.2740903539558606</v>
      </c>
      <c r="AZ75">
        <f t="shared" si="87"/>
        <v>-72.048801244747466</v>
      </c>
      <c r="BA75">
        <f t="shared" si="88"/>
        <v>-52.944705531244381</v>
      </c>
      <c r="BB75">
        <f t="shared" si="85"/>
        <v>-0.33491667832506844</v>
      </c>
      <c r="BC75">
        <f t="shared" si="86"/>
        <v>-0.22327778555004557</v>
      </c>
      <c r="BD75" s="97"/>
    </row>
    <row r="76" spans="6:56" x14ac:dyDescent="0.3">
      <c r="G76" s="97"/>
      <c r="M76" s="102"/>
      <c r="N76">
        <f t="shared" si="89"/>
        <v>48.364685975631467</v>
      </c>
      <c r="O76">
        <f t="shared" si="90"/>
        <v>6.2568068892593844</v>
      </c>
      <c r="P76">
        <f t="shared" si="91"/>
        <v>5.7633745694755074</v>
      </c>
      <c r="Q76">
        <f t="shared" si="92"/>
        <v>0.25680688925938444</v>
      </c>
      <c r="R76">
        <f t="shared" si="93"/>
        <v>0.23662543052449259</v>
      </c>
      <c r="S76">
        <f t="shared" si="98"/>
        <v>5.942911828517639</v>
      </c>
      <c r="T76">
        <f t="shared" si="94"/>
        <v>6.0526018332055944</v>
      </c>
      <c r="U76" s="97"/>
      <c r="V76" s="25">
        <v>6</v>
      </c>
      <c r="W76" s="25">
        <f t="shared" si="95"/>
        <v>0.10471975511965978</v>
      </c>
      <c r="X76">
        <f t="shared" si="99"/>
        <v>-0.33358427865661699</v>
      </c>
      <c r="Y76">
        <f t="shared" si="100"/>
        <v>-1.1670584833266391</v>
      </c>
      <c r="Z76">
        <f t="shared" si="96"/>
        <v>-5.1778408152563271</v>
      </c>
      <c r="AA76">
        <f t="shared" si="97"/>
        <v>-4.5097323229651893</v>
      </c>
      <c r="AB76" s="97"/>
      <c r="AI76" s="97"/>
      <c r="AO76" s="97"/>
      <c r="AP76">
        <f t="shared" si="77"/>
        <v>1.4576223776072736</v>
      </c>
      <c r="AQ76">
        <f t="shared" si="78"/>
        <v>-83.909739993997917</v>
      </c>
      <c r="AR76">
        <f t="shared" si="81"/>
        <v>55.776932465567654</v>
      </c>
      <c r="AS76">
        <f t="shared" si="79"/>
        <v>-157.9097399939979</v>
      </c>
      <c r="AT76">
        <f t="shared" si="82"/>
        <v>18.223067534432346</v>
      </c>
      <c r="AU76">
        <f t="shared" si="80"/>
        <v>109.10333520066573</v>
      </c>
      <c r="AV76">
        <f t="shared" si="83"/>
        <v>78.050987912904304</v>
      </c>
      <c r="AW76" s="97"/>
      <c r="AX76" s="25">
        <f t="shared" si="25"/>
        <v>74</v>
      </c>
      <c r="AY76" s="25">
        <f t="shared" si="84"/>
        <v>1.2915436464758039</v>
      </c>
      <c r="AZ76">
        <f t="shared" si="87"/>
        <v>-73.031558646719731</v>
      </c>
      <c r="BA76">
        <f t="shared" si="88"/>
        <v>-54.003136876940303</v>
      </c>
      <c r="BB76">
        <f t="shared" si="85"/>
        <v>-0.33491667832506844</v>
      </c>
      <c r="BC76">
        <f t="shared" si="86"/>
        <v>-0.22327778555004557</v>
      </c>
      <c r="BD76" s="97"/>
    </row>
    <row r="77" spans="6:56" x14ac:dyDescent="0.3">
      <c r="G77" s="97"/>
      <c r="M77" s="102"/>
      <c r="N77">
        <f t="shared" si="89"/>
        <v>41.400427675537514</v>
      </c>
      <c r="O77">
        <f t="shared" si="90"/>
        <v>7.3515314045373188</v>
      </c>
      <c r="P77">
        <f t="shared" si="91"/>
        <v>6.6804074558448523</v>
      </c>
      <c r="Q77">
        <f t="shared" si="92"/>
        <v>0.35153140453731879</v>
      </c>
      <c r="R77">
        <f t="shared" si="93"/>
        <v>0.31959254415514771</v>
      </c>
      <c r="S77">
        <f t="shared" si="98"/>
        <v>6.9218545687713542</v>
      </c>
      <c r="T77">
        <f t="shared" si="94"/>
        <v>7.0710454225656889</v>
      </c>
      <c r="U77" s="97"/>
      <c r="V77" s="25">
        <v>7</v>
      </c>
      <c r="W77" s="25">
        <f t="shared" si="95"/>
        <v>0.12217304763960307</v>
      </c>
      <c r="X77">
        <f t="shared" si="99"/>
        <v>-1.3125270189103322</v>
      </c>
      <c r="Y77">
        <f t="shared" si="100"/>
        <v>-2.1855020726867336</v>
      </c>
      <c r="Z77">
        <f t="shared" si="96"/>
        <v>-5.1778408152563271</v>
      </c>
      <c r="AA77">
        <f t="shared" si="97"/>
        <v>-4.5097323229651893</v>
      </c>
      <c r="AB77" s="97"/>
      <c r="AI77" s="97"/>
      <c r="AO77" s="97"/>
      <c r="AP77">
        <f t="shared" si="77"/>
        <v>1.3620750615248736</v>
      </c>
      <c r="AQ77">
        <f t="shared" si="78"/>
        <v>-82.847148803376825</v>
      </c>
      <c r="AR77">
        <f t="shared" si="81"/>
        <v>56.51967605035216</v>
      </c>
      <c r="AS77">
        <f t="shared" si="79"/>
        <v>-157.84714880337683</v>
      </c>
      <c r="AT77">
        <f t="shared" si="82"/>
        <v>18.48032394964784</v>
      </c>
      <c r="AU77">
        <f t="shared" si="80"/>
        <v>110.08942117899068</v>
      </c>
      <c r="AV77">
        <f t="shared" si="83"/>
        <v>79.108176014006716</v>
      </c>
      <c r="AW77" s="97"/>
      <c r="AX77" s="25">
        <f t="shared" si="25"/>
        <v>75</v>
      </c>
      <c r="AY77" s="25">
        <f t="shared" si="84"/>
        <v>1.3089969389957472</v>
      </c>
      <c r="AZ77">
        <f t="shared" si="87"/>
        <v>-74.017644625044682</v>
      </c>
      <c r="BA77">
        <f t="shared" si="88"/>
        <v>-55.060324978042715</v>
      </c>
      <c r="BB77">
        <f t="shared" si="85"/>
        <v>-0.33491667832506844</v>
      </c>
      <c r="BC77">
        <f t="shared" si="86"/>
        <v>-0.22327778555004557</v>
      </c>
      <c r="BD77" s="97"/>
    </row>
    <row r="78" spans="6:56" x14ac:dyDescent="0.3">
      <c r="G78" s="97"/>
      <c r="M78" s="102"/>
      <c r="N78">
        <f t="shared" si="89"/>
        <v>36.169796088786391</v>
      </c>
      <c r="O78">
        <f t="shared" si="90"/>
        <v>8.4616542531871186</v>
      </c>
      <c r="P78">
        <f t="shared" si="91"/>
        <v>7.5858341464600265</v>
      </c>
      <c r="Q78">
        <f t="shared" si="92"/>
        <v>0.46165425318711861</v>
      </c>
      <c r="R78">
        <f t="shared" si="93"/>
        <v>0.41416585353997348</v>
      </c>
      <c r="S78">
        <f t="shared" si="98"/>
        <v>7.8973742595165035</v>
      </c>
      <c r="T78">
        <f t="shared" si="94"/>
        <v>8.0920690692419353</v>
      </c>
      <c r="U78" s="97"/>
      <c r="V78" s="25">
        <v>8</v>
      </c>
      <c r="W78" s="25">
        <f t="shared" si="95"/>
        <v>0.13962634015954636</v>
      </c>
      <c r="X78">
        <f t="shared" si="99"/>
        <v>-2.2880467096554815</v>
      </c>
      <c r="Y78">
        <f t="shared" si="100"/>
        <v>-3.2065257193629799</v>
      </c>
      <c r="Z78">
        <f t="shared" si="96"/>
        <v>-5.1778408152563271</v>
      </c>
      <c r="AA78">
        <f t="shared" si="97"/>
        <v>-4.5097323229651893</v>
      </c>
      <c r="AB78" s="97"/>
      <c r="AI78" s="97"/>
      <c r="AO78" s="97"/>
      <c r="AP78">
        <f>($D$6/TAN(AY78))</f>
        <v>1.2674173477861681</v>
      </c>
      <c r="AQ78">
        <f>DEGREES(ATAN(($D$6/(AP78-(($B$4/2)/12)))))</f>
        <v>-81.799302933046448</v>
      </c>
      <c r="AR78">
        <f t="shared" si="81"/>
        <v>57.268281390350282</v>
      </c>
      <c r="AS78">
        <f>AQ78-AX78</f>
        <v>-157.79930293304645</v>
      </c>
      <c r="AT78">
        <f t="shared" si="82"/>
        <v>18.731718609649718</v>
      </c>
      <c r="AU78">
        <f>AX78+($B$9*AS78)+$B$10</f>
        <v>111.07878504201622</v>
      </c>
      <c r="AV78">
        <f t="shared" si="83"/>
        <v>80.164061046925127</v>
      </c>
      <c r="AW78" s="97"/>
      <c r="AX78" s="25">
        <f t="shared" si="25"/>
        <v>76</v>
      </c>
      <c r="AY78" s="25">
        <f t="shared" si="84"/>
        <v>1.3264502315156905</v>
      </c>
      <c r="AZ78">
        <f t="shared" si="87"/>
        <v>-75.007008488070227</v>
      </c>
      <c r="BA78">
        <f t="shared" si="88"/>
        <v>-56.116210010961126</v>
      </c>
      <c r="BB78">
        <f t="shared" si="85"/>
        <v>-0.33491667832506844</v>
      </c>
      <c r="BC78">
        <f t="shared" si="86"/>
        <v>-0.22327778555004557</v>
      </c>
      <c r="BD78" s="97"/>
    </row>
    <row r="79" spans="6:56" x14ac:dyDescent="0.3">
      <c r="G79" s="97"/>
      <c r="M79" s="102"/>
      <c r="N79">
        <f t="shared" si="89"/>
        <v>32.094903532931468</v>
      </c>
      <c r="O79">
        <f t="shared" si="90"/>
        <v>9.5873420661004971</v>
      </c>
      <c r="P79">
        <f t="shared" si="91"/>
        <v>8.4799710928606782</v>
      </c>
      <c r="Q79">
        <f t="shared" si="92"/>
        <v>0.58734206610049711</v>
      </c>
      <c r="R79">
        <f t="shared" si="93"/>
        <v>0.52002890713932182</v>
      </c>
      <c r="S79">
        <f t="shared" si="98"/>
        <v>8.8694338587058592</v>
      </c>
      <c r="T79">
        <f t="shared" si="94"/>
        <v>9.1156024260570714</v>
      </c>
      <c r="U79" s="97"/>
      <c r="V79" s="25">
        <v>9</v>
      </c>
      <c r="W79" s="25">
        <f t="shared" si="95"/>
        <v>0.15707963267948966</v>
      </c>
      <c r="X79">
        <f t="shared" si="99"/>
        <v>-3.2601063088448372</v>
      </c>
      <c r="Y79">
        <f t="shared" si="100"/>
        <v>-4.2300590761781161</v>
      </c>
      <c r="Z79">
        <f t="shared" si="96"/>
        <v>-5.1778408152563271</v>
      </c>
      <c r="AA79">
        <f t="shared" si="97"/>
        <v>-4.5097323229651893</v>
      </c>
      <c r="AB79" s="97"/>
      <c r="AI79" s="97"/>
      <c r="AO79" s="97"/>
      <c r="AP79">
        <f t="shared" ref="AP79:AP92" si="101">($D$6/TAN(AY79))</f>
        <v>1.1735799715549453</v>
      </c>
      <c r="AQ79">
        <f t="shared" ref="AQ79:AQ92" si="102">DEGREES(ATAN(($D$6/(AP79-(($B$4/2)/12)))))</f>
        <v>-80.765958891483237</v>
      </c>
      <c r="AR79">
        <f t="shared" si="81"/>
        <v>58.023021053578724</v>
      </c>
      <c r="AS79">
        <f t="shared" ref="AS79:AS92" si="103">AQ79-AX79</f>
        <v>-157.76595889148325</v>
      </c>
      <c r="AT79">
        <f t="shared" si="82"/>
        <v>18.976978946421276</v>
      </c>
      <c r="AU79">
        <f t="shared" ref="AU79:AU92" si="104">AX79+($B$9*AS79)+$B$10</f>
        <v>112.07137266157673</v>
      </c>
      <c r="AV79">
        <f t="shared" si="83"/>
        <v>81.218582419789456</v>
      </c>
      <c r="AW79" s="97"/>
      <c r="AX79" s="25">
        <f t="shared" si="25"/>
        <v>77</v>
      </c>
      <c r="AY79" s="25">
        <f t="shared" si="84"/>
        <v>1.3439035240356338</v>
      </c>
      <c r="AZ79">
        <f t="shared" si="87"/>
        <v>-75.999596107630737</v>
      </c>
      <c r="BA79">
        <f t="shared" si="88"/>
        <v>-57.170731383825455</v>
      </c>
      <c r="BB79">
        <f t="shared" si="85"/>
        <v>-0.33491667832506844</v>
      </c>
      <c r="BC79">
        <f t="shared" si="86"/>
        <v>-0.22327778555004557</v>
      </c>
      <c r="BD79" s="97"/>
    </row>
    <row r="80" spans="6:56" x14ac:dyDescent="0.3">
      <c r="G80" s="97"/>
      <c r="M80" s="102"/>
      <c r="N80">
        <f t="shared" si="89"/>
        <v>28.82901591639002</v>
      </c>
      <c r="O80">
        <f t="shared" si="90"/>
        <v>10.728737343023939</v>
      </c>
      <c r="P80">
        <f t="shared" si="91"/>
        <v>9.3631353217970563</v>
      </c>
      <c r="Q80">
        <f t="shared" si="92"/>
        <v>0.72873734302393878</v>
      </c>
      <c r="R80">
        <f t="shared" si="93"/>
        <v>0.63686467820294368</v>
      </c>
      <c r="S80">
        <f t="shared" si="98"/>
        <v>9.8380016886457788</v>
      </c>
      <c r="T80">
        <f t="shared" si="94"/>
        <v>10.141575017964515</v>
      </c>
      <c r="U80" s="97"/>
      <c r="V80" s="25">
        <v>10</v>
      </c>
      <c r="W80" s="25">
        <f t="shared" si="95"/>
        <v>0.17453292519943295</v>
      </c>
      <c r="X80">
        <f t="shared" si="99"/>
        <v>-4.2286741387847568</v>
      </c>
      <c r="Y80">
        <f t="shared" si="100"/>
        <v>-5.2560316680855594</v>
      </c>
      <c r="Z80">
        <f t="shared" si="96"/>
        <v>-5.1778408152563271</v>
      </c>
      <c r="AA80">
        <f t="shared" si="97"/>
        <v>-4.5097323229651893</v>
      </c>
      <c r="AB80" s="97"/>
      <c r="AI80" s="97"/>
      <c r="AO80" s="97"/>
      <c r="AP80">
        <f t="shared" si="101"/>
        <v>1.0804958551559465</v>
      </c>
      <c r="AQ80">
        <f t="shared" si="102"/>
        <v>-79.746859562200754</v>
      </c>
      <c r="AR80">
        <f t="shared" si="81"/>
        <v>58.784171111713214</v>
      </c>
      <c r="AS80">
        <f t="shared" si="103"/>
        <v>-157.74685956220077</v>
      </c>
      <c r="AT80">
        <f t="shared" si="82"/>
        <v>19.215828888286786</v>
      </c>
      <c r="AU80">
        <f t="shared" si="104"/>
        <v>113.06712688067722</v>
      </c>
      <c r="AV80">
        <f t="shared" si="83"/>
        <v>82.271678761866156</v>
      </c>
      <c r="AW80" s="97"/>
      <c r="AX80" s="25">
        <f t="shared" si="25"/>
        <v>78</v>
      </c>
      <c r="AY80" s="25">
        <f t="shared" si="84"/>
        <v>1.3613568165555769</v>
      </c>
      <c r="AZ80">
        <f t="shared" si="87"/>
        <v>-76.995350326731227</v>
      </c>
      <c r="BA80">
        <f t="shared" si="88"/>
        <v>-58.223827725902154</v>
      </c>
      <c r="BB80">
        <f t="shared" si="85"/>
        <v>-0.33491667832506844</v>
      </c>
      <c r="BC80">
        <f t="shared" si="86"/>
        <v>-0.22327778555004557</v>
      </c>
      <c r="BD80" s="97"/>
    </row>
    <row r="81" spans="6:56" x14ac:dyDescent="0.3">
      <c r="G81" s="97"/>
      <c r="M81" s="102"/>
      <c r="N81">
        <f t="shared" si="89"/>
        <v>26.151482914515743</v>
      </c>
      <c r="O81">
        <f t="shared" si="90"/>
        <v>11.88595612490643</v>
      </c>
      <c r="P81">
        <f t="shared" si="91"/>
        <v>10.235643783795052</v>
      </c>
      <c r="Q81">
        <f t="shared" si="92"/>
        <v>0.88595612490643028</v>
      </c>
      <c r="R81">
        <f t="shared" si="93"/>
        <v>0.76435621620494842</v>
      </c>
      <c r="S81">
        <f t="shared" si="98"/>
        <v>10.8030519534333</v>
      </c>
      <c r="T81">
        <f t="shared" si="94"/>
        <v>11.16991638686236</v>
      </c>
      <c r="U81" s="97"/>
      <c r="V81" s="25">
        <v>11</v>
      </c>
      <c r="W81" s="25">
        <f t="shared" si="95"/>
        <v>0.19198621771937624</v>
      </c>
      <c r="X81">
        <f t="shared" si="99"/>
        <v>-5.1937244035722783</v>
      </c>
      <c r="Y81">
        <f t="shared" si="100"/>
        <v>-6.2843730369834043</v>
      </c>
      <c r="Z81">
        <f t="shared" si="96"/>
        <v>-5.1778408152563271</v>
      </c>
      <c r="AA81">
        <f t="shared" si="97"/>
        <v>-4.5097323229651893</v>
      </c>
      <c r="AB81" s="97"/>
      <c r="AI81" s="97"/>
      <c r="AO81" s="97"/>
      <c r="AP81">
        <f t="shared" si="101"/>
        <v>0.98809990478340282</v>
      </c>
      <c r="AQ81">
        <f t="shared" si="102"/>
        <v>-78.741735926174627</v>
      </c>
      <c r="AR81">
        <f t="shared" si="81"/>
        <v>59.552011170571646</v>
      </c>
      <c r="AS81">
        <f t="shared" si="103"/>
        <v>-157.74173592617461</v>
      </c>
      <c r="AT81">
        <f t="shared" si="82"/>
        <v>19.447988829428354</v>
      </c>
      <c r="AU81">
        <f t="shared" si="104"/>
        <v>114.06598789638861</v>
      </c>
      <c r="AV81">
        <f t="shared" si="83"/>
        <v>83.323287916781922</v>
      </c>
      <c r="AW81" s="97"/>
      <c r="AX81" s="25">
        <f t="shared" si="25"/>
        <v>79</v>
      </c>
      <c r="AY81" s="25">
        <f t="shared" si="84"/>
        <v>1.3788101090755203</v>
      </c>
      <c r="AZ81">
        <f t="shared" si="87"/>
        <v>-77.994211342442611</v>
      </c>
      <c r="BA81">
        <f t="shared" si="88"/>
        <v>-59.275436880817921</v>
      </c>
      <c r="BB81">
        <f t="shared" si="85"/>
        <v>-0.33491667832506844</v>
      </c>
      <c r="BC81">
        <f t="shared" si="86"/>
        <v>-0.22327778555004557</v>
      </c>
      <c r="BD81" s="97"/>
    </row>
    <row r="82" spans="6:56" x14ac:dyDescent="0.3">
      <c r="G82" s="97"/>
      <c r="M82" s="102"/>
      <c r="N82">
        <f t="shared" si="89"/>
        <v>23.915203056515473</v>
      </c>
      <c r="O82">
        <f t="shared" si="90"/>
        <v>13.059085601584721</v>
      </c>
      <c r="P82">
        <f t="shared" si="91"/>
        <v>11.097812774466078</v>
      </c>
      <c r="Q82">
        <f t="shared" si="92"/>
        <v>1.0590856015847212</v>
      </c>
      <c r="R82">
        <f t="shared" si="93"/>
        <v>0.90218722553392183</v>
      </c>
      <c r="S82">
        <f t="shared" si="98"/>
        <v>11.764565270767717</v>
      </c>
      <c r="T82">
        <f t="shared" si="94"/>
        <v>12.200556220236191</v>
      </c>
      <c r="U82" s="97"/>
      <c r="V82" s="25">
        <v>12</v>
      </c>
      <c r="W82" s="25">
        <f t="shared" si="95"/>
        <v>0.20943951023931956</v>
      </c>
      <c r="X82">
        <f t="shared" si="99"/>
        <v>-6.1552377209066949</v>
      </c>
      <c r="Y82">
        <f t="shared" si="100"/>
        <v>-7.3150128703572355</v>
      </c>
      <c r="Z82">
        <f t="shared" si="96"/>
        <v>-5.1778408152563271</v>
      </c>
      <c r="AA82">
        <f t="shared" si="97"/>
        <v>-4.5097323229651893</v>
      </c>
      <c r="AB82" s="97"/>
      <c r="AI82" s="97"/>
      <c r="AO82" s="97"/>
      <c r="AP82">
        <f t="shared" si="101"/>
        <v>0.89632881860136404</v>
      </c>
      <c r="AQ82">
        <f t="shared" si="102"/>
        <v>-77.750308671972519</v>
      </c>
      <c r="AR82">
        <f t="shared" si="81"/>
        <v>60.326824381530486</v>
      </c>
      <c r="AS82">
        <f t="shared" si="103"/>
        <v>-157.7503086719725</v>
      </c>
      <c r="AT82">
        <f t="shared" si="82"/>
        <v>19.673175618469514</v>
      </c>
      <c r="AU82">
        <f t="shared" si="104"/>
        <v>115.06789361777949</v>
      </c>
      <c r="AV82">
        <f t="shared" si="83"/>
        <v>84.37334693998578</v>
      </c>
      <c r="AW82" s="97"/>
      <c r="AX82" s="25">
        <f t="shared" ref="AX82:AX92" si="105">AX81+1</f>
        <v>80</v>
      </c>
      <c r="AY82" s="25">
        <f t="shared" si="84"/>
        <v>1.3962634015954636</v>
      </c>
      <c r="AZ82">
        <f t="shared" si="87"/>
        <v>-78.996117063833481</v>
      </c>
      <c r="BA82">
        <f t="shared" si="88"/>
        <v>-60.325495904021778</v>
      </c>
      <c r="BB82">
        <f t="shared" si="85"/>
        <v>-0.33491667832506844</v>
      </c>
      <c r="BC82">
        <f t="shared" si="86"/>
        <v>-0.22327778555004557</v>
      </c>
      <c r="BD82" s="97"/>
    </row>
    <row r="83" spans="6:56" x14ac:dyDescent="0.3">
      <c r="G83" s="97"/>
      <c r="M83" s="102"/>
      <c r="N83">
        <f t="shared" si="89"/>
        <v>22.018335694277788</v>
      </c>
      <c r="O83">
        <f t="shared" si="90"/>
        <v>14.248181671519944</v>
      </c>
      <c r="P83">
        <f t="shared" si="91"/>
        <v>11.949957423698619</v>
      </c>
      <c r="Q83">
        <f t="shared" si="92"/>
        <v>1.2481816715199443</v>
      </c>
      <c r="R83">
        <f t="shared" si="93"/>
        <v>1.0500425763013812</v>
      </c>
      <c r="S83">
        <f t="shared" si="98"/>
        <v>12.722529214421117</v>
      </c>
      <c r="T83">
        <f t="shared" si="94"/>
        <v>13.233424464711797</v>
      </c>
      <c r="U83" s="97"/>
      <c r="V83" s="25">
        <v>13</v>
      </c>
      <c r="W83" s="25">
        <f t="shared" si="95"/>
        <v>0.22689280275926285</v>
      </c>
      <c r="X83">
        <f t="shared" si="99"/>
        <v>-7.1132016645600951</v>
      </c>
      <c r="Y83">
        <f t="shared" si="100"/>
        <v>-8.3478811148328411</v>
      </c>
      <c r="Z83">
        <f t="shared" si="96"/>
        <v>-5.1778408152563271</v>
      </c>
      <c r="AA83">
        <f t="shared" si="97"/>
        <v>-4.5097323229651893</v>
      </c>
      <c r="AB83" s="102"/>
      <c r="AI83" s="97"/>
      <c r="AO83" s="97"/>
      <c r="AP83">
        <f t="shared" si="101"/>
        <v>0.80512090498305966</v>
      </c>
      <c r="AQ83">
        <f t="shared" si="102"/>
        <v>-76.772289694109915</v>
      </c>
      <c r="AR83">
        <f t="shared" si="81"/>
        <v>61.108897431761093</v>
      </c>
      <c r="AS83">
        <f t="shared" si="103"/>
        <v>-157.77228969410993</v>
      </c>
      <c r="AT83">
        <f t="shared" si="82"/>
        <v>19.891102568238907</v>
      </c>
      <c r="AU83">
        <f t="shared" si="104"/>
        <v>116.07277999900063</v>
      </c>
      <c r="AV83">
        <f t="shared" si="83"/>
        <v>85.421792100919504</v>
      </c>
      <c r="AW83" s="97"/>
      <c r="AX83" s="25">
        <f t="shared" si="105"/>
        <v>81</v>
      </c>
      <c r="AY83" s="25">
        <f t="shared" si="84"/>
        <v>1.4137166941154069</v>
      </c>
      <c r="AZ83">
        <f t="shared" si="87"/>
        <v>-80.001003445054636</v>
      </c>
      <c r="BA83">
        <f t="shared" si="88"/>
        <v>-61.373941064955503</v>
      </c>
      <c r="BB83">
        <f t="shared" si="85"/>
        <v>-0.33491667832506844</v>
      </c>
      <c r="BC83">
        <f t="shared" si="86"/>
        <v>-0.22327778555004557</v>
      </c>
      <c r="BD83" s="97"/>
    </row>
    <row r="84" spans="6:56" x14ac:dyDescent="0.3">
      <c r="G84" s="97"/>
      <c r="M84" s="102"/>
      <c r="N84">
        <f t="shared" si="89"/>
        <v>20.388136412140543</v>
      </c>
      <c r="O84">
        <f t="shared" si="90"/>
        <v>15.45326647336689</v>
      </c>
      <c r="P84">
        <f t="shared" si="91"/>
        <v>12.792391247981996</v>
      </c>
      <c r="Q84">
        <f t="shared" si="92"/>
        <v>1.4532664733668899</v>
      </c>
      <c r="R84">
        <f t="shared" si="93"/>
        <v>1.2076087520180039</v>
      </c>
      <c r="S84">
        <f t="shared" si="98"/>
        <v>13.676938862970541</v>
      </c>
      <c r="T84">
        <f t="shared" si="94"/>
        <v>14.268451425573602</v>
      </c>
      <c r="U84" s="97"/>
      <c r="V84" s="25">
        <v>14</v>
      </c>
      <c r="W84" s="25">
        <f t="shared" si="95"/>
        <v>0.24434609527920614</v>
      </c>
      <c r="X84">
        <f t="shared" si="99"/>
        <v>-8.06761131310952</v>
      </c>
      <c r="Y84">
        <f t="shared" si="100"/>
        <v>-9.3829080756946475</v>
      </c>
      <c r="Z84">
        <f t="shared" si="96"/>
        <v>-5.1778408152563271</v>
      </c>
      <c r="AA84">
        <f t="shared" si="97"/>
        <v>-4.5097323229651893</v>
      </c>
      <c r="AB84" s="102"/>
      <c r="AI84" s="97"/>
      <c r="AO84" s="97"/>
      <c r="AP84">
        <f t="shared" si="101"/>
        <v>0.71441590973715663</v>
      </c>
      <c r="AQ84">
        <f t="shared" si="102"/>
        <v>-75.80738348125054</v>
      </c>
      <c r="AR84">
        <f t="shared" si="81"/>
        <v>61.898520510988725</v>
      </c>
      <c r="AS84">
        <f t="shared" si="103"/>
        <v>-157.80738348125055</v>
      </c>
      <c r="AT84">
        <f t="shared" si="82"/>
        <v>20.101479489011275</v>
      </c>
      <c r="AU84">
        <f t="shared" si="104"/>
        <v>117.080581347882</v>
      </c>
      <c r="AV84">
        <f t="shared" si="83"/>
        <v>86.468558890407209</v>
      </c>
      <c r="AW84" s="97"/>
      <c r="AX84" s="25">
        <f t="shared" si="105"/>
        <v>82</v>
      </c>
      <c r="AY84" s="25">
        <f t="shared" si="84"/>
        <v>1.4311699866353502</v>
      </c>
      <c r="AZ84">
        <f t="shared" si="87"/>
        <v>-81.008804793936008</v>
      </c>
      <c r="BA84">
        <f t="shared" si="88"/>
        <v>-62.420707854443208</v>
      </c>
      <c r="BB84">
        <f t="shared" si="85"/>
        <v>-0.33491667832506844</v>
      </c>
      <c r="BC84">
        <f t="shared" si="86"/>
        <v>-0.22327778555004557</v>
      </c>
      <c r="BD84" s="97"/>
    </row>
    <row r="85" spans="6:56" x14ac:dyDescent="0.3">
      <c r="G85" s="97"/>
      <c r="M85" s="102"/>
      <c r="N85">
        <f t="shared" si="89"/>
        <v>18.971258271808459</v>
      </c>
      <c r="O85">
        <f t="shared" si="90"/>
        <v>16.674325912334528</v>
      </c>
      <c r="P85">
        <f t="shared" si="91"/>
        <v>13.625425761261335</v>
      </c>
      <c r="Q85">
        <f t="shared" si="92"/>
        <v>1.6743259123345275</v>
      </c>
      <c r="R85">
        <f t="shared" si="93"/>
        <v>1.3745742387386652</v>
      </c>
      <c r="S85">
        <f t="shared" si="98"/>
        <v>14.627797349688034</v>
      </c>
      <c r="T85">
        <f t="shared" si="94"/>
        <v>15.305567853271604</v>
      </c>
      <c r="U85" s="97"/>
      <c r="V85" s="25">
        <v>15</v>
      </c>
      <c r="W85" s="25">
        <f t="shared" si="95"/>
        <v>0.26179938779914941</v>
      </c>
      <c r="X85">
        <f t="shared" si="99"/>
        <v>-9.0184697998270131</v>
      </c>
      <c r="Y85">
        <f t="shared" si="100"/>
        <v>-10.42002450339265</v>
      </c>
      <c r="Z85">
        <f t="shared" si="96"/>
        <v>-5.1778408152563271</v>
      </c>
      <c r="AA85">
        <f t="shared" si="97"/>
        <v>-4.5097323229651893</v>
      </c>
      <c r="AB85" s="102"/>
      <c r="AI85" s="97"/>
      <c r="AO85" s="97"/>
      <c r="AP85">
        <f t="shared" si="101"/>
        <v>0.62415485125643166</v>
      </c>
      <c r="AQ85">
        <f t="shared" si="102"/>
        <v>-74.85528839677508</v>
      </c>
      <c r="AR85">
        <f t="shared" si="81"/>
        <v>62.695987252284041</v>
      </c>
      <c r="AS85">
        <f t="shared" si="103"/>
        <v>-157.85528839677508</v>
      </c>
      <c r="AT85">
        <f t="shared" si="82"/>
        <v>20.304012747715959</v>
      </c>
      <c r="AU85">
        <f t="shared" si="104"/>
        <v>118.09123061060311</v>
      </c>
      <c r="AV85">
        <f t="shared" si="83"/>
        <v>87.513582033817258</v>
      </c>
      <c r="AW85" s="97"/>
      <c r="AX85" s="25">
        <f t="shared" si="105"/>
        <v>83</v>
      </c>
      <c r="AY85" s="25">
        <f t="shared" si="84"/>
        <v>1.4486232791552935</v>
      </c>
      <c r="AZ85">
        <f t="shared" si="87"/>
        <v>-82.019454056657111</v>
      </c>
      <c r="BA85">
        <f t="shared" si="88"/>
        <v>-63.465730997853257</v>
      </c>
      <c r="BB85">
        <f t="shared" si="85"/>
        <v>-0.33491667832506844</v>
      </c>
      <c r="BC85">
        <f t="shared" si="86"/>
        <v>-0.22327778555004557</v>
      </c>
      <c r="BD85" s="97"/>
    </row>
    <row r="86" spans="6:56" x14ac:dyDescent="0.3"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I86" s="97"/>
      <c r="AO86" s="97"/>
      <c r="AP86">
        <f t="shared" si="101"/>
        <v>0.53427986260052185</v>
      </c>
      <c r="AQ86">
        <f t="shared" si="102"/>
        <v>-73.915697854975008</v>
      </c>
      <c r="AR86">
        <f t="shared" si="81"/>
        <v>63.501594644196146</v>
      </c>
      <c r="AS86">
        <f t="shared" si="103"/>
        <v>-157.91569785497501</v>
      </c>
      <c r="AT86">
        <f t="shared" si="82"/>
        <v>20.498405355803854</v>
      </c>
      <c r="AU86">
        <f t="shared" si="104"/>
        <v>119.10465963316094</v>
      </c>
      <c r="AV86">
        <f t="shared" si="83"/>
        <v>88.556795510595194</v>
      </c>
      <c r="AW86" s="97"/>
      <c r="AX86" s="25">
        <f t="shared" si="105"/>
        <v>84</v>
      </c>
      <c r="AY86" s="25">
        <f t="shared" si="84"/>
        <v>1.4660765716752369</v>
      </c>
      <c r="AZ86">
        <f t="shared" si="87"/>
        <v>-83.03288307921494</v>
      </c>
      <c r="BA86">
        <f t="shared" si="88"/>
        <v>-64.508944474631193</v>
      </c>
      <c r="BB86">
        <f t="shared" si="85"/>
        <v>-0.33491667832506844</v>
      </c>
      <c r="BC86">
        <f t="shared" si="86"/>
        <v>-0.22327778555004557</v>
      </c>
      <c r="BD86" s="97"/>
    </row>
    <row r="87" spans="6:56" x14ac:dyDescent="0.3">
      <c r="F87" s="19">
        <v>400</v>
      </c>
      <c r="G87" s="97"/>
      <c r="H87">
        <f>SQRT(('Input + Tire Forces'!$L$5*386.4)*F87)</f>
        <v>512.59340612224037</v>
      </c>
      <c r="I87">
        <f t="shared" si="26"/>
        <v>-656.88000000000011</v>
      </c>
      <c r="J87">
        <f t="shared" si="27"/>
        <v>-1.281483515305601</v>
      </c>
      <c r="K87">
        <v>0</v>
      </c>
      <c r="L87">
        <f t="shared" si="28"/>
        <v>0</v>
      </c>
      <c r="M87" s="102"/>
      <c r="N87">
        <v>0</v>
      </c>
      <c r="O87">
        <v>0</v>
      </c>
      <c r="P87">
        <v>0</v>
      </c>
      <c r="Q87">
        <f>O87-V87</f>
        <v>0</v>
      </c>
      <c r="R87">
        <f>V87-P87</f>
        <v>0</v>
      </c>
      <c r="S87">
        <f>V87+($B$9*Q87)+$B$10</f>
        <v>0</v>
      </c>
      <c r="T87">
        <f>V87-($B$9*R87)-$B$10</f>
        <v>0</v>
      </c>
      <c r="U87" s="97"/>
      <c r="V87" s="25">
        <v>0</v>
      </c>
      <c r="W87" s="25">
        <f>V87*(PI()/180)</f>
        <v>0</v>
      </c>
      <c r="X87">
        <f>-(($L$87+($J$87*$B$2))/($H$87+($J$87*($B$4/2))))*(180/PI())</f>
        <v>4.8335694844547117</v>
      </c>
      <c r="Y87">
        <f>-(($L$87+($J$87*$B$2))/($H$87-($J$87*($B$4/2))))*(180/PI())</f>
        <v>4.2863729390447443</v>
      </c>
      <c r="Z87">
        <f>-(($L$87-($J$87*$B$3))/($H$87+($J$87*($B$5/2))))*(180/PI())</f>
        <v>-4.4617564471889635</v>
      </c>
      <c r="AA87">
        <f>-(($L$87-($J$87*$B$3))/($H$87-($J$87*($B$5/2))))*(180/PI())</f>
        <v>-3.9566519437336098</v>
      </c>
      <c r="AB87" s="97"/>
      <c r="AI87" s="97"/>
      <c r="AO87" s="97"/>
      <c r="AP87">
        <f t="shared" si="101"/>
        <v>0.44473403959011348</v>
      </c>
      <c r="AQ87">
        <f t="shared" si="102"/>
        <v>-72.988301396703619</v>
      </c>
      <c r="AR87">
        <f t="shared" si="81"/>
        <v>64.315642911326563</v>
      </c>
      <c r="AS87">
        <f t="shared" si="103"/>
        <v>-157.9883013967036</v>
      </c>
      <c r="AT87">
        <f t="shared" si="82"/>
        <v>20.684357088673437</v>
      </c>
      <c r="AU87">
        <f t="shared" si="104"/>
        <v>120.12079940048721</v>
      </c>
      <c r="AV87">
        <f t="shared" si="83"/>
        <v>89.598132580812106</v>
      </c>
      <c r="AW87" s="97"/>
      <c r="AX87" s="25">
        <f t="shared" si="105"/>
        <v>85</v>
      </c>
      <c r="AY87" s="25">
        <f t="shared" si="84"/>
        <v>1.4835298641951802</v>
      </c>
      <c r="AZ87">
        <f t="shared" si="87"/>
        <v>-84.04902284654122</v>
      </c>
      <c r="BA87">
        <f t="shared" si="88"/>
        <v>-65.550281544848104</v>
      </c>
      <c r="BB87">
        <f t="shared" si="85"/>
        <v>-0.33491667832506844</v>
      </c>
      <c r="BC87">
        <f t="shared" si="86"/>
        <v>-0.22327778555004557</v>
      </c>
      <c r="BD87" s="97"/>
    </row>
    <row r="88" spans="6:56" x14ac:dyDescent="0.3">
      <c r="G88" s="97"/>
      <c r="M88" s="102"/>
      <c r="N88">
        <f t="shared" ref="N88:N102" si="106">($D$6/TAN(W88))</f>
        <v>291.22397162302707</v>
      </c>
      <c r="O88">
        <f t="shared" ref="O88:O102" si="107">DEGREES(ATAN(($D$6/(N88-(($B$4/2)/12)))))</f>
        <v>1.0069136373297729</v>
      </c>
      <c r="P88">
        <f t="shared" ref="P88:P102" si="108">DEGREES(ATAN(($D$6/(N88+(($B$4/2)/12)))))</f>
        <v>0.99318064617350288</v>
      </c>
      <c r="Q88">
        <f t="shared" ref="Q88:Q102" si="109">O88-V88</f>
        <v>6.9136373297729037E-3</v>
      </c>
      <c r="R88">
        <f t="shared" ref="R88:R102" si="110">V88-P88</f>
        <v>6.819353826497121E-3</v>
      </c>
      <c r="S88">
        <f>V88+($B$9*Q88)+$B$10</f>
        <v>0.99846309842159153</v>
      </c>
      <c r="T88">
        <f t="shared" ref="T88:T102" si="111">V88-($B$9*R88)-$B$10</f>
        <v>1.0015159423556304</v>
      </c>
      <c r="U88" s="97"/>
      <c r="V88" s="25">
        <v>1</v>
      </c>
      <c r="W88" s="25">
        <f t="shared" ref="W88:W102" si="112">V88*(PI()/180)</f>
        <v>1.7453292519943295E-2</v>
      </c>
      <c r="X88">
        <f>$X$87-S88</f>
        <v>3.8351063860331203</v>
      </c>
      <c r="Y88">
        <f>$Y$87-T88</f>
        <v>3.2848569966891139</v>
      </c>
      <c r="Z88">
        <f t="shared" ref="Z88:Z102" si="113">-(($L$87-($J$87*$B$3))/($H$87+($J$87*($B$5/2))))*(180/PI())</f>
        <v>-4.4617564471889635</v>
      </c>
      <c r="AA88">
        <f t="shared" ref="AA88:AA102" si="114">-(($L$87-($J$87*$B$3))/($H$87-($J$87*($B$5/2))))*(180/PI())</f>
        <v>-3.9566519437336098</v>
      </c>
      <c r="AB88" s="97"/>
      <c r="AI88" s="97"/>
      <c r="AO88" s="97"/>
      <c r="AP88">
        <f t="shared" si="101"/>
        <v>0.35546129404617754</v>
      </c>
      <c r="AQ88">
        <f t="shared" si="102"/>
        <v>-72.072785668752985</v>
      </c>
      <c r="AR88">
        <f t="shared" si="81"/>
        <v>65.138435360228641</v>
      </c>
      <c r="AS88">
        <f t="shared" si="103"/>
        <v>-158.072785668753</v>
      </c>
      <c r="AT88">
        <f t="shared" si="82"/>
        <v>20.861564639771359</v>
      </c>
      <c r="AU88">
        <f t="shared" si="104"/>
        <v>121.13958025416379</v>
      </c>
      <c r="AV88">
        <f t="shared" si="83"/>
        <v>90.637525819421171</v>
      </c>
      <c r="AW88" s="97"/>
      <c r="AX88" s="25">
        <f t="shared" si="105"/>
        <v>86</v>
      </c>
      <c r="AY88" s="25">
        <f t="shared" si="84"/>
        <v>1.5009831567151235</v>
      </c>
      <c r="AZ88">
        <f t="shared" si="87"/>
        <v>-85.06780370021778</v>
      </c>
      <c r="BA88">
        <f t="shared" si="88"/>
        <v>-66.58967478345717</v>
      </c>
      <c r="BB88">
        <f t="shared" si="85"/>
        <v>-0.33491667832506844</v>
      </c>
      <c r="BC88">
        <f t="shared" si="86"/>
        <v>-0.22327778555004557</v>
      </c>
      <c r="BD88" s="97"/>
    </row>
    <row r="89" spans="6:56" x14ac:dyDescent="0.3">
      <c r="G89" s="97"/>
      <c r="M89" s="102"/>
      <c r="N89">
        <f t="shared" si="106"/>
        <v>145.56762085482097</v>
      </c>
      <c r="O89">
        <f t="shared" si="107"/>
        <v>2.0278383342160931</v>
      </c>
      <c r="P89">
        <f t="shared" si="108"/>
        <v>1.9729153509744273</v>
      </c>
      <c r="Q89">
        <f t="shared" si="109"/>
        <v>2.7838334216093052E-2</v>
      </c>
      <c r="R89">
        <f t="shared" si="110"/>
        <v>2.7084649025572727E-2</v>
      </c>
      <c r="S89">
        <f t="shared" ref="S89:S102" si="115">V89+($B$9*Q89)+$B$10</f>
        <v>1.9938115383037625</v>
      </c>
      <c r="T89">
        <f t="shared" si="111"/>
        <v>2.0060209174783847</v>
      </c>
      <c r="U89" s="97"/>
      <c r="V89" s="25">
        <v>2</v>
      </c>
      <c r="W89" s="25">
        <f t="shared" si="112"/>
        <v>3.4906585039886591E-2</v>
      </c>
      <c r="X89">
        <f t="shared" ref="X89:X102" si="116">$X$87-S89</f>
        <v>2.8397579461509492</v>
      </c>
      <c r="Y89">
        <f t="shared" ref="Y89:Y102" si="117">$Y$87-T89</f>
        <v>2.2803520215663595</v>
      </c>
      <c r="Z89">
        <f t="shared" si="113"/>
        <v>-4.4617564471889635</v>
      </c>
      <c r="AA89">
        <f t="shared" si="114"/>
        <v>-3.9566519437336098</v>
      </c>
      <c r="AB89" s="97"/>
      <c r="AI89" s="97"/>
      <c r="AO89" s="97"/>
      <c r="AP89">
        <f t="shared" si="101"/>
        <v>0.26640621135546011</v>
      </c>
      <c r="AQ89">
        <f t="shared" si="102"/>
        <v>-71.168835311540462</v>
      </c>
      <c r="AR89">
        <f t="shared" si="81"/>
        <v>65.970278187297609</v>
      </c>
      <c r="AS89">
        <f t="shared" si="103"/>
        <v>-158.16883531154048</v>
      </c>
      <c r="AT89">
        <f t="shared" si="82"/>
        <v>21.029721812702391</v>
      </c>
      <c r="AU89">
        <f t="shared" si="104"/>
        <v>122.16093208975545</v>
      </c>
      <c r="AV89">
        <f t="shared" si="83"/>
        <v>91.674907158963748</v>
      </c>
      <c r="AW89" s="97"/>
      <c r="AX89" s="25">
        <f t="shared" si="105"/>
        <v>87</v>
      </c>
      <c r="AY89" s="25">
        <f t="shared" si="84"/>
        <v>1.5184364492350666</v>
      </c>
      <c r="AZ89">
        <f t="shared" si="87"/>
        <v>-86.089155535809454</v>
      </c>
      <c r="BA89">
        <f t="shared" si="88"/>
        <v>-67.627056122999747</v>
      </c>
      <c r="BB89">
        <f t="shared" si="85"/>
        <v>-0.33491667832506844</v>
      </c>
      <c r="BC89">
        <f t="shared" si="86"/>
        <v>-0.22327778555004557</v>
      </c>
      <c r="BD89" s="97"/>
    </row>
    <row r="90" spans="6:56" x14ac:dyDescent="0.3">
      <c r="G90" s="97"/>
      <c r="M90" s="102"/>
      <c r="N90">
        <f t="shared" si="106"/>
        <v>96.995778162618393</v>
      </c>
      <c r="O90">
        <f t="shared" si="107"/>
        <v>3.0630416649496421</v>
      </c>
      <c r="P90">
        <f t="shared" si="108"/>
        <v>2.9394987432632744</v>
      </c>
      <c r="Q90">
        <f t="shared" si="109"/>
        <v>6.304166494964214E-2</v>
      </c>
      <c r="R90">
        <f t="shared" si="110"/>
        <v>6.0501256736725573E-2</v>
      </c>
      <c r="S90">
        <f t="shared" si="115"/>
        <v>2.9859858378816946</v>
      </c>
      <c r="T90">
        <f t="shared" si="111"/>
        <v>3.013449429372574</v>
      </c>
      <c r="U90" s="97"/>
      <c r="V90" s="25">
        <v>3</v>
      </c>
      <c r="W90" s="25">
        <f t="shared" si="112"/>
        <v>5.235987755982989E-2</v>
      </c>
      <c r="X90">
        <f t="shared" si="116"/>
        <v>1.8475836465730171</v>
      </c>
      <c r="Y90">
        <f t="shared" si="117"/>
        <v>1.2729235096721703</v>
      </c>
      <c r="Z90">
        <f t="shared" si="113"/>
        <v>-4.4617564471889635</v>
      </c>
      <c r="AA90">
        <f t="shared" si="114"/>
        <v>-3.9566519437336098</v>
      </c>
      <c r="AB90" s="97"/>
      <c r="AI90" s="97"/>
      <c r="AO90" s="97"/>
      <c r="AP90">
        <f t="shared" si="101"/>
        <v>0.17751391158305149</v>
      </c>
      <c r="AQ90">
        <f t="shared" si="102"/>
        <v>-70.276133759896624</v>
      </c>
      <c r="AR90">
        <f t="shared" si="81"/>
        <v>66.811480245093691</v>
      </c>
      <c r="AS90">
        <f t="shared" si="103"/>
        <v>-158.27613375989662</v>
      </c>
      <c r="AT90">
        <f t="shared" si="82"/>
        <v>21.188519754906309</v>
      </c>
      <c r="AU90">
        <f t="shared" si="104"/>
        <v>123.18478453482501</v>
      </c>
      <c r="AV90">
        <f t="shared" si="83"/>
        <v>92.710207941515677</v>
      </c>
      <c r="AW90" s="97"/>
      <c r="AX90" s="25">
        <f t="shared" si="105"/>
        <v>88</v>
      </c>
      <c r="AY90" s="25">
        <f t="shared" si="84"/>
        <v>1.5358897417550099</v>
      </c>
      <c r="AZ90">
        <f t="shared" si="87"/>
        <v>-87.113007980879019</v>
      </c>
      <c r="BA90">
        <f t="shared" si="88"/>
        <v>-68.662356905551675</v>
      </c>
      <c r="BB90">
        <f t="shared" si="85"/>
        <v>-0.33491667832506844</v>
      </c>
      <c r="BC90">
        <f t="shared" si="86"/>
        <v>-0.22327778555004557</v>
      </c>
      <c r="BD90" s="97"/>
    </row>
    <row r="91" spans="6:56" x14ac:dyDescent="0.3">
      <c r="G91" s="97"/>
      <c r="M91" s="102"/>
      <c r="N91">
        <f t="shared" si="106"/>
        <v>72.695053471618962</v>
      </c>
      <c r="O91">
        <f t="shared" si="107"/>
        <v>4.1127790850781825</v>
      </c>
      <c r="P91">
        <f t="shared" si="108"/>
        <v>3.8932317366729894</v>
      </c>
      <c r="Q91">
        <f t="shared" si="109"/>
        <v>0.11277908507818246</v>
      </c>
      <c r="R91">
        <f t="shared" si="110"/>
        <v>0.10676826332701062</v>
      </c>
      <c r="S91">
        <f t="shared" si="115"/>
        <v>3.97492920938712</v>
      </c>
      <c r="T91">
        <f t="shared" si="111"/>
        <v>4.0237345849375945</v>
      </c>
      <c r="U91" s="97"/>
      <c r="V91" s="25">
        <v>4</v>
      </c>
      <c r="W91" s="25">
        <f t="shared" si="112"/>
        <v>6.9813170079773182E-2</v>
      </c>
      <c r="X91">
        <f t="shared" si="116"/>
        <v>0.85864027506759166</v>
      </c>
      <c r="Y91">
        <f t="shared" si="117"/>
        <v>0.26263835410714975</v>
      </c>
      <c r="Z91">
        <f t="shared" si="113"/>
        <v>-4.4617564471889635</v>
      </c>
      <c r="AA91">
        <f t="shared" si="114"/>
        <v>-3.9566519437336098</v>
      </c>
      <c r="AB91" s="97"/>
      <c r="AI91" s="97"/>
      <c r="AO91" s="97"/>
      <c r="AP91">
        <f t="shared" si="101"/>
        <v>8.8729913385106496E-2</v>
      </c>
      <c r="AQ91">
        <f t="shared" si="102"/>
        <v>-69.394363961864386</v>
      </c>
      <c r="AR91">
        <f t="shared" si="81"/>
        <v>67.662352763320101</v>
      </c>
      <c r="AS91">
        <f t="shared" si="103"/>
        <v>-158.39436396186437</v>
      </c>
      <c r="AT91">
        <f t="shared" si="82"/>
        <v>21.337647236679899</v>
      </c>
      <c r="AU91">
        <f t="shared" si="104"/>
        <v>124.21106710872245</v>
      </c>
      <c r="AV91">
        <f t="shared" si="83"/>
        <v>93.743358980713936</v>
      </c>
      <c r="AW91" s="97"/>
      <c r="AX91" s="25">
        <f t="shared" si="105"/>
        <v>89</v>
      </c>
      <c r="AY91" s="25">
        <f t="shared" si="84"/>
        <v>1.5533430342749532</v>
      </c>
      <c r="AZ91">
        <f t="shared" si="87"/>
        <v>-88.139290554776437</v>
      </c>
      <c r="BA91">
        <f t="shared" si="88"/>
        <v>-69.695507944749934</v>
      </c>
      <c r="BB91">
        <f t="shared" si="85"/>
        <v>-0.33491667832506844</v>
      </c>
      <c r="BC91">
        <f t="shared" si="86"/>
        <v>-0.22327778555004557</v>
      </c>
      <c r="BD91" s="97"/>
    </row>
    <row r="92" spans="6:56" x14ac:dyDescent="0.3">
      <c r="G92" s="97"/>
      <c r="M92" s="102"/>
      <c r="N92">
        <f t="shared" si="106"/>
        <v>58.102765872370156</v>
      </c>
      <c r="O92">
        <f t="shared" si="107"/>
        <v>5.1772921945012662</v>
      </c>
      <c r="P92">
        <f t="shared" si="108"/>
        <v>4.834420340135833</v>
      </c>
      <c r="Q92">
        <f t="shared" si="109"/>
        <v>0.17729219450126621</v>
      </c>
      <c r="R92">
        <f t="shared" si="110"/>
        <v>0.16557965986416701</v>
      </c>
      <c r="S92">
        <f t="shared" si="115"/>
        <v>4.9605879451623682</v>
      </c>
      <c r="T92">
        <f t="shared" si="111"/>
        <v>5.0368083583878045</v>
      </c>
      <c r="U92" s="97"/>
      <c r="V92" s="25">
        <v>5</v>
      </c>
      <c r="W92" s="25">
        <f t="shared" si="112"/>
        <v>8.7266462599716474E-2</v>
      </c>
      <c r="X92">
        <f t="shared" si="116"/>
        <v>-0.12701846070765654</v>
      </c>
      <c r="Y92">
        <f t="shared" si="117"/>
        <v>-0.75043541934306024</v>
      </c>
      <c r="Z92">
        <f t="shared" si="113"/>
        <v>-4.4617564471889635</v>
      </c>
      <c r="AA92">
        <f t="shared" si="114"/>
        <v>-3.9566519437336098</v>
      </c>
      <c r="AB92" s="97"/>
      <c r="AI92" s="97"/>
      <c r="AO92" s="97"/>
      <c r="AP92">
        <f t="shared" si="101"/>
        <v>3.1139189895594089E-16</v>
      </c>
      <c r="AQ92">
        <f t="shared" si="102"/>
        <v>-68.523209020459618</v>
      </c>
      <c r="AR92">
        <f t="shared" si="81"/>
        <v>68.523209020459603</v>
      </c>
      <c r="AS92">
        <f t="shared" si="103"/>
        <v>-158.5232090204596</v>
      </c>
      <c r="AT92">
        <f t="shared" si="82"/>
        <v>21.476790979540397</v>
      </c>
      <c r="AU92">
        <f t="shared" si="104"/>
        <v>125.23970936524816</v>
      </c>
      <c r="AV92">
        <f t="shared" si="83"/>
        <v>94.774290634751836</v>
      </c>
      <c r="AW92" s="97"/>
      <c r="AX92" s="25">
        <f t="shared" si="105"/>
        <v>90</v>
      </c>
      <c r="AY92" s="25">
        <f t="shared" si="84"/>
        <v>1.5707963267948966</v>
      </c>
      <c r="AZ92">
        <f t="shared" si="87"/>
        <v>-89.167932811302165</v>
      </c>
      <c r="BA92">
        <f t="shared" si="88"/>
        <v>-70.726439598787834</v>
      </c>
      <c r="BB92">
        <f t="shared" si="85"/>
        <v>-0.33491667832506844</v>
      </c>
      <c r="BC92">
        <f t="shared" si="86"/>
        <v>-0.22327778555004557</v>
      </c>
      <c r="BD92" s="97"/>
    </row>
    <row r="93" spans="6:56" x14ac:dyDescent="0.3">
      <c r="G93" s="97"/>
      <c r="M93" s="102"/>
      <c r="N93">
        <f t="shared" si="106"/>
        <v>48.364685975631467</v>
      </c>
      <c r="O93">
        <f t="shared" si="107"/>
        <v>6.2568068892593844</v>
      </c>
      <c r="P93">
        <f t="shared" si="108"/>
        <v>5.7633745694755074</v>
      </c>
      <c r="Q93">
        <f t="shared" si="109"/>
        <v>0.25680688925938444</v>
      </c>
      <c r="R93">
        <f t="shared" si="110"/>
        <v>0.23662543052449259</v>
      </c>
      <c r="S93">
        <f t="shared" si="115"/>
        <v>5.942911828517639</v>
      </c>
      <c r="T93">
        <f t="shared" si="111"/>
        <v>6.0526018332055944</v>
      </c>
      <c r="U93" s="97"/>
      <c r="V93" s="25">
        <v>6</v>
      </c>
      <c r="W93" s="25">
        <f t="shared" si="112"/>
        <v>0.10471975511965978</v>
      </c>
      <c r="X93">
        <f t="shared" si="116"/>
        <v>-1.1093423440629273</v>
      </c>
      <c r="Y93">
        <f t="shared" si="117"/>
        <v>-1.7662288941608502</v>
      </c>
      <c r="Z93">
        <f t="shared" si="113"/>
        <v>-4.4617564471889635</v>
      </c>
      <c r="AA93">
        <f t="shared" si="114"/>
        <v>-3.9566519437336098</v>
      </c>
      <c r="AB93" s="97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</row>
    <row r="94" spans="6:56" x14ac:dyDescent="0.3">
      <c r="G94" s="97"/>
      <c r="M94" s="102"/>
      <c r="N94">
        <f t="shared" si="106"/>
        <v>41.400427675537514</v>
      </c>
      <c r="O94">
        <f t="shared" si="107"/>
        <v>7.3515314045373188</v>
      </c>
      <c r="P94">
        <f t="shared" si="108"/>
        <v>6.6804074558448523</v>
      </c>
      <c r="Q94">
        <f t="shared" si="109"/>
        <v>0.35153140453731879</v>
      </c>
      <c r="R94">
        <f t="shared" si="110"/>
        <v>0.31959254415514771</v>
      </c>
      <c r="S94">
        <f t="shared" si="115"/>
        <v>6.9218545687713542</v>
      </c>
      <c r="T94">
        <f t="shared" si="111"/>
        <v>7.0710454225656889</v>
      </c>
      <c r="U94" s="97"/>
      <c r="V94" s="25">
        <v>7</v>
      </c>
      <c r="W94" s="25">
        <f t="shared" si="112"/>
        <v>0.12217304763960307</v>
      </c>
      <c r="X94">
        <f t="shared" si="116"/>
        <v>-2.0882850843166425</v>
      </c>
      <c r="Y94">
        <f t="shared" si="117"/>
        <v>-2.7846724835209447</v>
      </c>
      <c r="Z94">
        <f t="shared" si="113"/>
        <v>-4.4617564471889635</v>
      </c>
      <c r="AA94">
        <f t="shared" si="114"/>
        <v>-3.9566519437336098</v>
      </c>
      <c r="AB94" s="97"/>
    </row>
    <row r="95" spans="6:56" x14ac:dyDescent="0.3">
      <c r="G95" s="97"/>
      <c r="M95" s="102"/>
      <c r="N95">
        <f t="shared" si="106"/>
        <v>36.169796088786391</v>
      </c>
      <c r="O95">
        <f t="shared" si="107"/>
        <v>8.4616542531871186</v>
      </c>
      <c r="P95">
        <f t="shared" si="108"/>
        <v>7.5858341464600265</v>
      </c>
      <c r="Q95">
        <f t="shared" si="109"/>
        <v>0.46165425318711861</v>
      </c>
      <c r="R95">
        <f t="shared" si="110"/>
        <v>0.41416585353997348</v>
      </c>
      <c r="S95">
        <f t="shared" si="115"/>
        <v>7.8973742595165035</v>
      </c>
      <c r="T95">
        <f t="shared" si="111"/>
        <v>8.0920690692419353</v>
      </c>
      <c r="U95" s="97"/>
      <c r="V95" s="25">
        <v>8</v>
      </c>
      <c r="W95" s="25">
        <f t="shared" si="112"/>
        <v>0.13962634015954636</v>
      </c>
      <c r="X95">
        <f t="shared" si="116"/>
        <v>-3.0638047750617918</v>
      </c>
      <c r="Y95">
        <f t="shared" si="117"/>
        <v>-3.805696130197191</v>
      </c>
      <c r="Z95">
        <f t="shared" si="113"/>
        <v>-4.4617564471889635</v>
      </c>
      <c r="AA95">
        <f t="shared" si="114"/>
        <v>-3.9566519437336098</v>
      </c>
      <c r="AB95" s="97"/>
    </row>
    <row r="96" spans="6:56" x14ac:dyDescent="0.3">
      <c r="G96" s="97"/>
      <c r="M96" s="102"/>
      <c r="N96">
        <f t="shared" si="106"/>
        <v>32.094903532931468</v>
      </c>
      <c r="O96">
        <f t="shared" si="107"/>
        <v>9.5873420661004971</v>
      </c>
      <c r="P96">
        <f t="shared" si="108"/>
        <v>8.4799710928606782</v>
      </c>
      <c r="Q96">
        <f t="shared" si="109"/>
        <v>0.58734206610049711</v>
      </c>
      <c r="R96">
        <f t="shared" si="110"/>
        <v>0.52002890713932182</v>
      </c>
      <c r="S96">
        <f t="shared" si="115"/>
        <v>8.8694338587058592</v>
      </c>
      <c r="T96">
        <f t="shared" si="111"/>
        <v>9.1156024260570714</v>
      </c>
      <c r="U96" s="97"/>
      <c r="V96" s="25">
        <v>9</v>
      </c>
      <c r="W96" s="25">
        <f t="shared" si="112"/>
        <v>0.15707963267948966</v>
      </c>
      <c r="X96">
        <f t="shared" si="116"/>
        <v>-4.0358643742511475</v>
      </c>
      <c r="Y96">
        <f t="shared" si="117"/>
        <v>-4.8292294870123271</v>
      </c>
      <c r="Z96">
        <f t="shared" si="113"/>
        <v>-4.4617564471889635</v>
      </c>
      <c r="AA96">
        <f t="shared" si="114"/>
        <v>-3.9566519437336098</v>
      </c>
      <c r="AB96" s="97"/>
    </row>
    <row r="97" spans="6:28" x14ac:dyDescent="0.3">
      <c r="G97" s="97"/>
      <c r="M97" s="102"/>
      <c r="N97">
        <f t="shared" si="106"/>
        <v>28.82901591639002</v>
      </c>
      <c r="O97">
        <f t="shared" si="107"/>
        <v>10.728737343023939</v>
      </c>
      <c r="P97">
        <f t="shared" si="108"/>
        <v>9.3631353217970563</v>
      </c>
      <c r="Q97">
        <f t="shared" si="109"/>
        <v>0.72873734302393878</v>
      </c>
      <c r="R97">
        <f t="shared" si="110"/>
        <v>0.63686467820294368</v>
      </c>
      <c r="S97">
        <f t="shared" si="115"/>
        <v>9.8380016886457788</v>
      </c>
      <c r="T97">
        <f t="shared" si="111"/>
        <v>10.141575017964515</v>
      </c>
      <c r="U97" s="97"/>
      <c r="V97" s="25">
        <v>10</v>
      </c>
      <c r="W97" s="25">
        <f t="shared" si="112"/>
        <v>0.17453292519943295</v>
      </c>
      <c r="X97">
        <f t="shared" si="116"/>
        <v>-5.0044322041910672</v>
      </c>
      <c r="Y97">
        <f t="shared" si="117"/>
        <v>-5.8552020789197705</v>
      </c>
      <c r="Z97">
        <f t="shared" si="113"/>
        <v>-4.4617564471889635</v>
      </c>
      <c r="AA97">
        <f t="shared" si="114"/>
        <v>-3.9566519437336098</v>
      </c>
      <c r="AB97" s="97"/>
    </row>
    <row r="98" spans="6:28" x14ac:dyDescent="0.3">
      <c r="G98" s="97"/>
      <c r="M98" s="102"/>
      <c r="N98">
        <f t="shared" si="106"/>
        <v>26.151482914515743</v>
      </c>
      <c r="O98">
        <f t="shared" si="107"/>
        <v>11.88595612490643</v>
      </c>
      <c r="P98">
        <f t="shared" si="108"/>
        <v>10.235643783795052</v>
      </c>
      <c r="Q98">
        <f t="shared" si="109"/>
        <v>0.88595612490643028</v>
      </c>
      <c r="R98">
        <f t="shared" si="110"/>
        <v>0.76435621620494842</v>
      </c>
      <c r="S98">
        <f t="shared" si="115"/>
        <v>10.8030519534333</v>
      </c>
      <c r="T98">
        <f t="shared" si="111"/>
        <v>11.16991638686236</v>
      </c>
      <c r="U98" s="97"/>
      <c r="V98" s="25">
        <v>11</v>
      </c>
      <c r="W98" s="25">
        <f t="shared" si="112"/>
        <v>0.19198621771937624</v>
      </c>
      <c r="X98">
        <f t="shared" si="116"/>
        <v>-5.9694824689785886</v>
      </c>
      <c r="Y98">
        <f t="shared" si="117"/>
        <v>-6.8835434478176154</v>
      </c>
      <c r="Z98">
        <f t="shared" si="113"/>
        <v>-4.4617564471889635</v>
      </c>
      <c r="AA98">
        <f t="shared" si="114"/>
        <v>-3.9566519437336098</v>
      </c>
      <c r="AB98" s="97"/>
    </row>
    <row r="99" spans="6:28" x14ac:dyDescent="0.3">
      <c r="G99" s="97"/>
      <c r="M99" s="102"/>
      <c r="N99">
        <f t="shared" si="106"/>
        <v>23.915203056515473</v>
      </c>
      <c r="O99">
        <f t="shared" si="107"/>
        <v>13.059085601584721</v>
      </c>
      <c r="P99">
        <f t="shared" si="108"/>
        <v>11.097812774466078</v>
      </c>
      <c r="Q99">
        <f t="shared" si="109"/>
        <v>1.0590856015847212</v>
      </c>
      <c r="R99">
        <f t="shared" si="110"/>
        <v>0.90218722553392183</v>
      </c>
      <c r="S99">
        <f t="shared" si="115"/>
        <v>11.764565270767717</v>
      </c>
      <c r="T99">
        <f t="shared" si="111"/>
        <v>12.200556220236191</v>
      </c>
      <c r="U99" s="97"/>
      <c r="V99" s="25">
        <v>12</v>
      </c>
      <c r="W99" s="25">
        <f t="shared" si="112"/>
        <v>0.20943951023931956</v>
      </c>
      <c r="X99">
        <f t="shared" si="116"/>
        <v>-6.9309957863130052</v>
      </c>
      <c r="Y99">
        <f t="shared" si="117"/>
        <v>-7.9141832811914465</v>
      </c>
      <c r="Z99">
        <f t="shared" si="113"/>
        <v>-4.4617564471889635</v>
      </c>
      <c r="AA99">
        <f t="shared" si="114"/>
        <v>-3.9566519437336098</v>
      </c>
      <c r="AB99" s="97"/>
    </row>
    <row r="100" spans="6:28" x14ac:dyDescent="0.3">
      <c r="G100" s="97"/>
      <c r="M100" s="102"/>
      <c r="N100">
        <f t="shared" si="106"/>
        <v>22.018335694277788</v>
      </c>
      <c r="O100">
        <f t="shared" si="107"/>
        <v>14.248181671519944</v>
      </c>
      <c r="P100">
        <f t="shared" si="108"/>
        <v>11.949957423698619</v>
      </c>
      <c r="Q100">
        <f t="shared" si="109"/>
        <v>1.2481816715199443</v>
      </c>
      <c r="R100">
        <f t="shared" si="110"/>
        <v>1.0500425763013812</v>
      </c>
      <c r="S100">
        <f t="shared" si="115"/>
        <v>12.722529214421117</v>
      </c>
      <c r="T100">
        <f t="shared" si="111"/>
        <v>13.233424464711797</v>
      </c>
      <c r="U100" s="97"/>
      <c r="V100" s="25">
        <v>13</v>
      </c>
      <c r="W100" s="25">
        <f t="shared" si="112"/>
        <v>0.22689280275926285</v>
      </c>
      <c r="X100">
        <f t="shared" si="116"/>
        <v>-7.8889597299664054</v>
      </c>
      <c r="Y100">
        <f t="shared" si="117"/>
        <v>-8.9470515256670531</v>
      </c>
      <c r="Z100">
        <f t="shared" si="113"/>
        <v>-4.4617564471889635</v>
      </c>
      <c r="AA100">
        <f t="shared" si="114"/>
        <v>-3.9566519437336098</v>
      </c>
      <c r="AB100" s="102"/>
    </row>
    <row r="101" spans="6:28" x14ac:dyDescent="0.3">
      <c r="G101" s="97"/>
      <c r="M101" s="102"/>
      <c r="N101">
        <f t="shared" si="106"/>
        <v>20.388136412140543</v>
      </c>
      <c r="O101">
        <f t="shared" si="107"/>
        <v>15.45326647336689</v>
      </c>
      <c r="P101">
        <f t="shared" si="108"/>
        <v>12.792391247981996</v>
      </c>
      <c r="Q101">
        <f t="shared" si="109"/>
        <v>1.4532664733668899</v>
      </c>
      <c r="R101">
        <f t="shared" si="110"/>
        <v>1.2076087520180039</v>
      </c>
      <c r="S101">
        <f t="shared" si="115"/>
        <v>13.676938862970541</v>
      </c>
      <c r="T101">
        <f t="shared" si="111"/>
        <v>14.268451425573602</v>
      </c>
      <c r="U101" s="97"/>
      <c r="V101" s="25">
        <v>14</v>
      </c>
      <c r="W101" s="25">
        <f t="shared" si="112"/>
        <v>0.24434609527920614</v>
      </c>
      <c r="X101">
        <f t="shared" si="116"/>
        <v>-8.8433693785158294</v>
      </c>
      <c r="Y101">
        <f t="shared" si="117"/>
        <v>-9.9820784865288577</v>
      </c>
      <c r="Z101">
        <f t="shared" si="113"/>
        <v>-4.4617564471889635</v>
      </c>
      <c r="AA101">
        <f t="shared" si="114"/>
        <v>-3.9566519437336098</v>
      </c>
      <c r="AB101" s="102"/>
    </row>
    <row r="102" spans="6:28" x14ac:dyDescent="0.3">
      <c r="G102" s="97"/>
      <c r="M102" s="102"/>
      <c r="N102">
        <f t="shared" si="106"/>
        <v>18.971258271808459</v>
      </c>
      <c r="O102">
        <f t="shared" si="107"/>
        <v>16.674325912334528</v>
      </c>
      <c r="P102">
        <f t="shared" si="108"/>
        <v>13.625425761261335</v>
      </c>
      <c r="Q102">
        <f t="shared" si="109"/>
        <v>1.6743259123345275</v>
      </c>
      <c r="R102">
        <f t="shared" si="110"/>
        <v>1.3745742387386652</v>
      </c>
      <c r="S102">
        <f t="shared" si="115"/>
        <v>14.627797349688034</v>
      </c>
      <c r="T102">
        <f t="shared" si="111"/>
        <v>15.305567853271604</v>
      </c>
      <c r="U102" s="97"/>
      <c r="V102" s="25">
        <v>15</v>
      </c>
      <c r="W102" s="25">
        <f t="shared" si="112"/>
        <v>0.26179938779914941</v>
      </c>
      <c r="X102">
        <f t="shared" si="116"/>
        <v>-9.7942278652333226</v>
      </c>
      <c r="Y102">
        <f t="shared" si="117"/>
        <v>-11.01919491422686</v>
      </c>
      <c r="Z102">
        <f t="shared" si="113"/>
        <v>-4.4617564471889635</v>
      </c>
      <c r="AA102">
        <f t="shared" si="114"/>
        <v>-3.9566519437336098</v>
      </c>
      <c r="AB102" s="102"/>
    </row>
    <row r="103" spans="6:28" x14ac:dyDescent="0.3"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</row>
    <row r="104" spans="6:28" x14ac:dyDescent="0.3">
      <c r="F104" s="19">
        <v>500</v>
      </c>
      <c r="G104" s="97"/>
      <c r="H104">
        <f>SQRT(('Input + Tire Forces'!$L$5*386.4)*F104)</f>
        <v>573.09685045374306</v>
      </c>
      <c r="I104">
        <f t="shared" si="26"/>
        <v>-656.87999999999988</v>
      </c>
      <c r="J104">
        <f t="shared" si="27"/>
        <v>-1.1461937009074861</v>
      </c>
      <c r="K104">
        <v>0</v>
      </c>
      <c r="L104">
        <f t="shared" si="28"/>
        <v>0</v>
      </c>
      <c r="M104" s="102"/>
      <c r="N104">
        <v>0</v>
      </c>
      <c r="O104">
        <v>0</v>
      </c>
      <c r="P104">
        <v>0</v>
      </c>
      <c r="Q104">
        <f>O104-V104</f>
        <v>0</v>
      </c>
      <c r="R104">
        <f>V104-P104</f>
        <v>0</v>
      </c>
      <c r="S104">
        <f>V104+($B$9*Q104)+$B$10</f>
        <v>0</v>
      </c>
      <c r="T104">
        <f>V104-($B$9*R104)-$B$10</f>
        <v>0</v>
      </c>
      <c r="U104" s="97"/>
      <c r="V104" s="25">
        <v>0</v>
      </c>
      <c r="W104" s="25">
        <f>V104*(PI()/180)</f>
        <v>0</v>
      </c>
      <c r="X104">
        <f>-(($L$104+($J$104*$B$2))/($H$104+($J$104*($B$4/2))))*(180/PI())</f>
        <v>3.818113710409603</v>
      </c>
      <c r="Y104">
        <f>-(($L$104+($J$104*$B$2))/($H$104-($J$104*($B$4/2))))*(180/PI())</f>
        <v>3.4683628361736094</v>
      </c>
      <c r="Z104">
        <f>-(($L$104-($J$104*$B$3))/($H$104+($J$104*($B$5/2))))*(180/PI())</f>
        <v>-3.5244126557627102</v>
      </c>
      <c r="AA104">
        <f>-(($L$104-($J$104*$B$3))/($H$104-($J$104*($B$5/2))))*(180/PI())</f>
        <v>-3.2015656949294855</v>
      </c>
      <c r="AB104" s="97"/>
    </row>
    <row r="105" spans="6:28" x14ac:dyDescent="0.3">
      <c r="G105" s="97"/>
      <c r="M105" s="102"/>
      <c r="N105">
        <f t="shared" ref="N105:N119" si="118">($D$6/TAN(W105))</f>
        <v>291.22397162302707</v>
      </c>
      <c r="O105">
        <f t="shared" ref="O105:O119" si="119">DEGREES(ATAN(($D$6/(N105-(($B$4/2)/12)))))</f>
        <v>1.0069136373297729</v>
      </c>
      <c r="P105">
        <f t="shared" ref="P105:P119" si="120">DEGREES(ATAN(($D$6/(N105+(($B$4/2)/12)))))</f>
        <v>0.99318064617350288</v>
      </c>
      <c r="Q105">
        <f t="shared" ref="Q105:Q119" si="121">O105-V105</f>
        <v>6.9136373297729037E-3</v>
      </c>
      <c r="R105">
        <f t="shared" ref="R105:R119" si="122">V105-P105</f>
        <v>6.819353826497121E-3</v>
      </c>
      <c r="S105">
        <f>V105+($B$9*Q105)+$B$10</f>
        <v>0.99846309842159153</v>
      </c>
      <c r="T105">
        <f t="shared" ref="T105:T119" si="123">V105-($B$9*R105)-$B$10</f>
        <v>1.0015159423556304</v>
      </c>
      <c r="U105" s="97"/>
      <c r="V105" s="25">
        <v>1</v>
      </c>
      <c r="W105" s="25">
        <f t="shared" ref="W105:W119" si="124">V105*(PI()/180)</f>
        <v>1.7453292519943295E-2</v>
      </c>
      <c r="X105">
        <f>$X$104-S105</f>
        <v>2.8196506119880116</v>
      </c>
      <c r="Y105">
        <f>$Y$104-T105</f>
        <v>2.4668468938179791</v>
      </c>
      <c r="Z105">
        <f t="shared" ref="Z105:Z119" si="125">-(($L$104-($J$104*$B$3))/($H$104+($J$104*($B$5/2))))*(180/PI())</f>
        <v>-3.5244126557627102</v>
      </c>
      <c r="AA105">
        <f t="shared" ref="AA105:AA119" si="126">-(($L$104-($J$104*$B$3))/($H$104-($J$104*($B$5/2))))*(180/PI())</f>
        <v>-3.2015656949294855</v>
      </c>
      <c r="AB105" s="97"/>
    </row>
    <row r="106" spans="6:28" x14ac:dyDescent="0.3">
      <c r="G106" s="97"/>
      <c r="M106" s="102"/>
      <c r="N106">
        <f t="shared" si="118"/>
        <v>145.56762085482097</v>
      </c>
      <c r="O106">
        <f t="shared" si="119"/>
        <v>2.0278383342160931</v>
      </c>
      <c r="P106">
        <f t="shared" si="120"/>
        <v>1.9729153509744273</v>
      </c>
      <c r="Q106">
        <f t="shared" si="121"/>
        <v>2.7838334216093052E-2</v>
      </c>
      <c r="R106">
        <f t="shared" si="122"/>
        <v>2.7084649025572727E-2</v>
      </c>
      <c r="S106">
        <f t="shared" ref="S106:S119" si="127">V106+($B$9*Q106)+$B$10</f>
        <v>1.9938115383037625</v>
      </c>
      <c r="T106">
        <f t="shared" si="123"/>
        <v>2.0060209174783847</v>
      </c>
      <c r="U106" s="97"/>
      <c r="V106" s="25">
        <v>2</v>
      </c>
      <c r="W106" s="25">
        <f t="shared" si="124"/>
        <v>3.4906585039886591E-2</v>
      </c>
      <c r="X106">
        <f t="shared" ref="X106:X119" si="128">$X$104-S106</f>
        <v>1.8243021721058406</v>
      </c>
      <c r="Y106">
        <f t="shared" ref="Y106:Y119" si="129">$Y$104-T106</f>
        <v>1.4623419186952247</v>
      </c>
      <c r="Z106">
        <f t="shared" si="125"/>
        <v>-3.5244126557627102</v>
      </c>
      <c r="AA106">
        <f t="shared" si="126"/>
        <v>-3.2015656949294855</v>
      </c>
      <c r="AB106" s="97"/>
    </row>
    <row r="107" spans="6:28" x14ac:dyDescent="0.3">
      <c r="G107" s="97"/>
      <c r="M107" s="102"/>
      <c r="N107">
        <f t="shared" si="118"/>
        <v>96.995778162618393</v>
      </c>
      <c r="O107">
        <f t="shared" si="119"/>
        <v>3.0630416649496421</v>
      </c>
      <c r="P107">
        <f t="shared" si="120"/>
        <v>2.9394987432632744</v>
      </c>
      <c r="Q107">
        <f t="shared" si="121"/>
        <v>6.304166494964214E-2</v>
      </c>
      <c r="R107">
        <f t="shared" si="122"/>
        <v>6.0501256736725573E-2</v>
      </c>
      <c r="S107">
        <f t="shared" si="127"/>
        <v>2.9859858378816946</v>
      </c>
      <c r="T107">
        <f t="shared" si="123"/>
        <v>3.013449429372574</v>
      </c>
      <c r="U107" s="97"/>
      <c r="V107" s="25">
        <v>3</v>
      </c>
      <c r="W107" s="25">
        <f t="shared" si="124"/>
        <v>5.235987755982989E-2</v>
      </c>
      <c r="X107">
        <f t="shared" si="128"/>
        <v>0.83212787252790843</v>
      </c>
      <c r="Y107">
        <f t="shared" si="129"/>
        <v>0.45491340680103542</v>
      </c>
      <c r="Z107">
        <f t="shared" si="125"/>
        <v>-3.5244126557627102</v>
      </c>
      <c r="AA107">
        <f t="shared" si="126"/>
        <v>-3.2015656949294855</v>
      </c>
      <c r="AB107" s="97"/>
    </row>
    <row r="108" spans="6:28" x14ac:dyDescent="0.3">
      <c r="G108" s="97"/>
      <c r="M108" s="102"/>
      <c r="N108">
        <f t="shared" si="118"/>
        <v>72.695053471618962</v>
      </c>
      <c r="O108">
        <f t="shared" si="119"/>
        <v>4.1127790850781825</v>
      </c>
      <c r="P108">
        <f t="shared" si="120"/>
        <v>3.8932317366729894</v>
      </c>
      <c r="Q108">
        <f t="shared" si="121"/>
        <v>0.11277908507818246</v>
      </c>
      <c r="R108">
        <f t="shared" si="122"/>
        <v>0.10676826332701062</v>
      </c>
      <c r="S108">
        <f t="shared" si="127"/>
        <v>3.97492920938712</v>
      </c>
      <c r="T108">
        <f t="shared" si="123"/>
        <v>4.0237345849375945</v>
      </c>
      <c r="U108" s="97"/>
      <c r="V108" s="25">
        <v>4</v>
      </c>
      <c r="W108" s="25">
        <f t="shared" si="124"/>
        <v>6.9813170079773182E-2</v>
      </c>
      <c r="X108">
        <f t="shared" si="128"/>
        <v>-0.15681549897751701</v>
      </c>
      <c r="Y108">
        <f t="shared" si="129"/>
        <v>-0.5553717487639851</v>
      </c>
      <c r="Z108">
        <f t="shared" si="125"/>
        <v>-3.5244126557627102</v>
      </c>
      <c r="AA108">
        <f t="shared" si="126"/>
        <v>-3.2015656949294855</v>
      </c>
      <c r="AB108" s="97"/>
    </row>
    <row r="109" spans="6:28" x14ac:dyDescent="0.3">
      <c r="G109" s="97"/>
      <c r="M109" s="102"/>
      <c r="N109">
        <f t="shared" si="118"/>
        <v>58.102765872370156</v>
      </c>
      <c r="O109">
        <f t="shared" si="119"/>
        <v>5.1772921945012662</v>
      </c>
      <c r="P109">
        <f t="shared" si="120"/>
        <v>4.834420340135833</v>
      </c>
      <c r="Q109">
        <f t="shared" si="121"/>
        <v>0.17729219450126621</v>
      </c>
      <c r="R109">
        <f t="shared" si="122"/>
        <v>0.16557965986416701</v>
      </c>
      <c r="S109">
        <f t="shared" si="127"/>
        <v>4.9605879451623682</v>
      </c>
      <c r="T109">
        <f t="shared" si="123"/>
        <v>5.0368083583878045</v>
      </c>
      <c r="U109" s="97"/>
      <c r="V109" s="25">
        <v>5</v>
      </c>
      <c r="W109" s="25">
        <f t="shared" si="124"/>
        <v>8.7266462599716474E-2</v>
      </c>
      <c r="X109">
        <f t="shared" si="128"/>
        <v>-1.1424742347527652</v>
      </c>
      <c r="Y109">
        <f t="shared" si="129"/>
        <v>-1.5684455222141951</v>
      </c>
      <c r="Z109">
        <f t="shared" si="125"/>
        <v>-3.5244126557627102</v>
      </c>
      <c r="AA109">
        <f t="shared" si="126"/>
        <v>-3.2015656949294855</v>
      </c>
      <c r="AB109" s="97"/>
    </row>
    <row r="110" spans="6:28" x14ac:dyDescent="0.3">
      <c r="G110" s="97"/>
      <c r="M110" s="102"/>
      <c r="N110">
        <f t="shared" si="118"/>
        <v>48.364685975631467</v>
      </c>
      <c r="O110">
        <f t="shared" si="119"/>
        <v>6.2568068892593844</v>
      </c>
      <c r="P110">
        <f t="shared" si="120"/>
        <v>5.7633745694755074</v>
      </c>
      <c r="Q110">
        <f t="shared" si="121"/>
        <v>0.25680688925938444</v>
      </c>
      <c r="R110">
        <f t="shared" si="122"/>
        <v>0.23662543052449259</v>
      </c>
      <c r="S110">
        <f t="shared" si="127"/>
        <v>5.942911828517639</v>
      </c>
      <c r="T110">
        <f t="shared" si="123"/>
        <v>6.0526018332055944</v>
      </c>
      <c r="U110" s="97"/>
      <c r="V110" s="25">
        <v>6</v>
      </c>
      <c r="W110" s="25">
        <f t="shared" si="124"/>
        <v>0.10471975511965978</v>
      </c>
      <c r="X110">
        <f t="shared" si="128"/>
        <v>-2.124798118108036</v>
      </c>
      <c r="Y110">
        <f t="shared" si="129"/>
        <v>-2.584238997031985</v>
      </c>
      <c r="Z110">
        <f t="shared" si="125"/>
        <v>-3.5244126557627102</v>
      </c>
      <c r="AA110">
        <f t="shared" si="126"/>
        <v>-3.2015656949294855</v>
      </c>
      <c r="AB110" s="97"/>
    </row>
    <row r="111" spans="6:28" x14ac:dyDescent="0.3">
      <c r="G111" s="97"/>
      <c r="M111" s="102"/>
      <c r="N111">
        <f t="shared" si="118"/>
        <v>41.400427675537514</v>
      </c>
      <c r="O111">
        <f t="shared" si="119"/>
        <v>7.3515314045373188</v>
      </c>
      <c r="P111">
        <f t="shared" si="120"/>
        <v>6.6804074558448523</v>
      </c>
      <c r="Q111">
        <f t="shared" si="121"/>
        <v>0.35153140453731879</v>
      </c>
      <c r="R111">
        <f t="shared" si="122"/>
        <v>0.31959254415514771</v>
      </c>
      <c r="S111">
        <f t="shared" si="127"/>
        <v>6.9218545687713542</v>
      </c>
      <c r="T111">
        <f t="shared" si="123"/>
        <v>7.0710454225656889</v>
      </c>
      <c r="U111" s="97"/>
      <c r="V111" s="25">
        <v>7</v>
      </c>
      <c r="W111" s="25">
        <f t="shared" si="124"/>
        <v>0.12217304763960307</v>
      </c>
      <c r="X111">
        <f t="shared" si="128"/>
        <v>-3.1037408583617512</v>
      </c>
      <c r="Y111">
        <f t="shared" si="129"/>
        <v>-3.6026825863920795</v>
      </c>
      <c r="Z111">
        <f t="shared" si="125"/>
        <v>-3.5244126557627102</v>
      </c>
      <c r="AA111">
        <f t="shared" si="126"/>
        <v>-3.2015656949294855</v>
      </c>
      <c r="AB111" s="97"/>
    </row>
    <row r="112" spans="6:28" x14ac:dyDescent="0.3">
      <c r="G112" s="97"/>
      <c r="M112" s="102"/>
      <c r="N112">
        <f t="shared" si="118"/>
        <v>36.169796088786391</v>
      </c>
      <c r="O112">
        <f t="shared" si="119"/>
        <v>8.4616542531871186</v>
      </c>
      <c r="P112">
        <f t="shared" si="120"/>
        <v>7.5858341464600265</v>
      </c>
      <c r="Q112">
        <f t="shared" si="121"/>
        <v>0.46165425318711861</v>
      </c>
      <c r="R112">
        <f t="shared" si="122"/>
        <v>0.41416585353997348</v>
      </c>
      <c r="S112">
        <f t="shared" si="127"/>
        <v>7.8973742595165035</v>
      </c>
      <c r="T112">
        <f t="shared" si="123"/>
        <v>8.0920690692419353</v>
      </c>
      <c r="U112" s="97"/>
      <c r="V112" s="25">
        <v>8</v>
      </c>
      <c r="W112" s="25">
        <f t="shared" si="124"/>
        <v>0.13962634015954636</v>
      </c>
      <c r="X112">
        <f t="shared" si="128"/>
        <v>-4.0792605491069001</v>
      </c>
      <c r="Y112">
        <f t="shared" si="129"/>
        <v>-4.6237062330683258</v>
      </c>
      <c r="Z112">
        <f t="shared" si="125"/>
        <v>-3.5244126557627102</v>
      </c>
      <c r="AA112">
        <f t="shared" si="126"/>
        <v>-3.2015656949294855</v>
      </c>
      <c r="AB112" s="97"/>
    </row>
    <row r="113" spans="6:28" x14ac:dyDescent="0.3">
      <c r="G113" s="97"/>
      <c r="M113" s="102"/>
      <c r="N113">
        <f t="shared" si="118"/>
        <v>32.094903532931468</v>
      </c>
      <c r="O113">
        <f t="shared" si="119"/>
        <v>9.5873420661004971</v>
      </c>
      <c r="P113">
        <f t="shared" si="120"/>
        <v>8.4799710928606782</v>
      </c>
      <c r="Q113">
        <f t="shared" si="121"/>
        <v>0.58734206610049711</v>
      </c>
      <c r="R113">
        <f t="shared" si="122"/>
        <v>0.52002890713932182</v>
      </c>
      <c r="S113">
        <f t="shared" si="127"/>
        <v>8.8694338587058592</v>
      </c>
      <c r="T113">
        <f t="shared" si="123"/>
        <v>9.1156024260570714</v>
      </c>
      <c r="U113" s="97"/>
      <c r="V113" s="25">
        <v>9</v>
      </c>
      <c r="W113" s="25">
        <f t="shared" si="124"/>
        <v>0.15707963267948966</v>
      </c>
      <c r="X113">
        <f t="shared" si="128"/>
        <v>-5.0513201482962558</v>
      </c>
      <c r="Y113">
        <f t="shared" si="129"/>
        <v>-5.647239589883462</v>
      </c>
      <c r="Z113">
        <f t="shared" si="125"/>
        <v>-3.5244126557627102</v>
      </c>
      <c r="AA113">
        <f t="shared" si="126"/>
        <v>-3.2015656949294855</v>
      </c>
      <c r="AB113" s="97"/>
    </row>
    <row r="114" spans="6:28" x14ac:dyDescent="0.3">
      <c r="G114" s="97"/>
      <c r="M114" s="102"/>
      <c r="N114">
        <f t="shared" si="118"/>
        <v>28.82901591639002</v>
      </c>
      <c r="O114">
        <f t="shared" si="119"/>
        <v>10.728737343023939</v>
      </c>
      <c r="P114">
        <f t="shared" si="120"/>
        <v>9.3631353217970563</v>
      </c>
      <c r="Q114">
        <f t="shared" si="121"/>
        <v>0.72873734302393878</v>
      </c>
      <c r="R114">
        <f t="shared" si="122"/>
        <v>0.63686467820294368</v>
      </c>
      <c r="S114">
        <f t="shared" si="127"/>
        <v>9.8380016886457788</v>
      </c>
      <c r="T114">
        <f t="shared" si="123"/>
        <v>10.141575017964515</v>
      </c>
      <c r="U114" s="97"/>
      <c r="V114" s="25">
        <v>10</v>
      </c>
      <c r="W114" s="25">
        <f t="shared" si="124"/>
        <v>0.17453292519943295</v>
      </c>
      <c r="X114">
        <f t="shared" si="128"/>
        <v>-6.0198879782361754</v>
      </c>
      <c r="Y114">
        <f t="shared" si="129"/>
        <v>-6.6732121817909054</v>
      </c>
      <c r="Z114">
        <f t="shared" si="125"/>
        <v>-3.5244126557627102</v>
      </c>
      <c r="AA114">
        <f t="shared" si="126"/>
        <v>-3.2015656949294855</v>
      </c>
      <c r="AB114" s="97"/>
    </row>
    <row r="115" spans="6:28" x14ac:dyDescent="0.3">
      <c r="G115" s="97"/>
      <c r="M115" s="102"/>
      <c r="N115">
        <f t="shared" si="118"/>
        <v>26.151482914515743</v>
      </c>
      <c r="O115">
        <f t="shared" si="119"/>
        <v>11.88595612490643</v>
      </c>
      <c r="P115">
        <f t="shared" si="120"/>
        <v>10.235643783795052</v>
      </c>
      <c r="Q115">
        <f t="shared" si="121"/>
        <v>0.88595612490643028</v>
      </c>
      <c r="R115">
        <f t="shared" si="122"/>
        <v>0.76435621620494842</v>
      </c>
      <c r="S115">
        <f t="shared" si="127"/>
        <v>10.8030519534333</v>
      </c>
      <c r="T115">
        <f t="shared" si="123"/>
        <v>11.16991638686236</v>
      </c>
      <c r="U115" s="97"/>
      <c r="V115" s="25">
        <v>11</v>
      </c>
      <c r="W115" s="25">
        <f t="shared" si="124"/>
        <v>0.19198621771937624</v>
      </c>
      <c r="X115">
        <f t="shared" si="128"/>
        <v>-6.9849382430236968</v>
      </c>
      <c r="Y115">
        <f t="shared" si="129"/>
        <v>-7.7015535506887502</v>
      </c>
      <c r="Z115">
        <f t="shared" si="125"/>
        <v>-3.5244126557627102</v>
      </c>
      <c r="AA115">
        <f t="shared" si="126"/>
        <v>-3.2015656949294855</v>
      </c>
      <c r="AB115" s="97"/>
    </row>
    <row r="116" spans="6:28" x14ac:dyDescent="0.3">
      <c r="G116" s="97"/>
      <c r="M116" s="102"/>
      <c r="N116">
        <f t="shared" si="118"/>
        <v>23.915203056515473</v>
      </c>
      <c r="O116">
        <f t="shared" si="119"/>
        <v>13.059085601584721</v>
      </c>
      <c r="P116">
        <f t="shared" si="120"/>
        <v>11.097812774466078</v>
      </c>
      <c r="Q116">
        <f t="shared" si="121"/>
        <v>1.0590856015847212</v>
      </c>
      <c r="R116">
        <f t="shared" si="122"/>
        <v>0.90218722553392183</v>
      </c>
      <c r="S116">
        <f t="shared" si="127"/>
        <v>11.764565270767717</v>
      </c>
      <c r="T116">
        <f t="shared" si="123"/>
        <v>12.200556220236191</v>
      </c>
      <c r="U116" s="97"/>
      <c r="V116" s="25">
        <v>12</v>
      </c>
      <c r="W116" s="25">
        <f t="shared" si="124"/>
        <v>0.20943951023931956</v>
      </c>
      <c r="X116">
        <f t="shared" si="128"/>
        <v>-7.9464515603581134</v>
      </c>
      <c r="Y116">
        <f t="shared" si="129"/>
        <v>-8.7321933840625814</v>
      </c>
      <c r="Z116">
        <f t="shared" si="125"/>
        <v>-3.5244126557627102</v>
      </c>
      <c r="AA116">
        <f t="shared" si="126"/>
        <v>-3.2015656949294855</v>
      </c>
      <c r="AB116" s="97"/>
    </row>
    <row r="117" spans="6:28" x14ac:dyDescent="0.3">
      <c r="G117" s="97"/>
      <c r="M117" s="102"/>
      <c r="N117">
        <f t="shared" si="118"/>
        <v>22.018335694277788</v>
      </c>
      <c r="O117">
        <f t="shared" si="119"/>
        <v>14.248181671519944</v>
      </c>
      <c r="P117">
        <f t="shared" si="120"/>
        <v>11.949957423698619</v>
      </c>
      <c r="Q117">
        <f t="shared" si="121"/>
        <v>1.2481816715199443</v>
      </c>
      <c r="R117">
        <f t="shared" si="122"/>
        <v>1.0500425763013812</v>
      </c>
      <c r="S117">
        <f t="shared" si="127"/>
        <v>12.722529214421117</v>
      </c>
      <c r="T117">
        <f t="shared" si="123"/>
        <v>13.233424464711797</v>
      </c>
      <c r="U117" s="97"/>
      <c r="V117" s="25">
        <v>13</v>
      </c>
      <c r="W117" s="25">
        <f t="shared" si="124"/>
        <v>0.22689280275926285</v>
      </c>
      <c r="X117">
        <f t="shared" si="128"/>
        <v>-8.9044155040115136</v>
      </c>
      <c r="Y117">
        <f t="shared" si="129"/>
        <v>-9.7650616285381879</v>
      </c>
      <c r="Z117">
        <f t="shared" si="125"/>
        <v>-3.5244126557627102</v>
      </c>
      <c r="AA117">
        <f t="shared" si="126"/>
        <v>-3.2015656949294855</v>
      </c>
      <c r="AB117" s="102"/>
    </row>
    <row r="118" spans="6:28" x14ac:dyDescent="0.3">
      <c r="G118" s="97"/>
      <c r="M118" s="102"/>
      <c r="N118">
        <f t="shared" si="118"/>
        <v>20.388136412140543</v>
      </c>
      <c r="O118">
        <f t="shared" si="119"/>
        <v>15.45326647336689</v>
      </c>
      <c r="P118">
        <f t="shared" si="120"/>
        <v>12.792391247981996</v>
      </c>
      <c r="Q118">
        <f t="shared" si="121"/>
        <v>1.4532664733668899</v>
      </c>
      <c r="R118">
        <f t="shared" si="122"/>
        <v>1.2076087520180039</v>
      </c>
      <c r="S118">
        <f t="shared" si="127"/>
        <v>13.676938862970541</v>
      </c>
      <c r="T118">
        <f t="shared" si="123"/>
        <v>14.268451425573602</v>
      </c>
      <c r="U118" s="97"/>
      <c r="V118" s="25">
        <v>14</v>
      </c>
      <c r="W118" s="25">
        <f t="shared" si="124"/>
        <v>0.24434609527920614</v>
      </c>
      <c r="X118">
        <f t="shared" si="128"/>
        <v>-9.8588251525609376</v>
      </c>
      <c r="Y118">
        <f t="shared" si="129"/>
        <v>-10.800088589399993</v>
      </c>
      <c r="Z118">
        <f t="shared" si="125"/>
        <v>-3.5244126557627102</v>
      </c>
      <c r="AA118">
        <f t="shared" si="126"/>
        <v>-3.2015656949294855</v>
      </c>
      <c r="AB118" s="102"/>
    </row>
    <row r="119" spans="6:28" x14ac:dyDescent="0.3">
      <c r="G119" s="97"/>
      <c r="M119" s="102"/>
      <c r="N119">
        <f t="shared" si="118"/>
        <v>18.971258271808459</v>
      </c>
      <c r="O119">
        <f t="shared" si="119"/>
        <v>16.674325912334528</v>
      </c>
      <c r="P119">
        <f t="shared" si="120"/>
        <v>13.625425761261335</v>
      </c>
      <c r="Q119">
        <f t="shared" si="121"/>
        <v>1.6743259123345275</v>
      </c>
      <c r="R119">
        <f t="shared" si="122"/>
        <v>1.3745742387386652</v>
      </c>
      <c r="S119">
        <f t="shared" si="127"/>
        <v>14.627797349688034</v>
      </c>
      <c r="T119">
        <f t="shared" si="123"/>
        <v>15.305567853271604</v>
      </c>
      <c r="U119" s="97"/>
      <c r="V119" s="25">
        <v>15</v>
      </c>
      <c r="W119" s="25">
        <f t="shared" si="124"/>
        <v>0.26179938779914941</v>
      </c>
      <c r="X119">
        <f t="shared" si="128"/>
        <v>-10.809683639278431</v>
      </c>
      <c r="Y119">
        <f t="shared" si="129"/>
        <v>-11.837205017097995</v>
      </c>
      <c r="Z119">
        <f t="shared" si="125"/>
        <v>-3.5244126557627102</v>
      </c>
      <c r="AA119">
        <f t="shared" si="126"/>
        <v>-3.2015656949294855</v>
      </c>
      <c r="AB119" s="102"/>
    </row>
    <row r="120" spans="6:28" x14ac:dyDescent="0.3"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</row>
    <row r="121" spans="6:28" x14ac:dyDescent="0.3">
      <c r="F121" s="19">
        <v>600</v>
      </c>
      <c r="G121" s="97"/>
      <c r="H121">
        <f>SQRT(('Input + Tire Forces'!$L$5*386.4)*F121)</f>
        <v>627.79614525735974</v>
      </c>
      <c r="I121">
        <f t="shared" si="26"/>
        <v>-656.87999999999988</v>
      </c>
      <c r="J121">
        <f t="shared" si="27"/>
        <v>-1.0463269087622662</v>
      </c>
      <c r="K121">
        <v>0</v>
      </c>
      <c r="L121">
        <f t="shared" si="28"/>
        <v>0</v>
      </c>
      <c r="M121" s="102"/>
      <c r="N121">
        <v>0</v>
      </c>
      <c r="O121">
        <v>0</v>
      </c>
      <c r="P121">
        <v>0</v>
      </c>
      <c r="Q121">
        <f>O121-V121</f>
        <v>0</v>
      </c>
      <c r="R121">
        <f>V121-P121</f>
        <v>0</v>
      </c>
      <c r="S121">
        <f>V121+($B$9*Q121)+$B$10</f>
        <v>0</v>
      </c>
      <c r="T121">
        <f>V121-($B$9*R121)-$B$10</f>
        <v>0</v>
      </c>
      <c r="U121" s="97"/>
      <c r="V121" s="25">
        <v>0</v>
      </c>
      <c r="W121" s="25">
        <f>V121*(PI()/180)</f>
        <v>0</v>
      </c>
      <c r="X121">
        <f>-(($L$121+($J$121*$B$2))/($H$121+($J$121*($B$4/2))))*(180/PI())</f>
        <v>3.1552467467968257</v>
      </c>
      <c r="Y121">
        <f>-(($L$121+($J$121*$B$2))/($H$121-($J$121*($B$4/2))))*(180/PI())</f>
        <v>2.9125354585816847</v>
      </c>
      <c r="Z121">
        <f>-(($L$121-($J$121*$B$3))/($H$121+($J$121*($B$5/2))))*(180/PI())</f>
        <v>-2.9125354585816843</v>
      </c>
      <c r="AA121">
        <f>-(($L$121-($J$121*$B$3))/($H$121-($J$121*($B$5/2))))*(180/PI())</f>
        <v>-2.688494269460016</v>
      </c>
      <c r="AB121" s="97"/>
    </row>
    <row r="122" spans="6:28" x14ac:dyDescent="0.3">
      <c r="G122" s="97"/>
      <c r="M122" s="102"/>
      <c r="N122">
        <f t="shared" ref="N122:N136" si="130">($D$6/TAN(W122))</f>
        <v>291.22397162302707</v>
      </c>
      <c r="O122">
        <f t="shared" ref="O122:O136" si="131">DEGREES(ATAN(($D$6/(N122-(($B$4/2)/12)))))</f>
        <v>1.0069136373297729</v>
      </c>
      <c r="P122">
        <f t="shared" ref="P122:P136" si="132">DEGREES(ATAN(($D$6/(N122+(($B$4/2)/12)))))</f>
        <v>0.99318064617350288</v>
      </c>
      <c r="Q122">
        <f t="shared" ref="Q122:Q136" si="133">O122-V122</f>
        <v>6.9136373297729037E-3</v>
      </c>
      <c r="R122">
        <f t="shared" ref="R122:R136" si="134">V122-P122</f>
        <v>6.819353826497121E-3</v>
      </c>
      <c r="S122">
        <f>V122+($B$9*Q122)+$B$10</f>
        <v>0.99846309842159153</v>
      </c>
      <c r="T122">
        <f t="shared" ref="T122:T136" si="135">V122-($B$9*R122)-$B$10</f>
        <v>1.0015159423556304</v>
      </c>
      <c r="U122" s="97"/>
      <c r="V122" s="25">
        <v>1</v>
      </c>
      <c r="W122" s="25">
        <f t="shared" ref="W122:W136" si="136">V122*(PI()/180)</f>
        <v>1.7453292519943295E-2</v>
      </c>
      <c r="X122">
        <f>$X$121-S122</f>
        <v>2.1567836483752343</v>
      </c>
      <c r="Y122">
        <f>$Y$121-T122</f>
        <v>1.9110195162260544</v>
      </c>
      <c r="Z122">
        <f t="shared" ref="Z122:Z136" si="137">-(($L$121-($J$121*$B$3))/($H$121+($J$121*($B$5/2))))*(180/PI())</f>
        <v>-2.9125354585816843</v>
      </c>
      <c r="AA122">
        <f t="shared" ref="AA122:AA136" si="138">-(($L$121-($J$121*$B$3))/($H$121-($J$121*($B$5/2))))*(180/PI())</f>
        <v>-2.688494269460016</v>
      </c>
      <c r="AB122" s="97"/>
    </row>
    <row r="123" spans="6:28" x14ac:dyDescent="0.3">
      <c r="G123" s="97"/>
      <c r="M123" s="102"/>
      <c r="N123">
        <f t="shared" si="130"/>
        <v>145.56762085482097</v>
      </c>
      <c r="O123">
        <f t="shared" si="131"/>
        <v>2.0278383342160931</v>
      </c>
      <c r="P123">
        <f t="shared" si="132"/>
        <v>1.9729153509744273</v>
      </c>
      <c r="Q123">
        <f t="shared" si="133"/>
        <v>2.7838334216093052E-2</v>
      </c>
      <c r="R123">
        <f t="shared" si="134"/>
        <v>2.7084649025572727E-2</v>
      </c>
      <c r="S123">
        <f t="shared" ref="S123:S136" si="139">V123+($B$9*Q123)+$B$10</f>
        <v>1.9938115383037625</v>
      </c>
      <c r="T123">
        <f t="shared" si="135"/>
        <v>2.0060209174783847</v>
      </c>
      <c r="U123" s="97"/>
      <c r="V123" s="25">
        <v>2</v>
      </c>
      <c r="W123" s="25">
        <f t="shared" si="136"/>
        <v>3.4906585039886591E-2</v>
      </c>
      <c r="X123">
        <f t="shared" ref="X123:X136" si="140">$X$121-S123</f>
        <v>1.1614352084930633</v>
      </c>
      <c r="Y123">
        <f t="shared" ref="Y123:Y136" si="141">$Y$121-T123</f>
        <v>0.90651454110329999</v>
      </c>
      <c r="Z123">
        <f t="shared" si="137"/>
        <v>-2.9125354585816843</v>
      </c>
      <c r="AA123">
        <f t="shared" si="138"/>
        <v>-2.688494269460016</v>
      </c>
      <c r="AB123" s="97"/>
    </row>
    <row r="124" spans="6:28" x14ac:dyDescent="0.3">
      <c r="G124" s="97"/>
      <c r="M124" s="102"/>
      <c r="N124">
        <f t="shared" si="130"/>
        <v>96.995778162618393</v>
      </c>
      <c r="O124">
        <f t="shared" si="131"/>
        <v>3.0630416649496421</v>
      </c>
      <c r="P124">
        <f t="shared" si="132"/>
        <v>2.9394987432632744</v>
      </c>
      <c r="Q124">
        <f t="shared" si="133"/>
        <v>6.304166494964214E-2</v>
      </c>
      <c r="R124">
        <f t="shared" si="134"/>
        <v>6.0501256736725573E-2</v>
      </c>
      <c r="S124">
        <f t="shared" si="139"/>
        <v>2.9859858378816946</v>
      </c>
      <c r="T124">
        <f t="shared" si="135"/>
        <v>3.013449429372574</v>
      </c>
      <c r="U124" s="97"/>
      <c r="V124" s="25">
        <v>3</v>
      </c>
      <c r="W124" s="25">
        <f t="shared" si="136"/>
        <v>5.235987755982989E-2</v>
      </c>
      <c r="X124">
        <f t="shared" si="140"/>
        <v>0.16926090891513113</v>
      </c>
      <c r="Y124">
        <f t="shared" si="141"/>
        <v>-0.10091397079088926</v>
      </c>
      <c r="Z124">
        <f t="shared" si="137"/>
        <v>-2.9125354585816843</v>
      </c>
      <c r="AA124">
        <f t="shared" si="138"/>
        <v>-2.688494269460016</v>
      </c>
      <c r="AB124" s="97"/>
    </row>
    <row r="125" spans="6:28" x14ac:dyDescent="0.3">
      <c r="G125" s="97"/>
      <c r="M125" s="102"/>
      <c r="N125">
        <f t="shared" si="130"/>
        <v>72.695053471618962</v>
      </c>
      <c r="O125">
        <f t="shared" si="131"/>
        <v>4.1127790850781825</v>
      </c>
      <c r="P125">
        <f t="shared" si="132"/>
        <v>3.8932317366729894</v>
      </c>
      <c r="Q125">
        <f t="shared" si="133"/>
        <v>0.11277908507818246</v>
      </c>
      <c r="R125">
        <f t="shared" si="134"/>
        <v>0.10676826332701062</v>
      </c>
      <c r="S125">
        <f t="shared" si="139"/>
        <v>3.97492920938712</v>
      </c>
      <c r="T125">
        <f t="shared" si="135"/>
        <v>4.0237345849375945</v>
      </c>
      <c r="U125" s="97"/>
      <c r="V125" s="25">
        <v>4</v>
      </c>
      <c r="W125" s="25">
        <f t="shared" si="136"/>
        <v>6.9813170079773182E-2</v>
      </c>
      <c r="X125">
        <f t="shared" si="140"/>
        <v>-0.81968246259029431</v>
      </c>
      <c r="Y125">
        <f t="shared" si="141"/>
        <v>-1.1111991263559098</v>
      </c>
      <c r="Z125">
        <f t="shared" si="137"/>
        <v>-2.9125354585816843</v>
      </c>
      <c r="AA125">
        <f t="shared" si="138"/>
        <v>-2.688494269460016</v>
      </c>
      <c r="AB125" s="97"/>
    </row>
    <row r="126" spans="6:28" x14ac:dyDescent="0.3">
      <c r="G126" s="97"/>
      <c r="M126" s="102"/>
      <c r="N126">
        <f t="shared" si="130"/>
        <v>58.102765872370156</v>
      </c>
      <c r="O126">
        <f t="shared" si="131"/>
        <v>5.1772921945012662</v>
      </c>
      <c r="P126">
        <f t="shared" si="132"/>
        <v>4.834420340135833</v>
      </c>
      <c r="Q126">
        <f t="shared" si="133"/>
        <v>0.17729219450126621</v>
      </c>
      <c r="R126">
        <f t="shared" si="134"/>
        <v>0.16557965986416701</v>
      </c>
      <c r="S126">
        <f t="shared" si="139"/>
        <v>4.9605879451623682</v>
      </c>
      <c r="T126">
        <f t="shared" si="135"/>
        <v>5.0368083583878045</v>
      </c>
      <c r="U126" s="97"/>
      <c r="V126" s="25">
        <v>5</v>
      </c>
      <c r="W126" s="25">
        <f t="shared" si="136"/>
        <v>8.7266462599716474E-2</v>
      </c>
      <c r="X126">
        <f t="shared" si="140"/>
        <v>-1.8053411983655425</v>
      </c>
      <c r="Y126">
        <f t="shared" si="141"/>
        <v>-2.1242728998061198</v>
      </c>
      <c r="Z126">
        <f t="shared" si="137"/>
        <v>-2.9125354585816843</v>
      </c>
      <c r="AA126">
        <f t="shared" si="138"/>
        <v>-2.688494269460016</v>
      </c>
      <c r="AB126" s="97"/>
    </row>
    <row r="127" spans="6:28" x14ac:dyDescent="0.3">
      <c r="G127" s="97"/>
      <c r="M127" s="102"/>
      <c r="N127">
        <f t="shared" si="130"/>
        <v>48.364685975631467</v>
      </c>
      <c r="O127">
        <f t="shared" si="131"/>
        <v>6.2568068892593844</v>
      </c>
      <c r="P127">
        <f t="shared" si="132"/>
        <v>5.7633745694755074</v>
      </c>
      <c r="Q127">
        <f t="shared" si="133"/>
        <v>0.25680688925938444</v>
      </c>
      <c r="R127">
        <f t="shared" si="134"/>
        <v>0.23662543052449259</v>
      </c>
      <c r="S127">
        <f t="shared" si="139"/>
        <v>5.942911828517639</v>
      </c>
      <c r="T127">
        <f t="shared" si="135"/>
        <v>6.0526018332055944</v>
      </c>
      <c r="U127" s="97"/>
      <c r="V127" s="25">
        <v>6</v>
      </c>
      <c r="W127" s="25">
        <f t="shared" si="136"/>
        <v>0.10471975511965978</v>
      </c>
      <c r="X127">
        <f t="shared" si="140"/>
        <v>-2.7876650817208133</v>
      </c>
      <c r="Y127">
        <f t="shared" si="141"/>
        <v>-3.1400663746239097</v>
      </c>
      <c r="Z127">
        <f t="shared" si="137"/>
        <v>-2.9125354585816843</v>
      </c>
      <c r="AA127">
        <f t="shared" si="138"/>
        <v>-2.688494269460016</v>
      </c>
      <c r="AB127" s="97"/>
    </row>
    <row r="128" spans="6:28" x14ac:dyDescent="0.3">
      <c r="G128" s="97"/>
      <c r="M128" s="102"/>
      <c r="N128">
        <f t="shared" si="130"/>
        <v>41.400427675537514</v>
      </c>
      <c r="O128">
        <f t="shared" si="131"/>
        <v>7.3515314045373188</v>
      </c>
      <c r="P128">
        <f t="shared" si="132"/>
        <v>6.6804074558448523</v>
      </c>
      <c r="Q128">
        <f t="shared" si="133"/>
        <v>0.35153140453731879</v>
      </c>
      <c r="R128">
        <f t="shared" si="134"/>
        <v>0.31959254415514771</v>
      </c>
      <c r="S128">
        <f t="shared" si="139"/>
        <v>6.9218545687713542</v>
      </c>
      <c r="T128">
        <f t="shared" si="135"/>
        <v>7.0710454225656889</v>
      </c>
      <c r="U128" s="97"/>
      <c r="V128" s="25">
        <v>7</v>
      </c>
      <c r="W128" s="25">
        <f t="shared" si="136"/>
        <v>0.12217304763960307</v>
      </c>
      <c r="X128">
        <f t="shared" si="140"/>
        <v>-3.7666078219745285</v>
      </c>
      <c r="Y128">
        <f t="shared" si="141"/>
        <v>-4.1585099639840042</v>
      </c>
      <c r="Z128">
        <f t="shared" si="137"/>
        <v>-2.9125354585816843</v>
      </c>
      <c r="AA128">
        <f t="shared" si="138"/>
        <v>-2.688494269460016</v>
      </c>
      <c r="AB128" s="97"/>
    </row>
    <row r="129" spans="6:28" x14ac:dyDescent="0.3">
      <c r="G129" s="97"/>
      <c r="M129" s="102"/>
      <c r="N129">
        <f t="shared" si="130"/>
        <v>36.169796088786391</v>
      </c>
      <c r="O129">
        <f t="shared" si="131"/>
        <v>8.4616542531871186</v>
      </c>
      <c r="P129">
        <f t="shared" si="132"/>
        <v>7.5858341464600265</v>
      </c>
      <c r="Q129">
        <f t="shared" si="133"/>
        <v>0.46165425318711861</v>
      </c>
      <c r="R129">
        <f t="shared" si="134"/>
        <v>0.41416585353997348</v>
      </c>
      <c r="S129">
        <f t="shared" si="139"/>
        <v>7.8973742595165035</v>
      </c>
      <c r="T129">
        <f t="shared" si="135"/>
        <v>8.0920690692419353</v>
      </c>
      <c r="U129" s="97"/>
      <c r="V129" s="25">
        <v>8</v>
      </c>
      <c r="W129" s="25">
        <f t="shared" si="136"/>
        <v>0.13962634015954636</v>
      </c>
      <c r="X129">
        <f t="shared" si="140"/>
        <v>-4.7421275127196783</v>
      </c>
      <c r="Y129">
        <f t="shared" si="141"/>
        <v>-5.1795336106602505</v>
      </c>
      <c r="Z129">
        <f t="shared" si="137"/>
        <v>-2.9125354585816843</v>
      </c>
      <c r="AA129">
        <f t="shared" si="138"/>
        <v>-2.688494269460016</v>
      </c>
      <c r="AB129" s="97"/>
    </row>
    <row r="130" spans="6:28" x14ac:dyDescent="0.3">
      <c r="G130" s="97"/>
      <c r="M130" s="102"/>
      <c r="N130">
        <f t="shared" si="130"/>
        <v>32.094903532931468</v>
      </c>
      <c r="O130">
        <f t="shared" si="131"/>
        <v>9.5873420661004971</v>
      </c>
      <c r="P130">
        <f t="shared" si="132"/>
        <v>8.4799710928606782</v>
      </c>
      <c r="Q130">
        <f t="shared" si="133"/>
        <v>0.58734206610049711</v>
      </c>
      <c r="R130">
        <f t="shared" si="134"/>
        <v>0.52002890713932182</v>
      </c>
      <c r="S130">
        <f t="shared" si="139"/>
        <v>8.8694338587058592</v>
      </c>
      <c r="T130">
        <f t="shared" si="135"/>
        <v>9.1156024260570714</v>
      </c>
      <c r="U130" s="97"/>
      <c r="V130" s="25">
        <v>9</v>
      </c>
      <c r="W130" s="25">
        <f t="shared" si="136"/>
        <v>0.15707963267948966</v>
      </c>
      <c r="X130">
        <f t="shared" si="140"/>
        <v>-5.7141871119090339</v>
      </c>
      <c r="Y130">
        <f t="shared" si="141"/>
        <v>-6.2030669674753867</v>
      </c>
      <c r="Z130">
        <f t="shared" si="137"/>
        <v>-2.9125354585816843</v>
      </c>
      <c r="AA130">
        <f t="shared" si="138"/>
        <v>-2.688494269460016</v>
      </c>
      <c r="AB130" s="97"/>
    </row>
    <row r="131" spans="6:28" x14ac:dyDescent="0.3">
      <c r="G131" s="97"/>
      <c r="M131" s="102"/>
      <c r="N131">
        <f t="shared" si="130"/>
        <v>28.82901591639002</v>
      </c>
      <c r="O131">
        <f t="shared" si="131"/>
        <v>10.728737343023939</v>
      </c>
      <c r="P131">
        <f t="shared" si="132"/>
        <v>9.3631353217970563</v>
      </c>
      <c r="Q131">
        <f t="shared" si="133"/>
        <v>0.72873734302393878</v>
      </c>
      <c r="R131">
        <f t="shared" si="134"/>
        <v>0.63686467820294368</v>
      </c>
      <c r="S131">
        <f t="shared" si="139"/>
        <v>9.8380016886457788</v>
      </c>
      <c r="T131">
        <f t="shared" si="135"/>
        <v>10.141575017964515</v>
      </c>
      <c r="U131" s="97"/>
      <c r="V131" s="25">
        <v>10</v>
      </c>
      <c r="W131" s="25">
        <f t="shared" si="136"/>
        <v>0.17453292519943295</v>
      </c>
      <c r="X131">
        <f t="shared" si="140"/>
        <v>-6.6827549418489536</v>
      </c>
      <c r="Y131">
        <f t="shared" si="141"/>
        <v>-7.22903955938283</v>
      </c>
      <c r="Z131">
        <f t="shared" si="137"/>
        <v>-2.9125354585816843</v>
      </c>
      <c r="AA131">
        <f t="shared" si="138"/>
        <v>-2.688494269460016</v>
      </c>
      <c r="AB131" s="97"/>
    </row>
    <row r="132" spans="6:28" x14ac:dyDescent="0.3">
      <c r="G132" s="97"/>
      <c r="M132" s="102"/>
      <c r="N132">
        <f t="shared" si="130"/>
        <v>26.151482914515743</v>
      </c>
      <c r="O132">
        <f t="shared" si="131"/>
        <v>11.88595612490643</v>
      </c>
      <c r="P132">
        <f t="shared" si="132"/>
        <v>10.235643783795052</v>
      </c>
      <c r="Q132">
        <f t="shared" si="133"/>
        <v>0.88595612490643028</v>
      </c>
      <c r="R132">
        <f t="shared" si="134"/>
        <v>0.76435621620494842</v>
      </c>
      <c r="S132">
        <f t="shared" si="139"/>
        <v>10.8030519534333</v>
      </c>
      <c r="T132">
        <f t="shared" si="135"/>
        <v>11.16991638686236</v>
      </c>
      <c r="U132" s="97"/>
      <c r="V132" s="25">
        <v>11</v>
      </c>
      <c r="W132" s="25">
        <f t="shared" si="136"/>
        <v>0.19198621771937624</v>
      </c>
      <c r="X132">
        <f t="shared" si="140"/>
        <v>-7.647805206636475</v>
      </c>
      <c r="Y132">
        <f t="shared" si="141"/>
        <v>-8.2573809282806749</v>
      </c>
      <c r="Z132">
        <f t="shared" si="137"/>
        <v>-2.9125354585816843</v>
      </c>
      <c r="AA132">
        <f t="shared" si="138"/>
        <v>-2.688494269460016</v>
      </c>
      <c r="AB132" s="97"/>
    </row>
    <row r="133" spans="6:28" x14ac:dyDescent="0.3">
      <c r="G133" s="97"/>
      <c r="M133" s="102"/>
      <c r="N133">
        <f t="shared" si="130"/>
        <v>23.915203056515473</v>
      </c>
      <c r="O133">
        <f t="shared" si="131"/>
        <v>13.059085601584721</v>
      </c>
      <c r="P133">
        <f t="shared" si="132"/>
        <v>11.097812774466078</v>
      </c>
      <c r="Q133">
        <f t="shared" si="133"/>
        <v>1.0590856015847212</v>
      </c>
      <c r="R133">
        <f t="shared" si="134"/>
        <v>0.90218722553392183</v>
      </c>
      <c r="S133">
        <f t="shared" si="139"/>
        <v>11.764565270767717</v>
      </c>
      <c r="T133">
        <f t="shared" si="135"/>
        <v>12.200556220236191</v>
      </c>
      <c r="U133" s="97"/>
      <c r="V133" s="25">
        <v>12</v>
      </c>
      <c r="W133" s="25">
        <f t="shared" si="136"/>
        <v>0.20943951023931956</v>
      </c>
      <c r="X133">
        <f t="shared" si="140"/>
        <v>-8.6093185239708916</v>
      </c>
      <c r="Y133">
        <f t="shared" si="141"/>
        <v>-9.2880207616545061</v>
      </c>
      <c r="Z133">
        <f t="shared" si="137"/>
        <v>-2.9125354585816843</v>
      </c>
      <c r="AA133">
        <f t="shared" si="138"/>
        <v>-2.688494269460016</v>
      </c>
      <c r="AB133" s="97"/>
    </row>
    <row r="134" spans="6:28" x14ac:dyDescent="0.3">
      <c r="G134" s="97"/>
      <c r="M134" s="102"/>
      <c r="N134">
        <f t="shared" si="130"/>
        <v>22.018335694277788</v>
      </c>
      <c r="O134">
        <f t="shared" si="131"/>
        <v>14.248181671519944</v>
      </c>
      <c r="P134">
        <f t="shared" si="132"/>
        <v>11.949957423698619</v>
      </c>
      <c r="Q134">
        <f t="shared" si="133"/>
        <v>1.2481816715199443</v>
      </c>
      <c r="R134">
        <f t="shared" si="134"/>
        <v>1.0500425763013812</v>
      </c>
      <c r="S134">
        <f t="shared" si="139"/>
        <v>12.722529214421117</v>
      </c>
      <c r="T134">
        <f t="shared" si="135"/>
        <v>13.233424464711797</v>
      </c>
      <c r="U134" s="97"/>
      <c r="V134" s="25">
        <v>13</v>
      </c>
      <c r="W134" s="25">
        <f t="shared" si="136"/>
        <v>0.22689280275926285</v>
      </c>
      <c r="X134">
        <f t="shared" si="140"/>
        <v>-9.5672824676242918</v>
      </c>
      <c r="Y134">
        <f t="shared" si="141"/>
        <v>-10.320889006130113</v>
      </c>
      <c r="Z134">
        <f t="shared" si="137"/>
        <v>-2.9125354585816843</v>
      </c>
      <c r="AA134">
        <f t="shared" si="138"/>
        <v>-2.688494269460016</v>
      </c>
      <c r="AB134" s="102"/>
    </row>
    <row r="135" spans="6:28" x14ac:dyDescent="0.3">
      <c r="G135" s="97"/>
      <c r="M135" s="102"/>
      <c r="N135">
        <f t="shared" si="130"/>
        <v>20.388136412140543</v>
      </c>
      <c r="O135">
        <f t="shared" si="131"/>
        <v>15.45326647336689</v>
      </c>
      <c r="P135">
        <f t="shared" si="132"/>
        <v>12.792391247981996</v>
      </c>
      <c r="Q135">
        <f t="shared" si="133"/>
        <v>1.4532664733668899</v>
      </c>
      <c r="R135">
        <f t="shared" si="134"/>
        <v>1.2076087520180039</v>
      </c>
      <c r="S135">
        <f t="shared" si="139"/>
        <v>13.676938862970541</v>
      </c>
      <c r="T135">
        <f t="shared" si="135"/>
        <v>14.268451425573602</v>
      </c>
      <c r="U135" s="97"/>
      <c r="V135" s="25">
        <v>14</v>
      </c>
      <c r="W135" s="25">
        <f t="shared" si="136"/>
        <v>0.24434609527920614</v>
      </c>
      <c r="X135">
        <f t="shared" si="140"/>
        <v>-10.521692116173716</v>
      </c>
      <c r="Y135">
        <f t="shared" si="141"/>
        <v>-11.355915966991917</v>
      </c>
      <c r="Z135">
        <f t="shared" si="137"/>
        <v>-2.9125354585816843</v>
      </c>
      <c r="AA135">
        <f t="shared" si="138"/>
        <v>-2.688494269460016</v>
      </c>
      <c r="AB135" s="102"/>
    </row>
    <row r="136" spans="6:28" x14ac:dyDescent="0.3">
      <c r="G136" s="97"/>
      <c r="M136" s="102"/>
      <c r="N136">
        <f t="shared" si="130"/>
        <v>18.971258271808459</v>
      </c>
      <c r="O136">
        <f t="shared" si="131"/>
        <v>16.674325912334528</v>
      </c>
      <c r="P136">
        <f t="shared" si="132"/>
        <v>13.625425761261335</v>
      </c>
      <c r="Q136">
        <f t="shared" si="133"/>
        <v>1.6743259123345275</v>
      </c>
      <c r="R136">
        <f t="shared" si="134"/>
        <v>1.3745742387386652</v>
      </c>
      <c r="S136">
        <f t="shared" si="139"/>
        <v>14.627797349688034</v>
      </c>
      <c r="T136">
        <f t="shared" si="135"/>
        <v>15.305567853271604</v>
      </c>
      <c r="U136" s="97"/>
      <c r="V136" s="25">
        <v>15</v>
      </c>
      <c r="W136" s="25">
        <f t="shared" si="136"/>
        <v>0.26179938779914941</v>
      </c>
      <c r="X136">
        <f t="shared" si="140"/>
        <v>-11.472550602891209</v>
      </c>
      <c r="Y136">
        <f t="shared" si="141"/>
        <v>-12.39303239468992</v>
      </c>
      <c r="Z136">
        <f t="shared" si="137"/>
        <v>-2.9125354585816843</v>
      </c>
      <c r="AA136">
        <f t="shared" si="138"/>
        <v>-2.688494269460016</v>
      </c>
      <c r="AB136" s="102"/>
    </row>
    <row r="137" spans="6:28" x14ac:dyDescent="0.3"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</row>
    <row r="138" spans="6:28" x14ac:dyDescent="0.3">
      <c r="F138" s="19">
        <v>700</v>
      </c>
      <c r="G138" s="97"/>
      <c r="H138">
        <f>SQRT(('Input + Tire Forces'!$L$5*386.4)*F138)</f>
        <v>678.09733814549077</v>
      </c>
      <c r="I138">
        <f t="shared" si="26"/>
        <v>-656.88000000000011</v>
      </c>
      <c r="J138">
        <f t="shared" si="27"/>
        <v>-0.96871048306498686</v>
      </c>
      <c r="K138">
        <v>0</v>
      </c>
      <c r="L138">
        <f t="shared" si="28"/>
        <v>0</v>
      </c>
      <c r="M138" s="102"/>
      <c r="N138">
        <v>0</v>
      </c>
      <c r="O138">
        <v>0</v>
      </c>
      <c r="P138">
        <v>0</v>
      </c>
      <c r="Q138">
        <f>O138-V138</f>
        <v>0</v>
      </c>
      <c r="R138">
        <f>V138-P138</f>
        <v>0</v>
      </c>
      <c r="S138">
        <f>V138+($B$9*Q138)+$B$10</f>
        <v>0</v>
      </c>
      <c r="T138">
        <f>V138-($B$9*R138)-$B$10</f>
        <v>0</v>
      </c>
      <c r="U138" s="97"/>
      <c r="V138" s="25">
        <v>0</v>
      </c>
      <c r="W138" s="25">
        <f>V138*(PI()/180)</f>
        <v>0</v>
      </c>
      <c r="X138">
        <f>-(($L$138+($J$138*$B$2))/($H$138+($J$138*($B$4/2))))*(180/PI())</f>
        <v>2.6884942694600169</v>
      </c>
      <c r="Y138">
        <f>-(($L$138+($J$138*$B$2))/($H$138-($J$138*($B$4/2))))*(180/PI())</f>
        <v>2.5102515554626676</v>
      </c>
      <c r="Z138">
        <f>-(($L$138-($J$138*$B$3))/($H$138+($J$138*($B$5/2))))*(180/PI())</f>
        <v>-2.4816870179630923</v>
      </c>
      <c r="AA138">
        <f>-(($L$138-($J$138*$B$3))/($H$138-($J$138*($B$5/2))))*(180/PI())</f>
        <v>-2.3171552819655394</v>
      </c>
      <c r="AB138" s="97"/>
    </row>
    <row r="139" spans="6:28" x14ac:dyDescent="0.3">
      <c r="G139" s="97"/>
      <c r="M139" s="102"/>
      <c r="N139">
        <f t="shared" ref="N139:N153" si="142">($D$6/TAN(W139))</f>
        <v>291.22397162302707</v>
      </c>
      <c r="O139">
        <f t="shared" ref="O139:O153" si="143">DEGREES(ATAN(($D$6/(N139-(($B$4/2)/12)))))</f>
        <v>1.0069136373297729</v>
      </c>
      <c r="P139">
        <f t="shared" ref="P139:P153" si="144">DEGREES(ATAN(($D$6/(N139+(($B$4/2)/12)))))</f>
        <v>0.99318064617350288</v>
      </c>
      <c r="Q139">
        <f t="shared" ref="Q139:Q153" si="145">O139-V139</f>
        <v>6.9136373297729037E-3</v>
      </c>
      <c r="R139">
        <f t="shared" ref="R139:R153" si="146">V139-P139</f>
        <v>6.819353826497121E-3</v>
      </c>
      <c r="S139">
        <f>V139+($B$9*Q139)+$B$10</f>
        <v>0.99846309842159153</v>
      </c>
      <c r="T139">
        <f t="shared" ref="T139:T153" si="147">V139-($B$9*R139)-$B$10</f>
        <v>1.0015159423556304</v>
      </c>
      <c r="U139" s="97"/>
      <c r="V139" s="25">
        <v>1</v>
      </c>
      <c r="W139" s="25">
        <f t="shared" ref="W139:W153" si="148">V139*(PI()/180)</f>
        <v>1.7453292519943295E-2</v>
      </c>
      <c r="X139">
        <f>$X$138-S139</f>
        <v>1.6900311710384255</v>
      </c>
      <c r="Y139">
        <f>$Y$138-T139</f>
        <v>1.5087356131070373</v>
      </c>
      <c r="Z139">
        <f t="shared" ref="Z139:Z153" si="149">-(($L$138-($J$138*$B$3))/($H$138+($J$138*($B$5/2))))*(180/PI())</f>
        <v>-2.4816870179630923</v>
      </c>
      <c r="AA139">
        <f t="shared" ref="AA139:AA153" si="150">-(($L$138-($J$138*$B$3))/($H$138-($J$138*($B$5/2))))*(180/PI())</f>
        <v>-2.3171552819655394</v>
      </c>
      <c r="AB139" s="97"/>
    </row>
    <row r="140" spans="6:28" x14ac:dyDescent="0.3">
      <c r="G140" s="97"/>
      <c r="M140" s="102"/>
      <c r="N140">
        <f t="shared" si="142"/>
        <v>145.56762085482097</v>
      </c>
      <c r="O140">
        <f t="shared" si="143"/>
        <v>2.0278383342160931</v>
      </c>
      <c r="P140">
        <f t="shared" si="144"/>
        <v>1.9729153509744273</v>
      </c>
      <c r="Q140">
        <f t="shared" si="145"/>
        <v>2.7838334216093052E-2</v>
      </c>
      <c r="R140">
        <f t="shared" si="146"/>
        <v>2.7084649025572727E-2</v>
      </c>
      <c r="S140">
        <f t="shared" ref="S140:S153" si="151">V140+($B$9*Q140)+$B$10</f>
        <v>1.9938115383037625</v>
      </c>
      <c r="T140">
        <f t="shared" si="147"/>
        <v>2.0060209174783847</v>
      </c>
      <c r="U140" s="97"/>
      <c r="V140" s="25">
        <v>2</v>
      </c>
      <c r="W140" s="25">
        <f t="shared" si="148"/>
        <v>3.4906585039886591E-2</v>
      </c>
      <c r="X140">
        <f t="shared" ref="X140:X153" si="152">$X$138-S140</f>
        <v>0.69468273115625445</v>
      </c>
      <c r="Y140">
        <f t="shared" ref="Y140:Y153" si="153">$Y$138-T140</f>
        <v>0.50423063798428291</v>
      </c>
      <c r="Z140">
        <f t="shared" si="149"/>
        <v>-2.4816870179630923</v>
      </c>
      <c r="AA140">
        <f t="shared" si="150"/>
        <v>-2.3171552819655394</v>
      </c>
      <c r="AB140" s="97"/>
    </row>
    <row r="141" spans="6:28" x14ac:dyDescent="0.3">
      <c r="G141" s="97"/>
      <c r="M141" s="102"/>
      <c r="N141">
        <f t="shared" si="142"/>
        <v>96.995778162618393</v>
      </c>
      <c r="O141">
        <f t="shared" si="143"/>
        <v>3.0630416649496421</v>
      </c>
      <c r="P141">
        <f t="shared" si="144"/>
        <v>2.9394987432632744</v>
      </c>
      <c r="Q141">
        <f t="shared" si="145"/>
        <v>6.304166494964214E-2</v>
      </c>
      <c r="R141">
        <f t="shared" si="146"/>
        <v>6.0501256736725573E-2</v>
      </c>
      <c r="S141">
        <f t="shared" si="151"/>
        <v>2.9859858378816946</v>
      </c>
      <c r="T141">
        <f t="shared" si="147"/>
        <v>3.013449429372574</v>
      </c>
      <c r="U141" s="97"/>
      <c r="V141" s="25">
        <v>3</v>
      </c>
      <c r="W141" s="25">
        <f t="shared" si="148"/>
        <v>5.235987755982989E-2</v>
      </c>
      <c r="X141">
        <f t="shared" si="152"/>
        <v>-0.29749156842167768</v>
      </c>
      <c r="Y141">
        <f t="shared" si="153"/>
        <v>-0.50319787390990633</v>
      </c>
      <c r="Z141">
        <f t="shared" si="149"/>
        <v>-2.4816870179630923</v>
      </c>
      <c r="AA141">
        <f t="shared" si="150"/>
        <v>-2.3171552819655394</v>
      </c>
      <c r="AB141" s="97"/>
    </row>
    <row r="142" spans="6:28" x14ac:dyDescent="0.3">
      <c r="G142" s="97"/>
      <c r="M142" s="102"/>
      <c r="N142">
        <f t="shared" si="142"/>
        <v>72.695053471618962</v>
      </c>
      <c r="O142">
        <f t="shared" si="143"/>
        <v>4.1127790850781825</v>
      </c>
      <c r="P142">
        <f t="shared" si="144"/>
        <v>3.8932317366729894</v>
      </c>
      <c r="Q142">
        <f t="shared" si="145"/>
        <v>0.11277908507818246</v>
      </c>
      <c r="R142">
        <f t="shared" si="146"/>
        <v>0.10676826332701062</v>
      </c>
      <c r="S142">
        <f t="shared" si="151"/>
        <v>3.97492920938712</v>
      </c>
      <c r="T142">
        <f t="shared" si="147"/>
        <v>4.0237345849375945</v>
      </c>
      <c r="U142" s="97"/>
      <c r="V142" s="25">
        <v>4</v>
      </c>
      <c r="W142" s="25">
        <f t="shared" si="148"/>
        <v>6.9813170079773182E-2</v>
      </c>
      <c r="X142">
        <f t="shared" si="152"/>
        <v>-1.2864349399271031</v>
      </c>
      <c r="Y142">
        <f t="shared" si="153"/>
        <v>-1.5134830294749269</v>
      </c>
      <c r="Z142">
        <f t="shared" si="149"/>
        <v>-2.4816870179630923</v>
      </c>
      <c r="AA142">
        <f t="shared" si="150"/>
        <v>-2.3171552819655394</v>
      </c>
      <c r="AB142" s="97"/>
    </row>
    <row r="143" spans="6:28" x14ac:dyDescent="0.3">
      <c r="G143" s="97"/>
      <c r="M143" s="102"/>
      <c r="N143">
        <f t="shared" si="142"/>
        <v>58.102765872370156</v>
      </c>
      <c r="O143">
        <f t="shared" si="143"/>
        <v>5.1772921945012662</v>
      </c>
      <c r="P143">
        <f t="shared" si="144"/>
        <v>4.834420340135833</v>
      </c>
      <c r="Q143">
        <f t="shared" si="145"/>
        <v>0.17729219450126621</v>
      </c>
      <c r="R143">
        <f t="shared" si="146"/>
        <v>0.16557965986416701</v>
      </c>
      <c r="S143">
        <f t="shared" si="151"/>
        <v>4.9605879451623682</v>
      </c>
      <c r="T143">
        <f t="shared" si="147"/>
        <v>5.0368083583878045</v>
      </c>
      <c r="U143" s="97"/>
      <c r="V143" s="25">
        <v>5</v>
      </c>
      <c r="W143" s="25">
        <f t="shared" si="148"/>
        <v>8.7266462599716474E-2</v>
      </c>
      <c r="X143">
        <f t="shared" si="152"/>
        <v>-2.2720936757023513</v>
      </c>
      <c r="Y143">
        <f t="shared" si="153"/>
        <v>-2.5265568029251368</v>
      </c>
      <c r="Z143">
        <f t="shared" si="149"/>
        <v>-2.4816870179630923</v>
      </c>
      <c r="AA143">
        <f t="shared" si="150"/>
        <v>-2.3171552819655394</v>
      </c>
      <c r="AB143" s="97"/>
    </row>
    <row r="144" spans="6:28" x14ac:dyDescent="0.3">
      <c r="G144" s="97"/>
      <c r="M144" s="102"/>
      <c r="N144">
        <f t="shared" si="142"/>
        <v>48.364685975631467</v>
      </c>
      <c r="O144">
        <f t="shared" si="143"/>
        <v>6.2568068892593844</v>
      </c>
      <c r="P144">
        <f t="shared" si="144"/>
        <v>5.7633745694755074</v>
      </c>
      <c r="Q144">
        <f t="shared" si="145"/>
        <v>0.25680688925938444</v>
      </c>
      <c r="R144">
        <f t="shared" si="146"/>
        <v>0.23662543052449259</v>
      </c>
      <c r="S144">
        <f t="shared" si="151"/>
        <v>5.942911828517639</v>
      </c>
      <c r="T144">
        <f t="shared" si="147"/>
        <v>6.0526018332055944</v>
      </c>
      <c r="U144" s="97"/>
      <c r="V144" s="25">
        <v>6</v>
      </c>
      <c r="W144" s="25">
        <f t="shared" si="148"/>
        <v>0.10471975511965978</v>
      </c>
      <c r="X144">
        <f t="shared" si="152"/>
        <v>-3.2544175590576221</v>
      </c>
      <c r="Y144">
        <f t="shared" si="153"/>
        <v>-3.5423502777429268</v>
      </c>
      <c r="Z144">
        <f t="shared" si="149"/>
        <v>-2.4816870179630923</v>
      </c>
      <c r="AA144">
        <f t="shared" si="150"/>
        <v>-2.3171552819655394</v>
      </c>
      <c r="AB144" s="97"/>
    </row>
    <row r="145" spans="6:28" x14ac:dyDescent="0.3">
      <c r="G145" s="97"/>
      <c r="M145" s="102"/>
      <c r="N145">
        <f t="shared" si="142"/>
        <v>41.400427675537514</v>
      </c>
      <c r="O145">
        <f t="shared" si="143"/>
        <v>7.3515314045373188</v>
      </c>
      <c r="P145">
        <f t="shared" si="144"/>
        <v>6.6804074558448523</v>
      </c>
      <c r="Q145">
        <f t="shared" si="145"/>
        <v>0.35153140453731879</v>
      </c>
      <c r="R145">
        <f t="shared" si="146"/>
        <v>0.31959254415514771</v>
      </c>
      <c r="S145">
        <f t="shared" si="151"/>
        <v>6.9218545687713542</v>
      </c>
      <c r="T145">
        <f t="shared" si="147"/>
        <v>7.0710454225656889</v>
      </c>
      <c r="U145" s="97"/>
      <c r="V145" s="25">
        <v>7</v>
      </c>
      <c r="W145" s="25">
        <f t="shared" si="148"/>
        <v>0.12217304763960307</v>
      </c>
      <c r="X145">
        <f t="shared" si="152"/>
        <v>-4.2333602993113377</v>
      </c>
      <c r="Y145">
        <f t="shared" si="153"/>
        <v>-4.5607938671030208</v>
      </c>
      <c r="Z145">
        <f t="shared" si="149"/>
        <v>-2.4816870179630923</v>
      </c>
      <c r="AA145">
        <f t="shared" si="150"/>
        <v>-2.3171552819655394</v>
      </c>
      <c r="AB145" s="97"/>
    </row>
    <row r="146" spans="6:28" x14ac:dyDescent="0.3">
      <c r="G146" s="97"/>
      <c r="M146" s="102"/>
      <c r="N146">
        <f t="shared" si="142"/>
        <v>36.169796088786391</v>
      </c>
      <c r="O146">
        <f t="shared" si="143"/>
        <v>8.4616542531871186</v>
      </c>
      <c r="P146">
        <f t="shared" si="144"/>
        <v>7.5858341464600265</v>
      </c>
      <c r="Q146">
        <f t="shared" si="145"/>
        <v>0.46165425318711861</v>
      </c>
      <c r="R146">
        <f t="shared" si="146"/>
        <v>0.41416585353997348</v>
      </c>
      <c r="S146">
        <f t="shared" si="151"/>
        <v>7.8973742595165035</v>
      </c>
      <c r="T146">
        <f t="shared" si="147"/>
        <v>8.0920690692419353</v>
      </c>
      <c r="U146" s="97"/>
      <c r="V146" s="25">
        <v>8</v>
      </c>
      <c r="W146" s="25">
        <f t="shared" si="148"/>
        <v>0.13962634015954636</v>
      </c>
      <c r="X146">
        <f t="shared" si="152"/>
        <v>-5.2088799900564862</v>
      </c>
      <c r="Y146">
        <f t="shared" si="153"/>
        <v>-5.5818175137792672</v>
      </c>
      <c r="Z146">
        <f t="shared" si="149"/>
        <v>-2.4816870179630923</v>
      </c>
      <c r="AA146">
        <f t="shared" si="150"/>
        <v>-2.3171552819655394</v>
      </c>
      <c r="AB146" s="97"/>
    </row>
    <row r="147" spans="6:28" x14ac:dyDescent="0.3">
      <c r="G147" s="97"/>
      <c r="M147" s="102"/>
      <c r="N147">
        <f t="shared" si="142"/>
        <v>32.094903532931468</v>
      </c>
      <c r="O147">
        <f t="shared" si="143"/>
        <v>9.5873420661004971</v>
      </c>
      <c r="P147">
        <f t="shared" si="144"/>
        <v>8.4799710928606782</v>
      </c>
      <c r="Q147">
        <f t="shared" si="145"/>
        <v>0.58734206610049711</v>
      </c>
      <c r="R147">
        <f t="shared" si="146"/>
        <v>0.52002890713932182</v>
      </c>
      <c r="S147">
        <f t="shared" si="151"/>
        <v>8.8694338587058592</v>
      </c>
      <c r="T147">
        <f t="shared" si="147"/>
        <v>9.1156024260570714</v>
      </c>
      <c r="U147" s="97"/>
      <c r="V147" s="25">
        <v>9</v>
      </c>
      <c r="W147" s="25">
        <f t="shared" si="148"/>
        <v>0.15707963267948966</v>
      </c>
      <c r="X147">
        <f t="shared" si="152"/>
        <v>-6.1809395892458419</v>
      </c>
      <c r="Y147">
        <f t="shared" si="153"/>
        <v>-6.6053508705944033</v>
      </c>
      <c r="Z147">
        <f t="shared" si="149"/>
        <v>-2.4816870179630923</v>
      </c>
      <c r="AA147">
        <f t="shared" si="150"/>
        <v>-2.3171552819655394</v>
      </c>
      <c r="AB147" s="97"/>
    </row>
    <row r="148" spans="6:28" x14ac:dyDescent="0.3">
      <c r="G148" s="97"/>
      <c r="M148" s="102"/>
      <c r="N148">
        <f t="shared" si="142"/>
        <v>28.82901591639002</v>
      </c>
      <c r="O148">
        <f t="shared" si="143"/>
        <v>10.728737343023939</v>
      </c>
      <c r="P148">
        <f t="shared" si="144"/>
        <v>9.3631353217970563</v>
      </c>
      <c r="Q148">
        <f t="shared" si="145"/>
        <v>0.72873734302393878</v>
      </c>
      <c r="R148">
        <f t="shared" si="146"/>
        <v>0.63686467820294368</v>
      </c>
      <c r="S148">
        <f t="shared" si="151"/>
        <v>9.8380016886457788</v>
      </c>
      <c r="T148">
        <f t="shared" si="147"/>
        <v>10.141575017964515</v>
      </c>
      <c r="U148" s="97"/>
      <c r="V148" s="25">
        <v>10</v>
      </c>
      <c r="W148" s="25">
        <f t="shared" si="148"/>
        <v>0.17453292519943295</v>
      </c>
      <c r="X148">
        <f t="shared" si="152"/>
        <v>-7.1495074191857615</v>
      </c>
      <c r="Y148">
        <f t="shared" si="153"/>
        <v>-7.6313234625018467</v>
      </c>
      <c r="Z148">
        <f t="shared" si="149"/>
        <v>-2.4816870179630923</v>
      </c>
      <c r="AA148">
        <f t="shared" si="150"/>
        <v>-2.3171552819655394</v>
      </c>
      <c r="AB148" s="97"/>
    </row>
    <row r="149" spans="6:28" x14ac:dyDescent="0.3">
      <c r="G149" s="97"/>
      <c r="M149" s="102"/>
      <c r="N149">
        <f t="shared" si="142"/>
        <v>26.151482914515743</v>
      </c>
      <c r="O149">
        <f t="shared" si="143"/>
        <v>11.88595612490643</v>
      </c>
      <c r="P149">
        <f t="shared" si="144"/>
        <v>10.235643783795052</v>
      </c>
      <c r="Q149">
        <f t="shared" si="145"/>
        <v>0.88595612490643028</v>
      </c>
      <c r="R149">
        <f t="shared" si="146"/>
        <v>0.76435621620494842</v>
      </c>
      <c r="S149">
        <f t="shared" si="151"/>
        <v>10.8030519534333</v>
      </c>
      <c r="T149">
        <f t="shared" si="147"/>
        <v>11.16991638686236</v>
      </c>
      <c r="U149" s="97"/>
      <c r="V149" s="25">
        <v>11</v>
      </c>
      <c r="W149" s="25">
        <f t="shared" si="148"/>
        <v>0.19198621771937624</v>
      </c>
      <c r="X149">
        <f t="shared" si="152"/>
        <v>-8.1145576839732829</v>
      </c>
      <c r="Y149">
        <f t="shared" si="153"/>
        <v>-8.6596648313996916</v>
      </c>
      <c r="Z149">
        <f t="shared" si="149"/>
        <v>-2.4816870179630923</v>
      </c>
      <c r="AA149">
        <f t="shared" si="150"/>
        <v>-2.3171552819655394</v>
      </c>
      <c r="AB149" s="97"/>
    </row>
    <row r="150" spans="6:28" x14ac:dyDescent="0.3">
      <c r="G150" s="97"/>
      <c r="M150" s="102"/>
      <c r="N150">
        <f t="shared" si="142"/>
        <v>23.915203056515473</v>
      </c>
      <c r="O150">
        <f t="shared" si="143"/>
        <v>13.059085601584721</v>
      </c>
      <c r="P150">
        <f t="shared" si="144"/>
        <v>11.097812774466078</v>
      </c>
      <c r="Q150">
        <f t="shared" si="145"/>
        <v>1.0590856015847212</v>
      </c>
      <c r="R150">
        <f t="shared" si="146"/>
        <v>0.90218722553392183</v>
      </c>
      <c r="S150">
        <f t="shared" si="151"/>
        <v>11.764565270767717</v>
      </c>
      <c r="T150">
        <f t="shared" si="147"/>
        <v>12.200556220236191</v>
      </c>
      <c r="U150" s="97"/>
      <c r="V150" s="25">
        <v>12</v>
      </c>
      <c r="W150" s="25">
        <f t="shared" si="148"/>
        <v>0.20943951023931956</v>
      </c>
      <c r="X150">
        <f t="shared" si="152"/>
        <v>-9.0760710013076995</v>
      </c>
      <c r="Y150">
        <f t="shared" si="153"/>
        <v>-9.6903046647735227</v>
      </c>
      <c r="Z150">
        <f t="shared" si="149"/>
        <v>-2.4816870179630923</v>
      </c>
      <c r="AA150">
        <f t="shared" si="150"/>
        <v>-2.3171552819655394</v>
      </c>
      <c r="AB150" s="97"/>
    </row>
    <row r="151" spans="6:28" x14ac:dyDescent="0.3">
      <c r="G151" s="97"/>
      <c r="M151" s="102"/>
      <c r="N151">
        <f t="shared" si="142"/>
        <v>22.018335694277788</v>
      </c>
      <c r="O151">
        <f t="shared" si="143"/>
        <v>14.248181671519944</v>
      </c>
      <c r="P151">
        <f t="shared" si="144"/>
        <v>11.949957423698619</v>
      </c>
      <c r="Q151">
        <f t="shared" si="145"/>
        <v>1.2481816715199443</v>
      </c>
      <c r="R151">
        <f t="shared" si="146"/>
        <v>1.0500425763013812</v>
      </c>
      <c r="S151">
        <f t="shared" si="151"/>
        <v>12.722529214421117</v>
      </c>
      <c r="T151">
        <f t="shared" si="147"/>
        <v>13.233424464711797</v>
      </c>
      <c r="U151" s="97"/>
      <c r="V151" s="25">
        <v>13</v>
      </c>
      <c r="W151" s="25">
        <f t="shared" si="148"/>
        <v>0.22689280275926285</v>
      </c>
      <c r="X151">
        <f t="shared" si="152"/>
        <v>-10.0340349449611</v>
      </c>
      <c r="Y151">
        <f t="shared" si="153"/>
        <v>-10.723172909249129</v>
      </c>
      <c r="Z151">
        <f t="shared" si="149"/>
        <v>-2.4816870179630923</v>
      </c>
      <c r="AA151">
        <f t="shared" si="150"/>
        <v>-2.3171552819655394</v>
      </c>
      <c r="AB151" s="102"/>
    </row>
    <row r="152" spans="6:28" x14ac:dyDescent="0.3">
      <c r="G152" s="97"/>
      <c r="M152" s="102"/>
      <c r="N152">
        <f t="shared" si="142"/>
        <v>20.388136412140543</v>
      </c>
      <c r="O152">
        <f t="shared" si="143"/>
        <v>15.45326647336689</v>
      </c>
      <c r="P152">
        <f t="shared" si="144"/>
        <v>12.792391247981996</v>
      </c>
      <c r="Q152">
        <f t="shared" si="145"/>
        <v>1.4532664733668899</v>
      </c>
      <c r="R152">
        <f t="shared" si="146"/>
        <v>1.2076087520180039</v>
      </c>
      <c r="S152">
        <f t="shared" si="151"/>
        <v>13.676938862970541</v>
      </c>
      <c r="T152">
        <f t="shared" si="147"/>
        <v>14.268451425573602</v>
      </c>
      <c r="U152" s="97"/>
      <c r="V152" s="25">
        <v>14</v>
      </c>
      <c r="W152" s="25">
        <f t="shared" si="148"/>
        <v>0.24434609527920614</v>
      </c>
      <c r="X152">
        <f t="shared" si="152"/>
        <v>-10.988444593510524</v>
      </c>
      <c r="Y152">
        <f t="shared" si="153"/>
        <v>-11.758199870110934</v>
      </c>
      <c r="Z152">
        <f t="shared" si="149"/>
        <v>-2.4816870179630923</v>
      </c>
      <c r="AA152">
        <f t="shared" si="150"/>
        <v>-2.3171552819655394</v>
      </c>
      <c r="AB152" s="102"/>
    </row>
    <row r="153" spans="6:28" x14ac:dyDescent="0.3">
      <c r="G153" s="97"/>
      <c r="M153" s="102"/>
      <c r="N153">
        <f t="shared" si="142"/>
        <v>18.971258271808459</v>
      </c>
      <c r="O153">
        <f t="shared" si="143"/>
        <v>16.674325912334528</v>
      </c>
      <c r="P153">
        <f t="shared" si="144"/>
        <v>13.625425761261335</v>
      </c>
      <c r="Q153">
        <f t="shared" si="145"/>
        <v>1.6743259123345275</v>
      </c>
      <c r="R153">
        <f t="shared" si="146"/>
        <v>1.3745742387386652</v>
      </c>
      <c r="S153">
        <f t="shared" si="151"/>
        <v>14.627797349688034</v>
      </c>
      <c r="T153">
        <f t="shared" si="147"/>
        <v>15.305567853271604</v>
      </c>
      <c r="U153" s="97"/>
      <c r="V153" s="25">
        <v>15</v>
      </c>
      <c r="W153" s="25">
        <f t="shared" si="148"/>
        <v>0.26179938779914941</v>
      </c>
      <c r="X153">
        <f t="shared" si="152"/>
        <v>-11.939303080228017</v>
      </c>
      <c r="Y153">
        <f t="shared" si="153"/>
        <v>-12.795316297808936</v>
      </c>
      <c r="Z153">
        <f t="shared" si="149"/>
        <v>-2.4816870179630923</v>
      </c>
      <c r="AA153">
        <f t="shared" si="150"/>
        <v>-2.3171552819655394</v>
      </c>
      <c r="AB153" s="102"/>
    </row>
    <row r="154" spans="6:28" x14ac:dyDescent="0.3"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</row>
    <row r="155" spans="6:28" x14ac:dyDescent="0.3">
      <c r="F155" s="19">
        <v>800</v>
      </c>
      <c r="G155" s="97"/>
      <c r="H155">
        <f>SQRT(('Input + Tire Forces'!$L$5*386.4)*F155)</f>
        <v>724.91654692109216</v>
      </c>
      <c r="I155">
        <f t="shared" si="26"/>
        <v>-656.88</v>
      </c>
      <c r="J155">
        <f t="shared" si="27"/>
        <v>-0.90614568365136516</v>
      </c>
      <c r="K155">
        <v>0</v>
      </c>
      <c r="L155">
        <f t="shared" si="28"/>
        <v>0</v>
      </c>
      <c r="M155" s="102"/>
      <c r="N155">
        <v>0</v>
      </c>
      <c r="O155">
        <v>0</v>
      </c>
      <c r="P155">
        <v>0</v>
      </c>
      <c r="Q155">
        <f>O155-V155</f>
        <v>0</v>
      </c>
      <c r="R155">
        <f>V155-P155</f>
        <v>0</v>
      </c>
      <c r="S155">
        <f>V155+($B$9*Q155)+$B$10</f>
        <v>0</v>
      </c>
      <c r="T155">
        <f>V155-($B$9*R155)-$B$10</f>
        <v>0</v>
      </c>
      <c r="U155" s="97"/>
      <c r="V155" s="25">
        <v>0</v>
      </c>
      <c r="W155" s="25">
        <f>V155*(PI()/180)</f>
        <v>0</v>
      </c>
      <c r="X155">
        <f>-(($L$155+($J$155*$B$2))/($H$155+($J$155*($B$4/2))))*(180/PI())</f>
        <v>2.3420388223646538</v>
      </c>
      <c r="Y155">
        <f>-(($L$155+($J$155*$B$2))/($H$155-($J$155*($B$4/2))))*(180/PI())</f>
        <v>2.2056093764016644</v>
      </c>
      <c r="Z155">
        <f>-(($L$155-($J$155*$B$3))/($H$155+($J$155*($B$5/2))))*(180/PI())</f>
        <v>-2.1618819898750643</v>
      </c>
      <c r="AA155">
        <f>-(($L$155-($J$155*$B$3))/($H$155-($J$155*($B$5/2))))*(180/PI())</f>
        <v>-2.0359471166784586</v>
      </c>
      <c r="AB155" s="97"/>
    </row>
    <row r="156" spans="6:28" x14ac:dyDescent="0.3">
      <c r="G156" s="97"/>
      <c r="M156" s="102"/>
      <c r="N156">
        <f t="shared" ref="N156:N170" si="154">($D$6/TAN(W156))</f>
        <v>291.22397162302707</v>
      </c>
      <c r="O156">
        <f t="shared" ref="O156:O170" si="155">DEGREES(ATAN(($D$6/(N156-(($B$4/2)/12)))))</f>
        <v>1.0069136373297729</v>
      </c>
      <c r="P156">
        <f t="shared" ref="P156:P170" si="156">DEGREES(ATAN(($D$6/(N156+(($B$4/2)/12)))))</f>
        <v>0.99318064617350288</v>
      </c>
      <c r="Q156">
        <f t="shared" ref="Q156:Q170" si="157">O156-V156</f>
        <v>6.9136373297729037E-3</v>
      </c>
      <c r="R156">
        <f t="shared" ref="R156:R170" si="158">V156-P156</f>
        <v>6.819353826497121E-3</v>
      </c>
      <c r="S156">
        <f>V156+($B$9*Q156)+$B$10</f>
        <v>0.99846309842159153</v>
      </c>
      <c r="T156">
        <f t="shared" ref="T156:T170" si="159">V156-($B$9*R156)-$B$10</f>
        <v>1.0015159423556304</v>
      </c>
      <c r="U156" s="97"/>
      <c r="V156" s="25">
        <v>1</v>
      </c>
      <c r="W156" s="25">
        <f t="shared" ref="W156:W170" si="160">V156*(PI()/180)</f>
        <v>1.7453292519943295E-2</v>
      </c>
      <c r="X156">
        <f>$X$155-S156</f>
        <v>1.3435757239430623</v>
      </c>
      <c r="Y156">
        <f>$Y$155-T156</f>
        <v>1.2040934340460341</v>
      </c>
      <c r="Z156">
        <f t="shared" ref="Z156:Z170" si="161">-(($L$155-($J$155*$B$3))/($H$155+($J$155*($B$5/2))))*(180/PI())</f>
        <v>-2.1618819898750643</v>
      </c>
      <c r="AA156">
        <f t="shared" ref="AA156:AA170" si="162">-(($L$155-($J$155*$B$3))/($H$155-($J$155*($B$5/2))))*(180/PI())</f>
        <v>-2.0359471166784586</v>
      </c>
      <c r="AB156" s="97"/>
    </row>
    <row r="157" spans="6:28" x14ac:dyDescent="0.3">
      <c r="G157" s="97"/>
      <c r="M157" s="102"/>
      <c r="N157">
        <f t="shared" si="154"/>
        <v>145.56762085482097</v>
      </c>
      <c r="O157">
        <f t="shared" si="155"/>
        <v>2.0278383342160931</v>
      </c>
      <c r="P157">
        <f t="shared" si="156"/>
        <v>1.9729153509744273</v>
      </c>
      <c r="Q157">
        <f t="shared" si="157"/>
        <v>2.7838334216093052E-2</v>
      </c>
      <c r="R157">
        <f t="shared" si="158"/>
        <v>2.7084649025572727E-2</v>
      </c>
      <c r="S157">
        <f t="shared" ref="S157:S170" si="163">V157+($B$9*Q157)+$B$10</f>
        <v>1.9938115383037625</v>
      </c>
      <c r="T157">
        <f t="shared" si="159"/>
        <v>2.0060209174783847</v>
      </c>
      <c r="U157" s="97"/>
      <c r="V157" s="25">
        <v>2</v>
      </c>
      <c r="W157" s="25">
        <f t="shared" si="160"/>
        <v>3.4906585039886591E-2</v>
      </c>
      <c r="X157">
        <f t="shared" ref="X157:X170" si="164">$X$155-S157</f>
        <v>0.34822728406089132</v>
      </c>
      <c r="Y157">
        <f t="shared" ref="Y157:Y170" si="165">$Y$155-T157</f>
        <v>0.1995884589232797</v>
      </c>
      <c r="Z157">
        <f t="shared" si="161"/>
        <v>-2.1618819898750643</v>
      </c>
      <c r="AA157">
        <f t="shared" si="162"/>
        <v>-2.0359471166784586</v>
      </c>
      <c r="AB157" s="97"/>
    </row>
    <row r="158" spans="6:28" x14ac:dyDescent="0.3">
      <c r="G158" s="97"/>
      <c r="M158" s="102"/>
      <c r="N158">
        <f t="shared" si="154"/>
        <v>96.995778162618393</v>
      </c>
      <c r="O158">
        <f t="shared" si="155"/>
        <v>3.0630416649496421</v>
      </c>
      <c r="P158">
        <f t="shared" si="156"/>
        <v>2.9394987432632744</v>
      </c>
      <c r="Q158">
        <f t="shared" si="157"/>
        <v>6.304166494964214E-2</v>
      </c>
      <c r="R158">
        <f t="shared" si="158"/>
        <v>6.0501256736725573E-2</v>
      </c>
      <c r="S158">
        <f t="shared" si="163"/>
        <v>2.9859858378816946</v>
      </c>
      <c r="T158">
        <f t="shared" si="159"/>
        <v>3.013449429372574</v>
      </c>
      <c r="U158" s="97"/>
      <c r="V158" s="25">
        <v>3</v>
      </c>
      <c r="W158" s="25">
        <f t="shared" si="160"/>
        <v>5.235987755982989E-2</v>
      </c>
      <c r="X158">
        <f t="shared" si="164"/>
        <v>-0.64394701551704081</v>
      </c>
      <c r="Y158">
        <f t="shared" si="165"/>
        <v>-0.80784005297090955</v>
      </c>
      <c r="Z158">
        <f t="shared" si="161"/>
        <v>-2.1618819898750643</v>
      </c>
      <c r="AA158">
        <f t="shared" si="162"/>
        <v>-2.0359471166784586</v>
      </c>
      <c r="AB158" s="97"/>
    </row>
    <row r="159" spans="6:28" x14ac:dyDescent="0.3">
      <c r="G159" s="97"/>
      <c r="M159" s="102"/>
      <c r="N159">
        <f t="shared" si="154"/>
        <v>72.695053471618962</v>
      </c>
      <c r="O159">
        <f t="shared" si="155"/>
        <v>4.1127790850781825</v>
      </c>
      <c r="P159">
        <f t="shared" si="156"/>
        <v>3.8932317366729894</v>
      </c>
      <c r="Q159">
        <f t="shared" si="157"/>
        <v>0.11277908507818246</v>
      </c>
      <c r="R159">
        <f t="shared" si="158"/>
        <v>0.10676826332701062</v>
      </c>
      <c r="S159">
        <f t="shared" si="163"/>
        <v>3.97492920938712</v>
      </c>
      <c r="T159">
        <f t="shared" si="159"/>
        <v>4.0237345849375945</v>
      </c>
      <c r="U159" s="97"/>
      <c r="V159" s="25">
        <v>4</v>
      </c>
      <c r="W159" s="25">
        <f t="shared" si="160"/>
        <v>6.9813170079773182E-2</v>
      </c>
      <c r="X159">
        <f t="shared" si="164"/>
        <v>-1.6328903870224662</v>
      </c>
      <c r="Y159">
        <f t="shared" si="165"/>
        <v>-1.8181252085359301</v>
      </c>
      <c r="Z159">
        <f t="shared" si="161"/>
        <v>-2.1618819898750643</v>
      </c>
      <c r="AA159">
        <f t="shared" si="162"/>
        <v>-2.0359471166784586</v>
      </c>
      <c r="AB159" s="97"/>
    </row>
    <row r="160" spans="6:28" x14ac:dyDescent="0.3">
      <c r="G160" s="97"/>
      <c r="M160" s="102"/>
      <c r="N160">
        <f t="shared" si="154"/>
        <v>58.102765872370156</v>
      </c>
      <c r="O160">
        <f t="shared" si="155"/>
        <v>5.1772921945012662</v>
      </c>
      <c r="P160">
        <f t="shared" si="156"/>
        <v>4.834420340135833</v>
      </c>
      <c r="Q160">
        <f t="shared" si="157"/>
        <v>0.17729219450126621</v>
      </c>
      <c r="R160">
        <f t="shared" si="158"/>
        <v>0.16557965986416701</v>
      </c>
      <c r="S160">
        <f t="shared" si="163"/>
        <v>4.9605879451623682</v>
      </c>
      <c r="T160">
        <f t="shared" si="159"/>
        <v>5.0368083583878045</v>
      </c>
      <c r="U160" s="97"/>
      <c r="V160" s="25">
        <v>5</v>
      </c>
      <c r="W160" s="25">
        <f t="shared" si="160"/>
        <v>8.7266462599716474E-2</v>
      </c>
      <c r="X160">
        <f t="shared" si="164"/>
        <v>-2.6185491227977145</v>
      </c>
      <c r="Y160">
        <f t="shared" si="165"/>
        <v>-2.8311989819861401</v>
      </c>
      <c r="Z160">
        <f t="shared" si="161"/>
        <v>-2.1618819898750643</v>
      </c>
      <c r="AA160">
        <f t="shared" si="162"/>
        <v>-2.0359471166784586</v>
      </c>
      <c r="AB160" s="97"/>
    </row>
    <row r="161" spans="6:28" x14ac:dyDescent="0.3">
      <c r="G161" s="97"/>
      <c r="M161" s="102"/>
      <c r="N161">
        <f t="shared" si="154"/>
        <v>48.364685975631467</v>
      </c>
      <c r="O161">
        <f t="shared" si="155"/>
        <v>6.2568068892593844</v>
      </c>
      <c r="P161">
        <f t="shared" si="156"/>
        <v>5.7633745694755074</v>
      </c>
      <c r="Q161">
        <f t="shared" si="157"/>
        <v>0.25680688925938444</v>
      </c>
      <c r="R161">
        <f t="shared" si="158"/>
        <v>0.23662543052449259</v>
      </c>
      <c r="S161">
        <f t="shared" si="163"/>
        <v>5.942911828517639</v>
      </c>
      <c r="T161">
        <f t="shared" si="159"/>
        <v>6.0526018332055944</v>
      </c>
      <c r="U161" s="97"/>
      <c r="V161" s="25">
        <v>6</v>
      </c>
      <c r="W161" s="25">
        <f t="shared" si="160"/>
        <v>0.10471975511965978</v>
      </c>
      <c r="X161">
        <f t="shared" si="164"/>
        <v>-3.6008730061529852</v>
      </c>
      <c r="Y161">
        <f t="shared" si="165"/>
        <v>-3.84699245680393</v>
      </c>
      <c r="Z161">
        <f t="shared" si="161"/>
        <v>-2.1618819898750643</v>
      </c>
      <c r="AA161">
        <f t="shared" si="162"/>
        <v>-2.0359471166784586</v>
      </c>
      <c r="AB161" s="97"/>
    </row>
    <row r="162" spans="6:28" x14ac:dyDescent="0.3">
      <c r="G162" s="97"/>
      <c r="M162" s="102"/>
      <c r="N162">
        <f t="shared" si="154"/>
        <v>41.400427675537514</v>
      </c>
      <c r="O162">
        <f t="shared" si="155"/>
        <v>7.3515314045373188</v>
      </c>
      <c r="P162">
        <f t="shared" si="156"/>
        <v>6.6804074558448523</v>
      </c>
      <c r="Q162">
        <f t="shared" si="157"/>
        <v>0.35153140453731879</v>
      </c>
      <c r="R162">
        <f t="shared" si="158"/>
        <v>0.31959254415514771</v>
      </c>
      <c r="S162">
        <f t="shared" si="163"/>
        <v>6.9218545687713542</v>
      </c>
      <c r="T162">
        <f t="shared" si="159"/>
        <v>7.0710454225656889</v>
      </c>
      <c r="U162" s="97"/>
      <c r="V162" s="25">
        <v>7</v>
      </c>
      <c r="W162" s="25">
        <f t="shared" si="160"/>
        <v>0.12217304763960307</v>
      </c>
      <c r="X162">
        <f t="shared" si="164"/>
        <v>-4.5798157464067</v>
      </c>
      <c r="Y162">
        <f t="shared" si="165"/>
        <v>-4.8654360461640245</v>
      </c>
      <c r="Z162">
        <f t="shared" si="161"/>
        <v>-2.1618819898750643</v>
      </c>
      <c r="AA162">
        <f t="shared" si="162"/>
        <v>-2.0359471166784586</v>
      </c>
      <c r="AB162" s="97"/>
    </row>
    <row r="163" spans="6:28" x14ac:dyDescent="0.3">
      <c r="G163" s="97"/>
      <c r="M163" s="102"/>
      <c r="N163">
        <f t="shared" si="154"/>
        <v>36.169796088786391</v>
      </c>
      <c r="O163">
        <f t="shared" si="155"/>
        <v>8.4616542531871186</v>
      </c>
      <c r="P163">
        <f t="shared" si="156"/>
        <v>7.5858341464600265</v>
      </c>
      <c r="Q163">
        <f t="shared" si="157"/>
        <v>0.46165425318711861</v>
      </c>
      <c r="R163">
        <f t="shared" si="158"/>
        <v>0.41416585353997348</v>
      </c>
      <c r="S163">
        <f t="shared" si="163"/>
        <v>7.8973742595165035</v>
      </c>
      <c r="T163">
        <f t="shared" si="159"/>
        <v>8.0920690692419353</v>
      </c>
      <c r="U163" s="97"/>
      <c r="V163" s="25">
        <v>8</v>
      </c>
      <c r="W163" s="25">
        <f t="shared" si="160"/>
        <v>0.13962634015954636</v>
      </c>
      <c r="X163">
        <f t="shared" si="164"/>
        <v>-5.5553354371518502</v>
      </c>
      <c r="Y163">
        <f t="shared" si="165"/>
        <v>-5.8864596928402708</v>
      </c>
      <c r="Z163">
        <f t="shared" si="161"/>
        <v>-2.1618819898750643</v>
      </c>
      <c r="AA163">
        <f t="shared" si="162"/>
        <v>-2.0359471166784586</v>
      </c>
      <c r="AB163" s="97"/>
    </row>
    <row r="164" spans="6:28" x14ac:dyDescent="0.3">
      <c r="G164" s="97"/>
      <c r="M164" s="102"/>
      <c r="N164">
        <f t="shared" si="154"/>
        <v>32.094903532931468</v>
      </c>
      <c r="O164">
        <f t="shared" si="155"/>
        <v>9.5873420661004971</v>
      </c>
      <c r="P164">
        <f t="shared" si="156"/>
        <v>8.4799710928606782</v>
      </c>
      <c r="Q164">
        <f t="shared" si="157"/>
        <v>0.58734206610049711</v>
      </c>
      <c r="R164">
        <f t="shared" si="158"/>
        <v>0.52002890713932182</v>
      </c>
      <c r="S164">
        <f t="shared" si="163"/>
        <v>8.8694338587058592</v>
      </c>
      <c r="T164">
        <f t="shared" si="159"/>
        <v>9.1156024260570714</v>
      </c>
      <c r="U164" s="97"/>
      <c r="V164" s="25">
        <v>9</v>
      </c>
      <c r="W164" s="25">
        <f t="shared" si="160"/>
        <v>0.15707963267948966</v>
      </c>
      <c r="X164">
        <f t="shared" si="164"/>
        <v>-6.5273950363412059</v>
      </c>
      <c r="Y164">
        <f t="shared" si="165"/>
        <v>-6.9099930496554069</v>
      </c>
      <c r="Z164">
        <f t="shared" si="161"/>
        <v>-2.1618819898750643</v>
      </c>
      <c r="AA164">
        <f t="shared" si="162"/>
        <v>-2.0359471166784586</v>
      </c>
      <c r="AB164" s="97"/>
    </row>
    <row r="165" spans="6:28" x14ac:dyDescent="0.3">
      <c r="G165" s="97"/>
      <c r="M165" s="102"/>
      <c r="N165">
        <f t="shared" si="154"/>
        <v>28.82901591639002</v>
      </c>
      <c r="O165">
        <f t="shared" si="155"/>
        <v>10.728737343023939</v>
      </c>
      <c r="P165">
        <f t="shared" si="156"/>
        <v>9.3631353217970563</v>
      </c>
      <c r="Q165">
        <f t="shared" si="157"/>
        <v>0.72873734302393878</v>
      </c>
      <c r="R165">
        <f t="shared" si="158"/>
        <v>0.63686467820294368</v>
      </c>
      <c r="S165">
        <f t="shared" si="163"/>
        <v>9.8380016886457788</v>
      </c>
      <c r="T165">
        <f t="shared" si="159"/>
        <v>10.141575017964515</v>
      </c>
      <c r="U165" s="97"/>
      <c r="V165" s="25">
        <v>10</v>
      </c>
      <c r="W165" s="25">
        <f t="shared" si="160"/>
        <v>0.17453292519943295</v>
      </c>
      <c r="X165">
        <f t="shared" si="164"/>
        <v>-7.4959628662811255</v>
      </c>
      <c r="Y165">
        <f t="shared" si="165"/>
        <v>-7.9359656415628503</v>
      </c>
      <c r="Z165">
        <f t="shared" si="161"/>
        <v>-2.1618819898750643</v>
      </c>
      <c r="AA165">
        <f t="shared" si="162"/>
        <v>-2.0359471166784586</v>
      </c>
      <c r="AB165" s="97"/>
    </row>
    <row r="166" spans="6:28" x14ac:dyDescent="0.3">
      <c r="G166" s="97"/>
      <c r="M166" s="102"/>
      <c r="N166">
        <f t="shared" si="154"/>
        <v>26.151482914515743</v>
      </c>
      <c r="O166">
        <f t="shared" si="155"/>
        <v>11.88595612490643</v>
      </c>
      <c r="P166">
        <f t="shared" si="156"/>
        <v>10.235643783795052</v>
      </c>
      <c r="Q166">
        <f t="shared" si="157"/>
        <v>0.88595612490643028</v>
      </c>
      <c r="R166">
        <f t="shared" si="158"/>
        <v>0.76435621620494842</v>
      </c>
      <c r="S166">
        <f t="shared" si="163"/>
        <v>10.8030519534333</v>
      </c>
      <c r="T166">
        <f t="shared" si="159"/>
        <v>11.16991638686236</v>
      </c>
      <c r="U166" s="97"/>
      <c r="V166" s="25">
        <v>11</v>
      </c>
      <c r="W166" s="25">
        <f t="shared" si="160"/>
        <v>0.19198621771937624</v>
      </c>
      <c r="X166">
        <f t="shared" si="164"/>
        <v>-8.4610131310686469</v>
      </c>
      <c r="Y166">
        <f t="shared" si="165"/>
        <v>-8.9643070104606952</v>
      </c>
      <c r="Z166">
        <f t="shared" si="161"/>
        <v>-2.1618819898750643</v>
      </c>
      <c r="AA166">
        <f t="shared" si="162"/>
        <v>-2.0359471166784586</v>
      </c>
      <c r="AB166" s="97"/>
    </row>
    <row r="167" spans="6:28" x14ac:dyDescent="0.3">
      <c r="G167" s="97"/>
      <c r="M167" s="102"/>
      <c r="N167">
        <f t="shared" si="154"/>
        <v>23.915203056515473</v>
      </c>
      <c r="O167">
        <f t="shared" si="155"/>
        <v>13.059085601584721</v>
      </c>
      <c r="P167">
        <f t="shared" si="156"/>
        <v>11.097812774466078</v>
      </c>
      <c r="Q167">
        <f t="shared" si="157"/>
        <v>1.0590856015847212</v>
      </c>
      <c r="R167">
        <f t="shared" si="158"/>
        <v>0.90218722553392183</v>
      </c>
      <c r="S167">
        <f t="shared" si="163"/>
        <v>11.764565270767717</v>
      </c>
      <c r="T167">
        <f t="shared" si="159"/>
        <v>12.200556220236191</v>
      </c>
      <c r="U167" s="97"/>
      <c r="V167" s="25">
        <v>12</v>
      </c>
      <c r="W167" s="25">
        <f t="shared" si="160"/>
        <v>0.20943951023931956</v>
      </c>
      <c r="X167">
        <f t="shared" si="164"/>
        <v>-9.4225264484030635</v>
      </c>
      <c r="Y167">
        <f t="shared" si="165"/>
        <v>-9.9949468438345264</v>
      </c>
      <c r="Z167">
        <f t="shared" si="161"/>
        <v>-2.1618819898750643</v>
      </c>
      <c r="AA167">
        <f t="shared" si="162"/>
        <v>-2.0359471166784586</v>
      </c>
      <c r="AB167" s="97"/>
    </row>
    <row r="168" spans="6:28" x14ac:dyDescent="0.3">
      <c r="G168" s="97"/>
      <c r="M168" s="102"/>
      <c r="N168">
        <f t="shared" si="154"/>
        <v>22.018335694277788</v>
      </c>
      <c r="O168">
        <f t="shared" si="155"/>
        <v>14.248181671519944</v>
      </c>
      <c r="P168">
        <f t="shared" si="156"/>
        <v>11.949957423698619</v>
      </c>
      <c r="Q168">
        <f t="shared" si="157"/>
        <v>1.2481816715199443</v>
      </c>
      <c r="R168">
        <f t="shared" si="158"/>
        <v>1.0500425763013812</v>
      </c>
      <c r="S168">
        <f t="shared" si="163"/>
        <v>12.722529214421117</v>
      </c>
      <c r="T168">
        <f t="shared" si="159"/>
        <v>13.233424464711797</v>
      </c>
      <c r="U168" s="97"/>
      <c r="V168" s="25">
        <v>13</v>
      </c>
      <c r="W168" s="25">
        <f t="shared" si="160"/>
        <v>0.22689280275926285</v>
      </c>
      <c r="X168">
        <f t="shared" si="164"/>
        <v>-10.380490392056464</v>
      </c>
      <c r="Y168">
        <f t="shared" si="165"/>
        <v>-11.027815088310133</v>
      </c>
      <c r="Z168">
        <f t="shared" si="161"/>
        <v>-2.1618819898750643</v>
      </c>
      <c r="AA168">
        <f t="shared" si="162"/>
        <v>-2.0359471166784586</v>
      </c>
      <c r="AB168" s="102"/>
    </row>
    <row r="169" spans="6:28" x14ac:dyDescent="0.3">
      <c r="G169" s="97"/>
      <c r="M169" s="102"/>
      <c r="N169">
        <f t="shared" si="154"/>
        <v>20.388136412140543</v>
      </c>
      <c r="O169">
        <f t="shared" si="155"/>
        <v>15.45326647336689</v>
      </c>
      <c r="P169">
        <f t="shared" si="156"/>
        <v>12.792391247981996</v>
      </c>
      <c r="Q169">
        <f t="shared" si="157"/>
        <v>1.4532664733668899</v>
      </c>
      <c r="R169">
        <f t="shared" si="158"/>
        <v>1.2076087520180039</v>
      </c>
      <c r="S169">
        <f t="shared" si="163"/>
        <v>13.676938862970541</v>
      </c>
      <c r="T169">
        <f t="shared" si="159"/>
        <v>14.268451425573602</v>
      </c>
      <c r="U169" s="97"/>
      <c r="V169" s="25">
        <v>14</v>
      </c>
      <c r="W169" s="25">
        <f t="shared" si="160"/>
        <v>0.24434609527920614</v>
      </c>
      <c r="X169">
        <f t="shared" si="164"/>
        <v>-11.334900040605888</v>
      </c>
      <c r="Y169">
        <f t="shared" si="165"/>
        <v>-12.062842049171937</v>
      </c>
      <c r="Z169">
        <f t="shared" si="161"/>
        <v>-2.1618819898750643</v>
      </c>
      <c r="AA169">
        <f t="shared" si="162"/>
        <v>-2.0359471166784586</v>
      </c>
      <c r="AB169" s="102"/>
    </row>
    <row r="170" spans="6:28" x14ac:dyDescent="0.3">
      <c r="G170" s="97"/>
      <c r="M170" s="102"/>
      <c r="N170">
        <f t="shared" si="154"/>
        <v>18.971258271808459</v>
      </c>
      <c r="O170">
        <f t="shared" si="155"/>
        <v>16.674325912334528</v>
      </c>
      <c r="P170">
        <f t="shared" si="156"/>
        <v>13.625425761261335</v>
      </c>
      <c r="Q170">
        <f t="shared" si="157"/>
        <v>1.6743259123345275</v>
      </c>
      <c r="R170">
        <f t="shared" si="158"/>
        <v>1.3745742387386652</v>
      </c>
      <c r="S170">
        <f t="shared" si="163"/>
        <v>14.627797349688034</v>
      </c>
      <c r="T170">
        <f t="shared" si="159"/>
        <v>15.305567853271604</v>
      </c>
      <c r="U170" s="97"/>
      <c r="V170" s="25">
        <v>15</v>
      </c>
      <c r="W170" s="25">
        <f t="shared" si="160"/>
        <v>0.26179938779914941</v>
      </c>
      <c r="X170">
        <f t="shared" si="164"/>
        <v>-12.285758527323381</v>
      </c>
      <c r="Y170">
        <f t="shared" si="165"/>
        <v>-13.09995847686994</v>
      </c>
      <c r="Z170">
        <f t="shared" si="161"/>
        <v>-2.1618819898750643</v>
      </c>
      <c r="AA170">
        <f t="shared" si="162"/>
        <v>-2.0359471166784586</v>
      </c>
      <c r="AB170" s="102"/>
    </row>
    <row r="171" spans="6:28" x14ac:dyDescent="0.3"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</row>
    <row r="172" spans="6:28" x14ac:dyDescent="0.3">
      <c r="F172" s="19">
        <v>900</v>
      </c>
      <c r="G172" s="97"/>
      <c r="H172">
        <f>SQRT(('Input + Tire Forces'!$L$5*386.4)*F172)</f>
        <v>768.89010918336044</v>
      </c>
      <c r="I172">
        <f t="shared" si="26"/>
        <v>-656.87999999999988</v>
      </c>
      <c r="J172">
        <f t="shared" si="27"/>
        <v>-0.85432234353706704</v>
      </c>
      <c r="K172">
        <v>0</v>
      </c>
      <c r="L172">
        <f t="shared" si="28"/>
        <v>0</v>
      </c>
      <c r="M172" s="102"/>
      <c r="N172">
        <v>0</v>
      </c>
      <c r="O172">
        <v>0</v>
      </c>
      <c r="P172">
        <v>0</v>
      </c>
      <c r="Q172">
        <f>O172-V172</f>
        <v>0</v>
      </c>
      <c r="R172">
        <f>V172-P172</f>
        <v>0</v>
      </c>
      <c r="S172">
        <f>V172+($B$9*Q172)+$B$10</f>
        <v>0</v>
      </c>
      <c r="T172">
        <f>V172-($B$9*R172)-$B$10</f>
        <v>0</v>
      </c>
      <c r="U172" s="97"/>
      <c r="V172" s="25">
        <v>0</v>
      </c>
      <c r="W172" s="25">
        <f>V172*(PI()/180)</f>
        <v>0</v>
      </c>
      <c r="X172">
        <f>-(($L$172+($J$172*$B$2))/($H$172+($J$172*($B$4/2))))*(180/PI())</f>
        <v>2.0746827924143512</v>
      </c>
      <c r="Y172">
        <f>-(($L$172+($J$172*$B$2))/($H$172-($J$172*($B$4/2))))*(180/PI())</f>
        <v>1.9669070629382805</v>
      </c>
      <c r="Z172">
        <f>-(($L$172-($J$172*$B$3))/($H$172+($J$172*($B$5/2))))*(180/PI())</f>
        <v>-1.9150918083824773</v>
      </c>
      <c r="AA172">
        <f>-(($L$172-($J$172*$B$3))/($H$172-($J$172*($B$5/2))))*(180/PI())</f>
        <v>-1.8156065196353357</v>
      </c>
      <c r="AB172" s="97"/>
    </row>
    <row r="173" spans="6:28" x14ac:dyDescent="0.3">
      <c r="G173" s="97"/>
      <c r="M173" s="102"/>
      <c r="N173">
        <f t="shared" ref="N173:N187" si="166">($D$6/TAN(W173))</f>
        <v>291.22397162302707</v>
      </c>
      <c r="O173">
        <f t="shared" ref="O173:O187" si="167">DEGREES(ATAN(($D$6/(N173-(($B$4/2)/12)))))</f>
        <v>1.0069136373297729</v>
      </c>
      <c r="P173">
        <f t="shared" ref="P173:P187" si="168">DEGREES(ATAN(($D$6/(N173+(($B$4/2)/12)))))</f>
        <v>0.99318064617350288</v>
      </c>
      <c r="Q173">
        <f t="shared" ref="Q173:Q187" si="169">O173-V173</f>
        <v>6.9136373297729037E-3</v>
      </c>
      <c r="R173">
        <f t="shared" ref="R173:R187" si="170">V173-P173</f>
        <v>6.819353826497121E-3</v>
      </c>
      <c r="S173">
        <f>V173+($B$9*Q173)+$B$10</f>
        <v>0.99846309842159153</v>
      </c>
      <c r="T173">
        <f t="shared" ref="T173:T187" si="171">V173-($B$9*R173)-$B$10</f>
        <v>1.0015159423556304</v>
      </c>
      <c r="U173" s="97"/>
      <c r="V173" s="25">
        <v>1</v>
      </c>
      <c r="W173" s="25">
        <f t="shared" ref="W173:W187" si="172">V173*(PI()/180)</f>
        <v>1.7453292519943295E-2</v>
      </c>
      <c r="X173">
        <f>$X$172-S173</f>
        <v>1.0762196939927597</v>
      </c>
      <c r="Y173">
        <f>$Y$172-T173</f>
        <v>0.9653911205826502</v>
      </c>
      <c r="Z173">
        <f t="shared" ref="Z173:Z187" si="173">-(($L$172-($J$172*$B$3))/($H$172+($J$172*($B$5/2))))*(180/PI())</f>
        <v>-1.9150918083824773</v>
      </c>
      <c r="AA173">
        <f t="shared" ref="AA173:AA187" si="174">-(($L$172-($J$172*$B$3))/($H$172-($J$172*($B$5/2))))*(180/PI())</f>
        <v>-1.8156065196353357</v>
      </c>
      <c r="AB173" s="97"/>
    </row>
    <row r="174" spans="6:28" x14ac:dyDescent="0.3">
      <c r="G174" s="97"/>
      <c r="M174" s="102"/>
      <c r="N174">
        <f t="shared" si="166"/>
        <v>145.56762085482097</v>
      </c>
      <c r="O174">
        <f t="shared" si="167"/>
        <v>2.0278383342160931</v>
      </c>
      <c r="P174">
        <f t="shared" si="168"/>
        <v>1.9729153509744273</v>
      </c>
      <c r="Q174">
        <f t="shared" si="169"/>
        <v>2.7838334216093052E-2</v>
      </c>
      <c r="R174">
        <f t="shared" si="170"/>
        <v>2.7084649025572727E-2</v>
      </c>
      <c r="S174">
        <f t="shared" ref="S174:S187" si="175">V174+($B$9*Q174)+$B$10</f>
        <v>1.9938115383037625</v>
      </c>
      <c r="T174">
        <f t="shared" si="171"/>
        <v>2.0060209174783847</v>
      </c>
      <c r="U174" s="97"/>
      <c r="V174" s="25">
        <v>2</v>
      </c>
      <c r="W174" s="25">
        <f t="shared" si="172"/>
        <v>3.4906585039886591E-2</v>
      </c>
      <c r="X174">
        <f t="shared" ref="X174:X186" si="176">$X$172-S174</f>
        <v>8.0871254110588708E-2</v>
      </c>
      <c r="Y174">
        <f t="shared" ref="Y174:Y186" si="177">$Y$172-T174</f>
        <v>-3.9113854540104187E-2</v>
      </c>
      <c r="Z174">
        <f t="shared" si="173"/>
        <v>-1.9150918083824773</v>
      </c>
      <c r="AA174">
        <f t="shared" si="174"/>
        <v>-1.8156065196353357</v>
      </c>
      <c r="AB174" s="97"/>
    </row>
    <row r="175" spans="6:28" x14ac:dyDescent="0.3">
      <c r="G175" s="97"/>
      <c r="M175" s="102"/>
      <c r="N175">
        <f t="shared" si="166"/>
        <v>96.995778162618393</v>
      </c>
      <c r="O175">
        <f t="shared" si="167"/>
        <v>3.0630416649496421</v>
      </c>
      <c r="P175">
        <f t="shared" si="168"/>
        <v>2.9394987432632744</v>
      </c>
      <c r="Q175">
        <f t="shared" si="169"/>
        <v>6.304166494964214E-2</v>
      </c>
      <c r="R175">
        <f t="shared" si="170"/>
        <v>6.0501256736725573E-2</v>
      </c>
      <c r="S175">
        <f t="shared" si="175"/>
        <v>2.9859858378816946</v>
      </c>
      <c r="T175">
        <f t="shared" si="171"/>
        <v>3.013449429372574</v>
      </c>
      <c r="U175" s="97"/>
      <c r="V175" s="25">
        <v>3</v>
      </c>
      <c r="W175" s="25">
        <f t="shared" si="172"/>
        <v>5.235987755982989E-2</v>
      </c>
      <c r="X175">
        <f t="shared" si="176"/>
        <v>-0.91130304546734342</v>
      </c>
      <c r="Y175">
        <f t="shared" si="177"/>
        <v>-1.0465423664342934</v>
      </c>
      <c r="Z175">
        <f t="shared" si="173"/>
        <v>-1.9150918083824773</v>
      </c>
      <c r="AA175">
        <f t="shared" si="174"/>
        <v>-1.8156065196353357</v>
      </c>
      <c r="AB175" s="97"/>
    </row>
    <row r="176" spans="6:28" x14ac:dyDescent="0.3">
      <c r="G176" s="97"/>
      <c r="M176" s="102"/>
      <c r="N176">
        <f t="shared" si="166"/>
        <v>72.695053471618962</v>
      </c>
      <c r="O176">
        <f t="shared" si="167"/>
        <v>4.1127790850781825</v>
      </c>
      <c r="P176">
        <f t="shared" si="168"/>
        <v>3.8932317366729894</v>
      </c>
      <c r="Q176">
        <f t="shared" si="169"/>
        <v>0.11277908507818246</v>
      </c>
      <c r="R176">
        <f t="shared" si="170"/>
        <v>0.10676826332701062</v>
      </c>
      <c r="S176">
        <f t="shared" si="175"/>
        <v>3.97492920938712</v>
      </c>
      <c r="T176">
        <f t="shared" si="171"/>
        <v>4.0237345849375945</v>
      </c>
      <c r="U176" s="97"/>
      <c r="V176" s="25">
        <v>4</v>
      </c>
      <c r="W176" s="25">
        <f t="shared" si="172"/>
        <v>6.9813170079773182E-2</v>
      </c>
      <c r="X176">
        <f t="shared" si="176"/>
        <v>-1.9002464169727689</v>
      </c>
      <c r="Y176">
        <f t="shared" si="177"/>
        <v>-2.0568275219993142</v>
      </c>
      <c r="Z176">
        <f t="shared" si="173"/>
        <v>-1.9150918083824773</v>
      </c>
      <c r="AA176">
        <f t="shared" si="174"/>
        <v>-1.8156065196353357</v>
      </c>
      <c r="AB176" s="97"/>
    </row>
    <row r="177" spans="6:28" x14ac:dyDescent="0.3">
      <c r="G177" s="97"/>
      <c r="M177" s="102"/>
      <c r="N177">
        <f t="shared" si="166"/>
        <v>58.102765872370156</v>
      </c>
      <c r="O177">
        <f t="shared" si="167"/>
        <v>5.1772921945012662</v>
      </c>
      <c r="P177">
        <f t="shared" si="168"/>
        <v>4.834420340135833</v>
      </c>
      <c r="Q177">
        <f t="shared" si="169"/>
        <v>0.17729219450126621</v>
      </c>
      <c r="R177">
        <f t="shared" si="170"/>
        <v>0.16557965986416701</v>
      </c>
      <c r="S177">
        <f t="shared" si="175"/>
        <v>4.9605879451623682</v>
      </c>
      <c r="T177">
        <f t="shared" si="171"/>
        <v>5.0368083583878045</v>
      </c>
      <c r="U177" s="97"/>
      <c r="V177" s="25">
        <v>5</v>
      </c>
      <c r="W177" s="25">
        <f t="shared" si="172"/>
        <v>8.7266462599716474E-2</v>
      </c>
      <c r="X177">
        <f t="shared" si="176"/>
        <v>-2.8859051527480171</v>
      </c>
      <c r="Y177">
        <f t="shared" si="177"/>
        <v>-3.0699012954495242</v>
      </c>
      <c r="Z177">
        <f t="shared" si="173"/>
        <v>-1.9150918083824773</v>
      </c>
      <c r="AA177">
        <f t="shared" si="174"/>
        <v>-1.8156065196353357</v>
      </c>
      <c r="AB177" s="97"/>
    </row>
    <row r="178" spans="6:28" x14ac:dyDescent="0.3">
      <c r="G178" s="97"/>
      <c r="M178" s="102"/>
      <c r="N178">
        <f t="shared" si="166"/>
        <v>48.364685975631467</v>
      </c>
      <c r="O178">
        <f t="shared" si="167"/>
        <v>6.2568068892593844</v>
      </c>
      <c r="P178">
        <f t="shared" si="168"/>
        <v>5.7633745694755074</v>
      </c>
      <c r="Q178">
        <f t="shared" si="169"/>
        <v>0.25680688925938444</v>
      </c>
      <c r="R178">
        <f t="shared" si="170"/>
        <v>0.23662543052449259</v>
      </c>
      <c r="S178">
        <f t="shared" si="175"/>
        <v>5.942911828517639</v>
      </c>
      <c r="T178">
        <f t="shared" si="171"/>
        <v>6.0526018332055944</v>
      </c>
      <c r="U178" s="97"/>
      <c r="V178" s="25">
        <v>6</v>
      </c>
      <c r="W178" s="25">
        <f t="shared" si="172"/>
        <v>0.10471975511965978</v>
      </c>
      <c r="X178">
        <f t="shared" si="176"/>
        <v>-3.8682290361032878</v>
      </c>
      <c r="Y178">
        <f t="shared" si="177"/>
        <v>-4.0856947702673141</v>
      </c>
      <c r="Z178">
        <f t="shared" si="173"/>
        <v>-1.9150918083824773</v>
      </c>
      <c r="AA178">
        <f t="shared" si="174"/>
        <v>-1.8156065196353357</v>
      </c>
      <c r="AB178" s="97"/>
    </row>
    <row r="179" spans="6:28" x14ac:dyDescent="0.3">
      <c r="G179" s="97"/>
      <c r="M179" s="102"/>
      <c r="N179">
        <f t="shared" si="166"/>
        <v>41.400427675537514</v>
      </c>
      <c r="O179">
        <f t="shared" si="167"/>
        <v>7.3515314045373188</v>
      </c>
      <c r="P179">
        <f t="shared" si="168"/>
        <v>6.6804074558448523</v>
      </c>
      <c r="Q179">
        <f t="shared" si="169"/>
        <v>0.35153140453731879</v>
      </c>
      <c r="R179">
        <f t="shared" si="170"/>
        <v>0.31959254415514771</v>
      </c>
      <c r="S179">
        <f t="shared" si="175"/>
        <v>6.9218545687713542</v>
      </c>
      <c r="T179">
        <f t="shared" si="171"/>
        <v>7.0710454225656889</v>
      </c>
      <c r="U179" s="97"/>
      <c r="V179" s="25">
        <v>7</v>
      </c>
      <c r="W179" s="25">
        <f t="shared" si="172"/>
        <v>0.12217304763960307</v>
      </c>
      <c r="X179">
        <f t="shared" si="176"/>
        <v>-4.847171776357003</v>
      </c>
      <c r="Y179">
        <f t="shared" si="177"/>
        <v>-5.1041383596274086</v>
      </c>
      <c r="Z179">
        <f t="shared" si="173"/>
        <v>-1.9150918083824773</v>
      </c>
      <c r="AA179">
        <f t="shared" si="174"/>
        <v>-1.8156065196353357</v>
      </c>
      <c r="AB179" s="97"/>
    </row>
    <row r="180" spans="6:28" x14ac:dyDescent="0.3">
      <c r="G180" s="97"/>
      <c r="M180" s="102"/>
      <c r="N180">
        <f t="shared" si="166"/>
        <v>36.169796088786391</v>
      </c>
      <c r="O180">
        <f t="shared" si="167"/>
        <v>8.4616542531871186</v>
      </c>
      <c r="P180">
        <f t="shared" si="168"/>
        <v>7.5858341464600265</v>
      </c>
      <c r="Q180">
        <f t="shared" si="169"/>
        <v>0.46165425318711861</v>
      </c>
      <c r="R180">
        <f t="shared" si="170"/>
        <v>0.41416585353997348</v>
      </c>
      <c r="S180">
        <f t="shared" si="175"/>
        <v>7.8973742595165035</v>
      </c>
      <c r="T180">
        <f t="shared" si="171"/>
        <v>8.0920690692419353</v>
      </c>
      <c r="U180" s="97"/>
      <c r="V180" s="25">
        <v>8</v>
      </c>
      <c r="W180" s="25">
        <f t="shared" si="172"/>
        <v>0.13962634015954636</v>
      </c>
      <c r="X180">
        <f t="shared" si="176"/>
        <v>-5.8226914671021524</v>
      </c>
      <c r="Y180">
        <f t="shared" si="177"/>
        <v>-6.1251620063036549</v>
      </c>
      <c r="Z180">
        <f t="shared" si="173"/>
        <v>-1.9150918083824773</v>
      </c>
      <c r="AA180">
        <f t="shared" si="174"/>
        <v>-1.8156065196353357</v>
      </c>
      <c r="AB180" s="97"/>
    </row>
    <row r="181" spans="6:28" x14ac:dyDescent="0.3">
      <c r="G181" s="97"/>
      <c r="M181" s="102"/>
      <c r="N181">
        <f t="shared" si="166"/>
        <v>32.094903532931468</v>
      </c>
      <c r="O181">
        <f t="shared" si="167"/>
        <v>9.5873420661004971</v>
      </c>
      <c r="P181">
        <f t="shared" si="168"/>
        <v>8.4799710928606782</v>
      </c>
      <c r="Q181">
        <f t="shared" si="169"/>
        <v>0.58734206610049711</v>
      </c>
      <c r="R181">
        <f t="shared" si="170"/>
        <v>0.52002890713932182</v>
      </c>
      <c r="S181">
        <f t="shared" si="175"/>
        <v>8.8694338587058592</v>
      </c>
      <c r="T181">
        <f t="shared" si="171"/>
        <v>9.1156024260570714</v>
      </c>
      <c r="U181" s="97"/>
      <c r="V181" s="25">
        <v>9</v>
      </c>
      <c r="W181" s="25">
        <f t="shared" si="172"/>
        <v>0.15707963267948966</v>
      </c>
      <c r="X181">
        <f t="shared" si="176"/>
        <v>-6.794751066291508</v>
      </c>
      <c r="Y181">
        <f t="shared" si="177"/>
        <v>-7.1486953631187911</v>
      </c>
      <c r="Z181">
        <f t="shared" si="173"/>
        <v>-1.9150918083824773</v>
      </c>
      <c r="AA181">
        <f t="shared" si="174"/>
        <v>-1.8156065196353357</v>
      </c>
      <c r="AB181" s="97"/>
    </row>
    <row r="182" spans="6:28" x14ac:dyDescent="0.3">
      <c r="G182" s="97"/>
      <c r="M182" s="102"/>
      <c r="N182">
        <f t="shared" si="166"/>
        <v>28.82901591639002</v>
      </c>
      <c r="O182">
        <f t="shared" si="167"/>
        <v>10.728737343023939</v>
      </c>
      <c r="P182">
        <f t="shared" si="168"/>
        <v>9.3631353217970563</v>
      </c>
      <c r="Q182">
        <f t="shared" si="169"/>
        <v>0.72873734302393878</v>
      </c>
      <c r="R182">
        <f t="shared" si="170"/>
        <v>0.63686467820294368</v>
      </c>
      <c r="S182">
        <f t="shared" si="175"/>
        <v>9.8380016886457788</v>
      </c>
      <c r="T182">
        <f t="shared" si="171"/>
        <v>10.141575017964515</v>
      </c>
      <c r="U182" s="97"/>
      <c r="V182" s="25">
        <v>10</v>
      </c>
      <c r="W182" s="25">
        <f t="shared" si="172"/>
        <v>0.17453292519943295</v>
      </c>
      <c r="X182">
        <f t="shared" si="176"/>
        <v>-7.7633188962314277</v>
      </c>
      <c r="Y182">
        <f t="shared" si="177"/>
        <v>-8.1746679550262336</v>
      </c>
      <c r="Z182">
        <f t="shared" si="173"/>
        <v>-1.9150918083824773</v>
      </c>
      <c r="AA182">
        <f t="shared" si="174"/>
        <v>-1.8156065196353357</v>
      </c>
      <c r="AB182" s="97"/>
    </row>
    <row r="183" spans="6:28" x14ac:dyDescent="0.3">
      <c r="G183" s="97"/>
      <c r="M183" s="102"/>
      <c r="N183">
        <f t="shared" si="166"/>
        <v>26.151482914515743</v>
      </c>
      <c r="O183">
        <f t="shared" si="167"/>
        <v>11.88595612490643</v>
      </c>
      <c r="P183">
        <f t="shared" si="168"/>
        <v>10.235643783795052</v>
      </c>
      <c r="Q183">
        <f t="shared" si="169"/>
        <v>0.88595612490643028</v>
      </c>
      <c r="R183">
        <f t="shared" si="170"/>
        <v>0.76435621620494842</v>
      </c>
      <c r="S183">
        <f t="shared" si="175"/>
        <v>10.8030519534333</v>
      </c>
      <c r="T183">
        <f t="shared" si="171"/>
        <v>11.16991638686236</v>
      </c>
      <c r="U183" s="97"/>
      <c r="V183" s="25">
        <v>11</v>
      </c>
      <c r="W183" s="25">
        <f t="shared" si="172"/>
        <v>0.19198621771937624</v>
      </c>
      <c r="X183">
        <f t="shared" si="176"/>
        <v>-8.72836916101895</v>
      </c>
      <c r="Y183">
        <f t="shared" si="177"/>
        <v>-9.2030093239240784</v>
      </c>
      <c r="Z183">
        <f t="shared" si="173"/>
        <v>-1.9150918083824773</v>
      </c>
      <c r="AA183">
        <f t="shared" si="174"/>
        <v>-1.8156065196353357</v>
      </c>
      <c r="AB183" s="97"/>
    </row>
    <row r="184" spans="6:28" x14ac:dyDescent="0.3">
      <c r="G184" s="97"/>
      <c r="M184" s="102"/>
      <c r="N184">
        <f t="shared" si="166"/>
        <v>23.915203056515473</v>
      </c>
      <c r="O184">
        <f t="shared" si="167"/>
        <v>13.059085601584721</v>
      </c>
      <c r="P184">
        <f t="shared" si="168"/>
        <v>11.097812774466078</v>
      </c>
      <c r="Q184">
        <f t="shared" si="169"/>
        <v>1.0590856015847212</v>
      </c>
      <c r="R184">
        <f t="shared" si="170"/>
        <v>0.90218722553392183</v>
      </c>
      <c r="S184">
        <f t="shared" si="175"/>
        <v>11.764565270767717</v>
      </c>
      <c r="T184">
        <f t="shared" si="171"/>
        <v>12.200556220236191</v>
      </c>
      <c r="U184" s="97"/>
      <c r="V184" s="25">
        <v>12</v>
      </c>
      <c r="W184" s="25">
        <f t="shared" si="172"/>
        <v>0.20943951023931956</v>
      </c>
      <c r="X184">
        <f t="shared" si="176"/>
        <v>-9.6898824783533648</v>
      </c>
      <c r="Y184">
        <f t="shared" si="177"/>
        <v>-10.23364915729791</v>
      </c>
      <c r="Z184">
        <f t="shared" si="173"/>
        <v>-1.9150918083824773</v>
      </c>
      <c r="AA184">
        <f t="shared" si="174"/>
        <v>-1.8156065196353357</v>
      </c>
      <c r="AB184" s="97"/>
    </row>
    <row r="185" spans="6:28" x14ac:dyDescent="0.3">
      <c r="G185" s="97"/>
      <c r="M185" s="102"/>
      <c r="N185">
        <f t="shared" si="166"/>
        <v>22.018335694277788</v>
      </c>
      <c r="O185">
        <f t="shared" si="167"/>
        <v>14.248181671519944</v>
      </c>
      <c r="P185">
        <f t="shared" si="168"/>
        <v>11.949957423698619</v>
      </c>
      <c r="Q185">
        <f t="shared" si="169"/>
        <v>1.2481816715199443</v>
      </c>
      <c r="R185">
        <f t="shared" si="170"/>
        <v>1.0500425763013812</v>
      </c>
      <c r="S185">
        <f t="shared" si="175"/>
        <v>12.722529214421117</v>
      </c>
      <c r="T185">
        <f t="shared" si="171"/>
        <v>13.233424464711797</v>
      </c>
      <c r="U185" s="97"/>
      <c r="V185" s="25">
        <v>13</v>
      </c>
      <c r="W185" s="25">
        <f t="shared" si="172"/>
        <v>0.22689280275926285</v>
      </c>
      <c r="X185">
        <f t="shared" si="176"/>
        <v>-10.647846422006765</v>
      </c>
      <c r="Y185">
        <f t="shared" si="177"/>
        <v>-11.266517401773516</v>
      </c>
      <c r="Z185">
        <f t="shared" si="173"/>
        <v>-1.9150918083824773</v>
      </c>
      <c r="AA185">
        <f t="shared" si="174"/>
        <v>-1.8156065196353357</v>
      </c>
      <c r="AB185" s="102"/>
    </row>
    <row r="186" spans="6:28" x14ac:dyDescent="0.3">
      <c r="G186" s="97"/>
      <c r="M186" s="102"/>
      <c r="N186">
        <f t="shared" si="166"/>
        <v>20.388136412140543</v>
      </c>
      <c r="O186">
        <f t="shared" si="167"/>
        <v>15.45326647336689</v>
      </c>
      <c r="P186">
        <f t="shared" si="168"/>
        <v>12.792391247981996</v>
      </c>
      <c r="Q186">
        <f t="shared" si="169"/>
        <v>1.4532664733668899</v>
      </c>
      <c r="R186">
        <f t="shared" si="170"/>
        <v>1.2076087520180039</v>
      </c>
      <c r="S186">
        <f t="shared" si="175"/>
        <v>13.676938862970541</v>
      </c>
      <c r="T186">
        <f t="shared" si="171"/>
        <v>14.268451425573602</v>
      </c>
      <c r="U186" s="97"/>
      <c r="V186" s="25">
        <v>14</v>
      </c>
      <c r="W186" s="25">
        <f t="shared" si="172"/>
        <v>0.24434609527920614</v>
      </c>
      <c r="X186">
        <f t="shared" si="176"/>
        <v>-11.602256070556191</v>
      </c>
      <c r="Y186">
        <f t="shared" si="177"/>
        <v>-12.301544362635321</v>
      </c>
      <c r="Z186">
        <f t="shared" si="173"/>
        <v>-1.9150918083824773</v>
      </c>
      <c r="AA186">
        <f t="shared" si="174"/>
        <v>-1.8156065196353357</v>
      </c>
      <c r="AB186" s="102"/>
    </row>
    <row r="187" spans="6:28" x14ac:dyDescent="0.3">
      <c r="G187" s="97"/>
      <c r="M187" s="102"/>
      <c r="N187">
        <f t="shared" si="166"/>
        <v>18.971258271808459</v>
      </c>
      <c r="O187">
        <f t="shared" si="167"/>
        <v>16.674325912334528</v>
      </c>
      <c r="P187">
        <f t="shared" si="168"/>
        <v>13.625425761261335</v>
      </c>
      <c r="Q187">
        <f t="shared" si="169"/>
        <v>1.6743259123345275</v>
      </c>
      <c r="R187">
        <f t="shared" si="170"/>
        <v>1.3745742387386652</v>
      </c>
      <c r="S187">
        <f t="shared" si="175"/>
        <v>14.627797349688034</v>
      </c>
      <c r="T187">
        <f t="shared" si="171"/>
        <v>15.305567853271604</v>
      </c>
      <c r="U187" s="97"/>
      <c r="V187" s="25">
        <v>15</v>
      </c>
      <c r="W187" s="25">
        <f t="shared" si="172"/>
        <v>0.26179938779914941</v>
      </c>
      <c r="X187">
        <f t="shared" ref="X187" si="178">$X$87-S187</f>
        <v>-9.7942278652333226</v>
      </c>
      <c r="Y187">
        <f t="shared" ref="Y187" si="179">$Y$87-T187</f>
        <v>-11.01919491422686</v>
      </c>
      <c r="Z187">
        <f t="shared" si="173"/>
        <v>-1.9150918083824773</v>
      </c>
      <c r="AA187">
        <f t="shared" si="174"/>
        <v>-1.8156065196353357</v>
      </c>
      <c r="AB187" s="102"/>
    </row>
    <row r="188" spans="6:28" x14ac:dyDescent="0.3"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</row>
    <row r="189" spans="6:28" x14ac:dyDescent="0.3">
      <c r="F189" s="19">
        <v>1000</v>
      </c>
      <c r="G189" s="97"/>
      <c r="H189">
        <f>SQRT(('Input + Tire Forces'!$L$5*386.4)*F189)</f>
        <v>810.48133846498899</v>
      </c>
      <c r="I189">
        <f t="shared" si="26"/>
        <v>-656.88</v>
      </c>
      <c r="J189">
        <f t="shared" si="27"/>
        <v>-0.81048133846498893</v>
      </c>
      <c r="K189">
        <v>0</v>
      </c>
      <c r="L189">
        <f t="shared" si="28"/>
        <v>0</v>
      </c>
      <c r="M189" s="102"/>
      <c r="N189">
        <v>0</v>
      </c>
      <c r="O189">
        <v>0</v>
      </c>
      <c r="P189">
        <v>0</v>
      </c>
      <c r="Q189">
        <f>O189-V189</f>
        <v>0</v>
      </c>
      <c r="R189">
        <f>V189-P189</f>
        <v>0</v>
      </c>
      <c r="S189">
        <f>V189+($B$9*Q189)+$B$10</f>
        <v>0</v>
      </c>
      <c r="T189">
        <f>V189-($B$9*R189)-$B$10</f>
        <v>0</v>
      </c>
      <c r="U189" s="97"/>
      <c r="V189" s="25">
        <v>0</v>
      </c>
      <c r="W189" s="25">
        <f>V189*(PI()/180)</f>
        <v>0</v>
      </c>
      <c r="X189">
        <f>-(($L$189+($J$189*$B$2))/($H$189+($J$189*($B$4/2))))*(180/PI())</f>
        <v>1.8621128341751756</v>
      </c>
      <c r="Y189">
        <f>-(($L$189+($J$189*$B$2))/($H$189-($J$189*($B$4/2))))*(180/PI())</f>
        <v>1.7748262950732139</v>
      </c>
      <c r="Z189">
        <f>-(($L$189-($J$189*$B$3))/($H$189+($J$189*($B$5/2))))*(180/PI())</f>
        <v>-1.7188733853924694</v>
      </c>
      <c r="AA189">
        <f>-(($L$189-($J$189*$B$3))/($H$189-($J$189*($B$5/2))))*(180/PI())</f>
        <v>-1.6383011954521971</v>
      </c>
      <c r="AB189" s="97"/>
    </row>
    <row r="190" spans="6:28" x14ac:dyDescent="0.3">
      <c r="G190" s="97"/>
      <c r="M190" s="102"/>
      <c r="N190">
        <f t="shared" ref="N190:N204" si="180">($D$6/TAN(W190))</f>
        <v>291.22397162302707</v>
      </c>
      <c r="O190">
        <f t="shared" ref="O190:O204" si="181">DEGREES(ATAN(($D$6/(N190-(($B$4/2)/12)))))</f>
        <v>1.0069136373297729</v>
      </c>
      <c r="P190">
        <f t="shared" ref="P190:P204" si="182">DEGREES(ATAN(($D$6/(N190+(($B$4/2)/12)))))</f>
        <v>0.99318064617350288</v>
      </c>
      <c r="Q190">
        <f t="shared" ref="Q190:Q204" si="183">O190-V190</f>
        <v>6.9136373297729037E-3</v>
      </c>
      <c r="R190">
        <f t="shared" ref="R190:R204" si="184">V190-P190</f>
        <v>6.819353826497121E-3</v>
      </c>
      <c r="S190">
        <f>V190+($B$9*Q190)+$B$10</f>
        <v>0.99846309842159153</v>
      </c>
      <c r="T190">
        <f t="shared" ref="T190:T204" si="185">V190-($B$9*R190)-$B$10</f>
        <v>1.0015159423556304</v>
      </c>
      <c r="U190" s="97"/>
      <c r="V190" s="25">
        <v>1</v>
      </c>
      <c r="W190" s="25">
        <f t="shared" ref="W190:W204" si="186">V190*(PI()/180)</f>
        <v>1.7453292519943295E-2</v>
      </c>
      <c r="X190">
        <f>$X$189-S190</f>
        <v>0.86364973575358406</v>
      </c>
      <c r="Y190">
        <f>$Y$189-T190</f>
        <v>0.77331035271758353</v>
      </c>
      <c r="Z190">
        <f t="shared" ref="Z190:Z204" si="187">-(($L$189-($J$189*$B$3))/($H$189+($J$189*($B$5/2))))*(180/PI())</f>
        <v>-1.7188733853924694</v>
      </c>
      <c r="AA190">
        <f t="shared" ref="AA190:AA204" si="188">-(($L$189-($J$189*$B$3))/($H$189-($J$189*($B$5/2))))*(180/PI())</f>
        <v>-1.6383011954521971</v>
      </c>
      <c r="AB190" s="97"/>
    </row>
    <row r="191" spans="6:28" x14ac:dyDescent="0.3">
      <c r="G191" s="97"/>
      <c r="M191" s="102"/>
      <c r="N191">
        <f t="shared" si="180"/>
        <v>145.56762085482097</v>
      </c>
      <c r="O191">
        <f t="shared" si="181"/>
        <v>2.0278383342160931</v>
      </c>
      <c r="P191">
        <f t="shared" si="182"/>
        <v>1.9729153509744273</v>
      </c>
      <c r="Q191">
        <f t="shared" si="183"/>
        <v>2.7838334216093052E-2</v>
      </c>
      <c r="R191">
        <f t="shared" si="184"/>
        <v>2.7084649025572727E-2</v>
      </c>
      <c r="S191">
        <f t="shared" ref="S191:S204" si="189">V191+($B$9*Q191)+$B$10</f>
        <v>1.9938115383037625</v>
      </c>
      <c r="T191">
        <f t="shared" si="185"/>
        <v>2.0060209174783847</v>
      </c>
      <c r="U191" s="97"/>
      <c r="V191" s="25">
        <v>2</v>
      </c>
      <c r="W191" s="25">
        <f t="shared" si="186"/>
        <v>3.4906585039886591E-2</v>
      </c>
      <c r="X191">
        <f t="shared" ref="X191:X204" si="190">$X$189-S191</f>
        <v>-0.13169870412858686</v>
      </c>
      <c r="Y191">
        <f t="shared" ref="Y191:Y204" si="191">$Y$189-T191</f>
        <v>-0.23119462240517086</v>
      </c>
      <c r="Z191">
        <f t="shared" si="187"/>
        <v>-1.7188733853924694</v>
      </c>
      <c r="AA191">
        <f t="shared" si="188"/>
        <v>-1.6383011954521971</v>
      </c>
      <c r="AB191" s="97"/>
    </row>
    <row r="192" spans="6:28" x14ac:dyDescent="0.3">
      <c r="G192" s="97"/>
      <c r="M192" s="102"/>
      <c r="N192">
        <f t="shared" si="180"/>
        <v>96.995778162618393</v>
      </c>
      <c r="O192">
        <f t="shared" si="181"/>
        <v>3.0630416649496421</v>
      </c>
      <c r="P192">
        <f t="shared" si="182"/>
        <v>2.9394987432632744</v>
      </c>
      <c r="Q192">
        <f t="shared" si="183"/>
        <v>6.304166494964214E-2</v>
      </c>
      <c r="R192">
        <f t="shared" si="184"/>
        <v>6.0501256736725573E-2</v>
      </c>
      <c r="S192">
        <f t="shared" si="189"/>
        <v>2.9859858378816946</v>
      </c>
      <c r="T192">
        <f t="shared" si="185"/>
        <v>3.013449429372574</v>
      </c>
      <c r="U192" s="97"/>
      <c r="V192" s="25">
        <v>3</v>
      </c>
      <c r="W192" s="25">
        <f t="shared" si="186"/>
        <v>5.235987755982989E-2</v>
      </c>
      <c r="X192">
        <f t="shared" si="190"/>
        <v>-1.123873003706519</v>
      </c>
      <c r="Y192">
        <f t="shared" si="191"/>
        <v>-1.2386231342993601</v>
      </c>
      <c r="Z192">
        <f t="shared" si="187"/>
        <v>-1.7188733853924694</v>
      </c>
      <c r="AA192">
        <f t="shared" si="188"/>
        <v>-1.6383011954521971</v>
      </c>
      <c r="AB192" s="97"/>
    </row>
    <row r="193" spans="6:28" x14ac:dyDescent="0.3">
      <c r="G193" s="97"/>
      <c r="M193" s="102"/>
      <c r="N193">
        <f t="shared" si="180"/>
        <v>72.695053471618962</v>
      </c>
      <c r="O193">
        <f t="shared" si="181"/>
        <v>4.1127790850781825</v>
      </c>
      <c r="P193">
        <f t="shared" si="182"/>
        <v>3.8932317366729894</v>
      </c>
      <c r="Q193">
        <f t="shared" si="183"/>
        <v>0.11277908507818246</v>
      </c>
      <c r="R193">
        <f t="shared" si="184"/>
        <v>0.10676826332701062</v>
      </c>
      <c r="S193">
        <f t="shared" si="189"/>
        <v>3.97492920938712</v>
      </c>
      <c r="T193">
        <f t="shared" si="185"/>
        <v>4.0237345849375945</v>
      </c>
      <c r="U193" s="97"/>
      <c r="V193" s="25">
        <v>4</v>
      </c>
      <c r="W193" s="25">
        <f t="shared" si="186"/>
        <v>6.9813170079773182E-2</v>
      </c>
      <c r="X193">
        <f t="shared" si="190"/>
        <v>-2.1128163752119447</v>
      </c>
      <c r="Y193">
        <f t="shared" si="191"/>
        <v>-2.2489082898643806</v>
      </c>
      <c r="Z193">
        <f t="shared" si="187"/>
        <v>-1.7188733853924694</v>
      </c>
      <c r="AA193">
        <f t="shared" si="188"/>
        <v>-1.6383011954521971</v>
      </c>
      <c r="AB193" s="97"/>
    </row>
    <row r="194" spans="6:28" x14ac:dyDescent="0.3">
      <c r="G194" s="97"/>
      <c r="M194" s="102"/>
      <c r="N194">
        <f t="shared" si="180"/>
        <v>58.102765872370156</v>
      </c>
      <c r="O194">
        <f t="shared" si="181"/>
        <v>5.1772921945012662</v>
      </c>
      <c r="P194">
        <f t="shared" si="182"/>
        <v>4.834420340135833</v>
      </c>
      <c r="Q194">
        <f t="shared" si="183"/>
        <v>0.17729219450126621</v>
      </c>
      <c r="R194">
        <f t="shared" si="184"/>
        <v>0.16557965986416701</v>
      </c>
      <c r="S194">
        <f t="shared" si="189"/>
        <v>4.9605879451623682</v>
      </c>
      <c r="T194">
        <f t="shared" si="185"/>
        <v>5.0368083583878045</v>
      </c>
      <c r="U194" s="97"/>
      <c r="V194" s="25">
        <v>5</v>
      </c>
      <c r="W194" s="25">
        <f t="shared" si="186"/>
        <v>8.7266462599716474E-2</v>
      </c>
      <c r="X194">
        <f t="shared" si="190"/>
        <v>-3.0984751109871924</v>
      </c>
      <c r="Y194">
        <f t="shared" si="191"/>
        <v>-3.2619820633145906</v>
      </c>
      <c r="Z194">
        <f t="shared" si="187"/>
        <v>-1.7188733853924694</v>
      </c>
      <c r="AA194">
        <f t="shared" si="188"/>
        <v>-1.6383011954521971</v>
      </c>
      <c r="AB194" s="97"/>
    </row>
    <row r="195" spans="6:28" x14ac:dyDescent="0.3">
      <c r="G195" s="97"/>
      <c r="M195" s="102"/>
      <c r="N195">
        <f t="shared" si="180"/>
        <v>48.364685975631467</v>
      </c>
      <c r="O195">
        <f t="shared" si="181"/>
        <v>6.2568068892593844</v>
      </c>
      <c r="P195">
        <f t="shared" si="182"/>
        <v>5.7633745694755074</v>
      </c>
      <c r="Q195">
        <f t="shared" si="183"/>
        <v>0.25680688925938444</v>
      </c>
      <c r="R195">
        <f t="shared" si="184"/>
        <v>0.23662543052449259</v>
      </c>
      <c r="S195">
        <f t="shared" si="189"/>
        <v>5.942911828517639</v>
      </c>
      <c r="T195">
        <f t="shared" si="185"/>
        <v>6.0526018332055944</v>
      </c>
      <c r="U195" s="97"/>
      <c r="V195" s="25">
        <v>6</v>
      </c>
      <c r="W195" s="25">
        <f t="shared" si="186"/>
        <v>0.10471975511965978</v>
      </c>
      <c r="X195">
        <f t="shared" si="190"/>
        <v>-4.0807989943424632</v>
      </c>
      <c r="Y195">
        <f t="shared" si="191"/>
        <v>-4.2777755381323805</v>
      </c>
      <c r="Z195">
        <f t="shared" si="187"/>
        <v>-1.7188733853924694</v>
      </c>
      <c r="AA195">
        <f t="shared" si="188"/>
        <v>-1.6383011954521971</v>
      </c>
      <c r="AB195" s="97"/>
    </row>
    <row r="196" spans="6:28" x14ac:dyDescent="0.3">
      <c r="G196" s="97"/>
      <c r="M196" s="102"/>
      <c r="N196">
        <f t="shared" si="180"/>
        <v>41.400427675537514</v>
      </c>
      <c r="O196">
        <f t="shared" si="181"/>
        <v>7.3515314045373188</v>
      </c>
      <c r="P196">
        <f t="shared" si="182"/>
        <v>6.6804074558448523</v>
      </c>
      <c r="Q196">
        <f t="shared" si="183"/>
        <v>0.35153140453731879</v>
      </c>
      <c r="R196">
        <f t="shared" si="184"/>
        <v>0.31959254415514771</v>
      </c>
      <c r="S196">
        <f t="shared" si="189"/>
        <v>6.9218545687713542</v>
      </c>
      <c r="T196">
        <f t="shared" si="185"/>
        <v>7.0710454225656889</v>
      </c>
      <c r="U196" s="97"/>
      <c r="V196" s="25">
        <v>7</v>
      </c>
      <c r="W196" s="25">
        <f t="shared" si="186"/>
        <v>0.12217304763960307</v>
      </c>
      <c r="X196">
        <f t="shared" si="190"/>
        <v>-5.0597417345961784</v>
      </c>
      <c r="Y196">
        <f t="shared" si="191"/>
        <v>-5.296219127492475</v>
      </c>
      <c r="Z196">
        <f t="shared" si="187"/>
        <v>-1.7188733853924694</v>
      </c>
      <c r="AA196">
        <f t="shared" si="188"/>
        <v>-1.6383011954521971</v>
      </c>
      <c r="AB196" s="97"/>
    </row>
    <row r="197" spans="6:28" x14ac:dyDescent="0.3">
      <c r="G197" s="97"/>
      <c r="M197" s="102"/>
      <c r="N197">
        <f t="shared" si="180"/>
        <v>36.169796088786391</v>
      </c>
      <c r="O197">
        <f t="shared" si="181"/>
        <v>8.4616542531871186</v>
      </c>
      <c r="P197">
        <f t="shared" si="182"/>
        <v>7.5858341464600265</v>
      </c>
      <c r="Q197">
        <f t="shared" si="183"/>
        <v>0.46165425318711861</v>
      </c>
      <c r="R197">
        <f t="shared" si="184"/>
        <v>0.41416585353997348</v>
      </c>
      <c r="S197">
        <f t="shared" si="189"/>
        <v>7.8973742595165035</v>
      </c>
      <c r="T197">
        <f t="shared" si="185"/>
        <v>8.0920690692419353</v>
      </c>
      <c r="U197" s="97"/>
      <c r="V197" s="25">
        <v>8</v>
      </c>
      <c r="W197" s="25">
        <f t="shared" si="186"/>
        <v>0.13962634015954636</v>
      </c>
      <c r="X197">
        <f t="shared" si="190"/>
        <v>-6.0352614253413277</v>
      </c>
      <c r="Y197">
        <f t="shared" si="191"/>
        <v>-6.3172427741687214</v>
      </c>
      <c r="Z197">
        <f t="shared" si="187"/>
        <v>-1.7188733853924694</v>
      </c>
      <c r="AA197">
        <f t="shared" si="188"/>
        <v>-1.6383011954521971</v>
      </c>
      <c r="AB197" s="97"/>
    </row>
    <row r="198" spans="6:28" x14ac:dyDescent="0.3">
      <c r="G198" s="97"/>
      <c r="M198" s="102"/>
      <c r="N198">
        <f t="shared" si="180"/>
        <v>32.094903532931468</v>
      </c>
      <c r="O198">
        <f t="shared" si="181"/>
        <v>9.5873420661004971</v>
      </c>
      <c r="P198">
        <f t="shared" si="182"/>
        <v>8.4799710928606782</v>
      </c>
      <c r="Q198">
        <f t="shared" si="183"/>
        <v>0.58734206610049711</v>
      </c>
      <c r="R198">
        <f t="shared" si="184"/>
        <v>0.52002890713932182</v>
      </c>
      <c r="S198">
        <f t="shared" si="189"/>
        <v>8.8694338587058592</v>
      </c>
      <c r="T198">
        <f t="shared" si="185"/>
        <v>9.1156024260570714</v>
      </c>
      <c r="U198" s="97"/>
      <c r="V198" s="25">
        <v>9</v>
      </c>
      <c r="W198" s="25">
        <f t="shared" si="186"/>
        <v>0.15707963267948966</v>
      </c>
      <c r="X198">
        <f t="shared" si="190"/>
        <v>-7.0073210245306834</v>
      </c>
      <c r="Y198">
        <f t="shared" si="191"/>
        <v>-7.3407761309838575</v>
      </c>
      <c r="Z198">
        <f t="shared" si="187"/>
        <v>-1.7188733853924694</v>
      </c>
      <c r="AA198">
        <f t="shared" si="188"/>
        <v>-1.6383011954521971</v>
      </c>
      <c r="AB198" s="97"/>
    </row>
    <row r="199" spans="6:28" x14ac:dyDescent="0.3">
      <c r="G199" s="97"/>
      <c r="M199" s="102"/>
      <c r="N199">
        <f t="shared" si="180"/>
        <v>28.82901591639002</v>
      </c>
      <c r="O199">
        <f t="shared" si="181"/>
        <v>10.728737343023939</v>
      </c>
      <c r="P199">
        <f t="shared" si="182"/>
        <v>9.3631353217970563</v>
      </c>
      <c r="Q199">
        <f t="shared" si="183"/>
        <v>0.72873734302393878</v>
      </c>
      <c r="R199">
        <f t="shared" si="184"/>
        <v>0.63686467820294368</v>
      </c>
      <c r="S199">
        <f t="shared" si="189"/>
        <v>9.8380016886457788</v>
      </c>
      <c r="T199">
        <f t="shared" si="185"/>
        <v>10.141575017964515</v>
      </c>
      <c r="U199" s="97"/>
      <c r="V199" s="25">
        <v>10</v>
      </c>
      <c r="W199" s="25">
        <f t="shared" si="186"/>
        <v>0.17453292519943295</v>
      </c>
      <c r="X199">
        <f t="shared" si="190"/>
        <v>-7.975888854470603</v>
      </c>
      <c r="Y199">
        <f t="shared" si="191"/>
        <v>-8.3667487228913018</v>
      </c>
      <c r="Z199">
        <f t="shared" si="187"/>
        <v>-1.7188733853924694</v>
      </c>
      <c r="AA199">
        <f t="shared" si="188"/>
        <v>-1.6383011954521971</v>
      </c>
      <c r="AB199" s="97"/>
    </row>
    <row r="200" spans="6:28" x14ac:dyDescent="0.3">
      <c r="G200" s="97"/>
      <c r="M200" s="102"/>
      <c r="N200">
        <f t="shared" si="180"/>
        <v>26.151482914515743</v>
      </c>
      <c r="O200">
        <f t="shared" si="181"/>
        <v>11.88595612490643</v>
      </c>
      <c r="P200">
        <f t="shared" si="182"/>
        <v>10.235643783795052</v>
      </c>
      <c r="Q200">
        <f t="shared" si="183"/>
        <v>0.88595612490643028</v>
      </c>
      <c r="R200">
        <f t="shared" si="184"/>
        <v>0.76435621620494842</v>
      </c>
      <c r="S200">
        <f t="shared" si="189"/>
        <v>10.8030519534333</v>
      </c>
      <c r="T200">
        <f t="shared" si="185"/>
        <v>11.16991638686236</v>
      </c>
      <c r="U200" s="97"/>
      <c r="V200" s="25">
        <v>11</v>
      </c>
      <c r="W200" s="25">
        <f t="shared" si="186"/>
        <v>0.19198621771937624</v>
      </c>
      <c r="X200">
        <f t="shared" si="190"/>
        <v>-8.9409391192581253</v>
      </c>
      <c r="Y200">
        <f t="shared" si="191"/>
        <v>-9.3950900917891467</v>
      </c>
      <c r="Z200">
        <f t="shared" si="187"/>
        <v>-1.7188733853924694</v>
      </c>
      <c r="AA200">
        <f t="shared" si="188"/>
        <v>-1.6383011954521971</v>
      </c>
      <c r="AB200" s="97"/>
    </row>
    <row r="201" spans="6:28" x14ac:dyDescent="0.3">
      <c r="G201" s="97"/>
      <c r="M201" s="102"/>
      <c r="N201">
        <f t="shared" si="180"/>
        <v>23.915203056515473</v>
      </c>
      <c r="O201">
        <f t="shared" si="181"/>
        <v>13.059085601584721</v>
      </c>
      <c r="P201">
        <f t="shared" si="182"/>
        <v>11.097812774466078</v>
      </c>
      <c r="Q201">
        <f t="shared" si="183"/>
        <v>1.0590856015847212</v>
      </c>
      <c r="R201">
        <f t="shared" si="184"/>
        <v>0.90218722553392183</v>
      </c>
      <c r="S201">
        <f t="shared" si="189"/>
        <v>11.764565270767717</v>
      </c>
      <c r="T201">
        <f t="shared" si="185"/>
        <v>12.200556220236191</v>
      </c>
      <c r="U201" s="97"/>
      <c r="V201" s="25">
        <v>12</v>
      </c>
      <c r="W201" s="25">
        <f t="shared" si="186"/>
        <v>0.20943951023931956</v>
      </c>
      <c r="X201">
        <f t="shared" si="190"/>
        <v>-9.9024524365925419</v>
      </c>
      <c r="Y201">
        <f t="shared" si="191"/>
        <v>-10.425729925162976</v>
      </c>
      <c r="Z201">
        <f t="shared" si="187"/>
        <v>-1.7188733853924694</v>
      </c>
      <c r="AA201">
        <f t="shared" si="188"/>
        <v>-1.6383011954521971</v>
      </c>
      <c r="AB201" s="97"/>
    </row>
    <row r="202" spans="6:28" x14ac:dyDescent="0.3">
      <c r="G202" s="97"/>
      <c r="M202" s="102"/>
      <c r="N202">
        <f t="shared" si="180"/>
        <v>22.018335694277788</v>
      </c>
      <c r="O202">
        <f t="shared" si="181"/>
        <v>14.248181671519944</v>
      </c>
      <c r="P202">
        <f t="shared" si="182"/>
        <v>11.949957423698619</v>
      </c>
      <c r="Q202">
        <f t="shared" si="183"/>
        <v>1.2481816715199443</v>
      </c>
      <c r="R202">
        <f t="shared" si="184"/>
        <v>1.0500425763013812</v>
      </c>
      <c r="S202">
        <f t="shared" si="189"/>
        <v>12.722529214421117</v>
      </c>
      <c r="T202">
        <f t="shared" si="185"/>
        <v>13.233424464711797</v>
      </c>
      <c r="U202" s="97"/>
      <c r="V202" s="25">
        <v>13</v>
      </c>
      <c r="W202" s="25">
        <f t="shared" si="186"/>
        <v>0.22689280275926285</v>
      </c>
      <c r="X202">
        <f t="shared" si="190"/>
        <v>-10.860416380245942</v>
      </c>
      <c r="Y202">
        <f t="shared" si="191"/>
        <v>-11.458598169638584</v>
      </c>
      <c r="Z202">
        <f t="shared" si="187"/>
        <v>-1.7188733853924694</v>
      </c>
      <c r="AA202">
        <f t="shared" si="188"/>
        <v>-1.6383011954521971</v>
      </c>
      <c r="AB202" s="102"/>
    </row>
    <row r="203" spans="6:28" x14ac:dyDescent="0.3">
      <c r="G203" s="97"/>
      <c r="M203" s="102"/>
      <c r="N203">
        <f t="shared" si="180"/>
        <v>20.388136412140543</v>
      </c>
      <c r="O203">
        <f t="shared" si="181"/>
        <v>15.45326647336689</v>
      </c>
      <c r="P203">
        <f t="shared" si="182"/>
        <v>12.792391247981996</v>
      </c>
      <c r="Q203">
        <f t="shared" si="183"/>
        <v>1.4532664733668899</v>
      </c>
      <c r="R203">
        <f t="shared" si="184"/>
        <v>1.2076087520180039</v>
      </c>
      <c r="S203">
        <f t="shared" si="189"/>
        <v>13.676938862970541</v>
      </c>
      <c r="T203">
        <f t="shared" si="185"/>
        <v>14.268451425573602</v>
      </c>
      <c r="U203" s="97"/>
      <c r="V203" s="25">
        <v>14</v>
      </c>
      <c r="W203" s="25">
        <f t="shared" si="186"/>
        <v>0.24434609527920614</v>
      </c>
      <c r="X203">
        <f t="shared" si="190"/>
        <v>-11.814826028795366</v>
      </c>
      <c r="Y203">
        <f t="shared" si="191"/>
        <v>-12.493625130500387</v>
      </c>
      <c r="Z203">
        <f t="shared" si="187"/>
        <v>-1.7188733853924694</v>
      </c>
      <c r="AA203">
        <f t="shared" si="188"/>
        <v>-1.6383011954521971</v>
      </c>
      <c r="AB203" s="102"/>
    </row>
    <row r="204" spans="6:28" x14ac:dyDescent="0.3">
      <c r="G204" s="97"/>
      <c r="M204" s="102"/>
      <c r="N204">
        <f t="shared" si="180"/>
        <v>18.971258271808459</v>
      </c>
      <c r="O204">
        <f t="shared" si="181"/>
        <v>16.674325912334528</v>
      </c>
      <c r="P204">
        <f t="shared" si="182"/>
        <v>13.625425761261335</v>
      </c>
      <c r="Q204">
        <f t="shared" si="183"/>
        <v>1.6743259123345275</v>
      </c>
      <c r="R204">
        <f t="shared" si="184"/>
        <v>1.3745742387386652</v>
      </c>
      <c r="S204">
        <f t="shared" si="189"/>
        <v>14.627797349688034</v>
      </c>
      <c r="T204">
        <f t="shared" si="185"/>
        <v>15.305567853271604</v>
      </c>
      <c r="U204" s="97"/>
      <c r="V204" s="25">
        <v>15</v>
      </c>
      <c r="W204" s="25">
        <f t="shared" si="186"/>
        <v>0.26179938779914941</v>
      </c>
      <c r="X204">
        <f t="shared" si="190"/>
        <v>-12.765684515512859</v>
      </c>
      <c r="Y204">
        <f t="shared" si="191"/>
        <v>-13.53074155819839</v>
      </c>
      <c r="Z204">
        <f t="shared" si="187"/>
        <v>-1.7188733853924694</v>
      </c>
      <c r="AA204">
        <f t="shared" si="188"/>
        <v>-1.6383011954521971</v>
      </c>
      <c r="AB204" s="102"/>
    </row>
    <row r="205" spans="6:28" x14ac:dyDescent="0.3"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</row>
    <row r="206" spans="6:28" x14ac:dyDescent="0.3">
      <c r="F206" s="19">
        <v>1100</v>
      </c>
      <c r="G206" s="97"/>
      <c r="H206">
        <f>SQRT(('Input + Tire Forces'!$L$5*386.4)*F206)</f>
        <v>850.03999905886781</v>
      </c>
      <c r="I206">
        <f t="shared" si="26"/>
        <v>-656.88</v>
      </c>
      <c r="J206">
        <f t="shared" si="27"/>
        <v>-0.77276363550806171</v>
      </c>
      <c r="K206">
        <v>0</v>
      </c>
      <c r="L206">
        <f t="shared" si="28"/>
        <v>0</v>
      </c>
      <c r="M206" s="102"/>
      <c r="N206">
        <v>0</v>
      </c>
      <c r="O206">
        <v>0</v>
      </c>
      <c r="P206">
        <v>0</v>
      </c>
      <c r="Q206">
        <f>O206-V206</f>
        <v>0</v>
      </c>
      <c r="R206">
        <f>V206-P206</f>
        <v>0</v>
      </c>
      <c r="S206">
        <f>V206+($B$9*Q206)+$B$10</f>
        <v>0</v>
      </c>
      <c r="T206">
        <f>V206-($B$9*R206)-$B$10</f>
        <v>0</v>
      </c>
      <c r="U206" s="97"/>
      <c r="V206" s="25">
        <v>0</v>
      </c>
      <c r="W206" s="25">
        <f>V206*(PI()/180)</f>
        <v>0</v>
      </c>
      <c r="X206">
        <f>-(($L$206+($J$206*$B$2))/($H$206+($J$206*($B$4/2))))*(180/PI())</f>
        <v>1.6890540205901223</v>
      </c>
      <c r="Y206">
        <f>-(($L$206+($J$206*$B$2))/($H$206-($J$206*($B$4/2))))*(180/PI())</f>
        <v>1.6169235997820033</v>
      </c>
      <c r="Z206">
        <f>-(($L$206-($J$206*$B$3))/($H$206+($J$206*($B$5/2))))*(180/PI())</f>
        <v>-1.5591267882370354</v>
      </c>
      <c r="AA206">
        <f>-(($L$206-($J$206*$B$3))/($H$206-($J$206*($B$5/2))))*(180/PI())</f>
        <v>-1.4925448613372334</v>
      </c>
      <c r="AB206" s="97"/>
    </row>
    <row r="207" spans="6:28" x14ac:dyDescent="0.3">
      <c r="G207" s="97"/>
      <c r="M207" s="102"/>
      <c r="N207">
        <f t="shared" ref="N207:N221" si="192">($D$6/TAN(W207))</f>
        <v>291.22397162302707</v>
      </c>
      <c r="O207">
        <f t="shared" ref="O207:O221" si="193">DEGREES(ATAN(($D$6/(N207-(($B$4/2)/12)))))</f>
        <v>1.0069136373297729</v>
      </c>
      <c r="P207">
        <f t="shared" ref="P207:P221" si="194">DEGREES(ATAN(($D$6/(N207+(($B$4/2)/12)))))</f>
        <v>0.99318064617350288</v>
      </c>
      <c r="Q207">
        <f t="shared" ref="Q207:Q221" si="195">O207-V207</f>
        <v>6.9136373297729037E-3</v>
      </c>
      <c r="R207">
        <f t="shared" ref="R207:R221" si="196">V207-P207</f>
        <v>6.819353826497121E-3</v>
      </c>
      <c r="S207">
        <f>V207+($B$9*Q207)+$B$10</f>
        <v>0.99846309842159153</v>
      </c>
      <c r="T207">
        <f t="shared" ref="T207:T221" si="197">V207-($B$9*R207)-$B$10</f>
        <v>1.0015159423556304</v>
      </c>
      <c r="U207" s="97"/>
      <c r="V207" s="25">
        <v>1</v>
      </c>
      <c r="W207" s="25">
        <f t="shared" ref="W207:W221" si="198">V207*(PI()/180)</f>
        <v>1.7453292519943295E-2</v>
      </c>
      <c r="X207">
        <f>$X$206-S207</f>
        <v>0.6905909221685308</v>
      </c>
      <c r="Y207">
        <f>$Y$206-T207</f>
        <v>0.61540765742637293</v>
      </c>
      <c r="Z207">
        <f t="shared" ref="Z207:Z221" si="199">-(($L$206-($J$206*$B$3))/($H$206+($J$206*($B$5/2))))*(180/PI())</f>
        <v>-1.5591267882370354</v>
      </c>
      <c r="AA207">
        <f t="shared" ref="AA207:AA221" si="200">-(($L$206-($J$206*$B$3))/($H$206-($J$206*($B$5/2))))*(180/PI())</f>
        <v>-1.4925448613372334</v>
      </c>
      <c r="AB207" s="97"/>
    </row>
    <row r="208" spans="6:28" x14ac:dyDescent="0.3">
      <c r="G208" s="97"/>
      <c r="M208" s="102"/>
      <c r="N208">
        <f t="shared" si="192"/>
        <v>145.56762085482097</v>
      </c>
      <c r="O208">
        <f t="shared" si="193"/>
        <v>2.0278383342160931</v>
      </c>
      <c r="P208">
        <f t="shared" si="194"/>
        <v>1.9729153509744273</v>
      </c>
      <c r="Q208">
        <f t="shared" si="195"/>
        <v>2.7838334216093052E-2</v>
      </c>
      <c r="R208">
        <f t="shared" si="196"/>
        <v>2.7084649025572727E-2</v>
      </c>
      <c r="S208">
        <f t="shared" ref="S208:S221" si="201">V208+($B$9*Q208)+$B$10</f>
        <v>1.9938115383037625</v>
      </c>
      <c r="T208">
        <f t="shared" si="197"/>
        <v>2.0060209174783847</v>
      </c>
      <c r="U208" s="97"/>
      <c r="V208" s="25">
        <v>2</v>
      </c>
      <c r="W208" s="25">
        <f t="shared" si="198"/>
        <v>3.4906585039886591E-2</v>
      </c>
      <c r="X208">
        <f t="shared" ref="X208:X221" si="202">$X$206-S208</f>
        <v>-0.30475751771364012</v>
      </c>
      <c r="Y208">
        <f t="shared" ref="Y208:Y221" si="203">$Y$206-T208</f>
        <v>-0.38909731769638145</v>
      </c>
      <c r="Z208">
        <f t="shared" si="199"/>
        <v>-1.5591267882370354</v>
      </c>
      <c r="AA208">
        <f t="shared" si="200"/>
        <v>-1.4925448613372334</v>
      </c>
      <c r="AB208" s="97"/>
    </row>
    <row r="209" spans="6:28" x14ac:dyDescent="0.3">
      <c r="G209" s="97"/>
      <c r="M209" s="102"/>
      <c r="N209">
        <f t="shared" si="192"/>
        <v>96.995778162618393</v>
      </c>
      <c r="O209">
        <f t="shared" si="193"/>
        <v>3.0630416649496421</v>
      </c>
      <c r="P209">
        <f t="shared" si="194"/>
        <v>2.9394987432632744</v>
      </c>
      <c r="Q209">
        <f t="shared" si="195"/>
        <v>6.304166494964214E-2</v>
      </c>
      <c r="R209">
        <f t="shared" si="196"/>
        <v>6.0501256736725573E-2</v>
      </c>
      <c r="S209">
        <f t="shared" si="201"/>
        <v>2.9859858378816946</v>
      </c>
      <c r="T209">
        <f t="shared" si="197"/>
        <v>3.013449429372574</v>
      </c>
      <c r="U209" s="97"/>
      <c r="V209" s="25">
        <v>3</v>
      </c>
      <c r="W209" s="25">
        <f t="shared" si="198"/>
        <v>5.235987755982989E-2</v>
      </c>
      <c r="X209">
        <f t="shared" si="202"/>
        <v>-1.2969318172915723</v>
      </c>
      <c r="Y209">
        <f t="shared" si="203"/>
        <v>-1.3965258295905707</v>
      </c>
      <c r="Z209">
        <f t="shared" si="199"/>
        <v>-1.5591267882370354</v>
      </c>
      <c r="AA209">
        <f t="shared" si="200"/>
        <v>-1.4925448613372334</v>
      </c>
      <c r="AB209" s="97"/>
    </row>
    <row r="210" spans="6:28" x14ac:dyDescent="0.3">
      <c r="G210" s="97"/>
      <c r="M210" s="102"/>
      <c r="N210">
        <f t="shared" si="192"/>
        <v>72.695053471618962</v>
      </c>
      <c r="O210">
        <f t="shared" si="193"/>
        <v>4.1127790850781825</v>
      </c>
      <c r="P210">
        <f t="shared" si="194"/>
        <v>3.8932317366729894</v>
      </c>
      <c r="Q210">
        <f t="shared" si="195"/>
        <v>0.11277908507818246</v>
      </c>
      <c r="R210">
        <f t="shared" si="196"/>
        <v>0.10676826332701062</v>
      </c>
      <c r="S210">
        <f t="shared" si="201"/>
        <v>3.97492920938712</v>
      </c>
      <c r="T210">
        <f t="shared" si="197"/>
        <v>4.0237345849375945</v>
      </c>
      <c r="U210" s="97"/>
      <c r="V210" s="25">
        <v>4</v>
      </c>
      <c r="W210" s="25">
        <f t="shared" si="198"/>
        <v>6.9813170079773182E-2</v>
      </c>
      <c r="X210">
        <f t="shared" si="202"/>
        <v>-2.2858751887969975</v>
      </c>
      <c r="Y210">
        <f t="shared" si="203"/>
        <v>-2.406810985155591</v>
      </c>
      <c r="Z210">
        <f t="shared" si="199"/>
        <v>-1.5591267882370354</v>
      </c>
      <c r="AA210">
        <f t="shared" si="200"/>
        <v>-1.4925448613372334</v>
      </c>
      <c r="AB210" s="97"/>
    </row>
    <row r="211" spans="6:28" x14ac:dyDescent="0.3">
      <c r="G211" s="97"/>
      <c r="M211" s="102"/>
      <c r="N211">
        <f t="shared" si="192"/>
        <v>58.102765872370156</v>
      </c>
      <c r="O211">
        <f t="shared" si="193"/>
        <v>5.1772921945012662</v>
      </c>
      <c r="P211">
        <f t="shared" si="194"/>
        <v>4.834420340135833</v>
      </c>
      <c r="Q211">
        <f t="shared" si="195"/>
        <v>0.17729219450126621</v>
      </c>
      <c r="R211">
        <f t="shared" si="196"/>
        <v>0.16557965986416701</v>
      </c>
      <c r="S211">
        <f t="shared" si="201"/>
        <v>4.9605879451623682</v>
      </c>
      <c r="T211">
        <f t="shared" si="197"/>
        <v>5.0368083583878045</v>
      </c>
      <c r="U211" s="97"/>
      <c r="V211" s="25">
        <v>5</v>
      </c>
      <c r="W211" s="25">
        <f t="shared" si="198"/>
        <v>8.7266462599716474E-2</v>
      </c>
      <c r="X211">
        <f t="shared" si="202"/>
        <v>-3.2715339245722461</v>
      </c>
      <c r="Y211">
        <f t="shared" si="203"/>
        <v>-3.419884758605801</v>
      </c>
      <c r="Z211">
        <f t="shared" si="199"/>
        <v>-1.5591267882370354</v>
      </c>
      <c r="AA211">
        <f t="shared" si="200"/>
        <v>-1.4925448613372334</v>
      </c>
      <c r="AB211" s="97"/>
    </row>
    <row r="212" spans="6:28" x14ac:dyDescent="0.3">
      <c r="G212" s="97"/>
      <c r="M212" s="102"/>
      <c r="N212">
        <f t="shared" si="192"/>
        <v>48.364685975631467</v>
      </c>
      <c r="O212">
        <f t="shared" si="193"/>
        <v>6.2568068892593844</v>
      </c>
      <c r="P212">
        <f t="shared" si="194"/>
        <v>5.7633745694755074</v>
      </c>
      <c r="Q212">
        <f t="shared" si="195"/>
        <v>0.25680688925938444</v>
      </c>
      <c r="R212">
        <f t="shared" si="196"/>
        <v>0.23662543052449259</v>
      </c>
      <c r="S212">
        <f t="shared" si="201"/>
        <v>5.942911828517639</v>
      </c>
      <c r="T212">
        <f t="shared" si="197"/>
        <v>6.0526018332055944</v>
      </c>
      <c r="U212" s="97"/>
      <c r="V212" s="25">
        <v>6</v>
      </c>
      <c r="W212" s="25">
        <f t="shared" si="198"/>
        <v>0.10471975511965978</v>
      </c>
      <c r="X212">
        <f t="shared" si="202"/>
        <v>-4.2538578079275169</v>
      </c>
      <c r="Y212">
        <f t="shared" si="203"/>
        <v>-4.4356782334235909</v>
      </c>
      <c r="Z212">
        <f t="shared" si="199"/>
        <v>-1.5591267882370354</v>
      </c>
      <c r="AA212">
        <f t="shared" si="200"/>
        <v>-1.4925448613372334</v>
      </c>
      <c r="AB212" s="97"/>
    </row>
    <row r="213" spans="6:28" x14ac:dyDescent="0.3">
      <c r="G213" s="97"/>
      <c r="M213" s="102"/>
      <c r="N213">
        <f t="shared" si="192"/>
        <v>41.400427675537514</v>
      </c>
      <c r="O213">
        <f t="shared" si="193"/>
        <v>7.3515314045373188</v>
      </c>
      <c r="P213">
        <f t="shared" si="194"/>
        <v>6.6804074558448523</v>
      </c>
      <c r="Q213">
        <f t="shared" si="195"/>
        <v>0.35153140453731879</v>
      </c>
      <c r="R213">
        <f t="shared" si="196"/>
        <v>0.31959254415514771</v>
      </c>
      <c r="S213">
        <f t="shared" si="201"/>
        <v>6.9218545687713542</v>
      </c>
      <c r="T213">
        <f t="shared" si="197"/>
        <v>7.0710454225656889</v>
      </c>
      <c r="U213" s="97"/>
      <c r="V213" s="25">
        <v>7</v>
      </c>
      <c r="W213" s="25">
        <f t="shared" si="198"/>
        <v>0.12217304763960307</v>
      </c>
      <c r="X213">
        <f t="shared" si="202"/>
        <v>-5.2328005481812321</v>
      </c>
      <c r="Y213">
        <f t="shared" si="203"/>
        <v>-5.4541218227836854</v>
      </c>
      <c r="Z213">
        <f t="shared" si="199"/>
        <v>-1.5591267882370354</v>
      </c>
      <c r="AA213">
        <f t="shared" si="200"/>
        <v>-1.4925448613372334</v>
      </c>
      <c r="AB213" s="97"/>
    </row>
    <row r="214" spans="6:28" x14ac:dyDescent="0.3">
      <c r="G214" s="97"/>
      <c r="M214" s="102"/>
      <c r="N214">
        <f t="shared" si="192"/>
        <v>36.169796088786391</v>
      </c>
      <c r="O214">
        <f t="shared" si="193"/>
        <v>8.4616542531871186</v>
      </c>
      <c r="P214">
        <f t="shared" si="194"/>
        <v>7.5858341464600265</v>
      </c>
      <c r="Q214">
        <f t="shared" si="195"/>
        <v>0.46165425318711861</v>
      </c>
      <c r="R214">
        <f t="shared" si="196"/>
        <v>0.41416585353997348</v>
      </c>
      <c r="S214">
        <f t="shared" si="201"/>
        <v>7.8973742595165035</v>
      </c>
      <c r="T214">
        <f t="shared" si="197"/>
        <v>8.0920690692419353</v>
      </c>
      <c r="U214" s="97"/>
      <c r="V214" s="25">
        <v>8</v>
      </c>
      <c r="W214" s="25">
        <f t="shared" si="198"/>
        <v>0.13962634015954636</v>
      </c>
      <c r="X214">
        <f t="shared" si="202"/>
        <v>-6.2083202389263814</v>
      </c>
      <c r="Y214">
        <f t="shared" si="203"/>
        <v>-6.4751454694599317</v>
      </c>
      <c r="Z214">
        <f t="shared" si="199"/>
        <v>-1.5591267882370354</v>
      </c>
      <c r="AA214">
        <f t="shared" si="200"/>
        <v>-1.4925448613372334</v>
      </c>
      <c r="AB214" s="97"/>
    </row>
    <row r="215" spans="6:28" x14ac:dyDescent="0.3">
      <c r="G215" s="97"/>
      <c r="M215" s="102"/>
      <c r="N215">
        <f t="shared" si="192"/>
        <v>32.094903532931468</v>
      </c>
      <c r="O215">
        <f t="shared" si="193"/>
        <v>9.5873420661004971</v>
      </c>
      <c r="P215">
        <f t="shared" si="194"/>
        <v>8.4799710928606782</v>
      </c>
      <c r="Q215">
        <f t="shared" si="195"/>
        <v>0.58734206610049711</v>
      </c>
      <c r="R215">
        <f t="shared" si="196"/>
        <v>0.52002890713932182</v>
      </c>
      <c r="S215">
        <f t="shared" si="201"/>
        <v>8.8694338587058592</v>
      </c>
      <c r="T215">
        <f t="shared" si="197"/>
        <v>9.1156024260570714</v>
      </c>
      <c r="U215" s="97"/>
      <c r="V215" s="25">
        <v>9</v>
      </c>
      <c r="W215" s="25">
        <f t="shared" si="198"/>
        <v>0.15707963267948966</v>
      </c>
      <c r="X215">
        <f t="shared" si="202"/>
        <v>-7.1803798381157371</v>
      </c>
      <c r="Y215">
        <f t="shared" si="203"/>
        <v>-7.4986788262750679</v>
      </c>
      <c r="Z215">
        <f t="shared" si="199"/>
        <v>-1.5591267882370354</v>
      </c>
      <c r="AA215">
        <f t="shared" si="200"/>
        <v>-1.4925448613372334</v>
      </c>
      <c r="AB215" s="97"/>
    </row>
    <row r="216" spans="6:28" x14ac:dyDescent="0.3">
      <c r="G216" s="97"/>
      <c r="M216" s="102"/>
      <c r="N216">
        <f t="shared" si="192"/>
        <v>28.82901591639002</v>
      </c>
      <c r="O216">
        <f t="shared" si="193"/>
        <v>10.728737343023939</v>
      </c>
      <c r="P216">
        <f t="shared" si="194"/>
        <v>9.3631353217970563</v>
      </c>
      <c r="Q216">
        <f t="shared" si="195"/>
        <v>0.72873734302393878</v>
      </c>
      <c r="R216">
        <f t="shared" si="196"/>
        <v>0.63686467820294368</v>
      </c>
      <c r="S216">
        <f t="shared" si="201"/>
        <v>9.8380016886457788</v>
      </c>
      <c r="T216">
        <f t="shared" si="197"/>
        <v>10.141575017964515</v>
      </c>
      <c r="U216" s="97"/>
      <c r="V216" s="25">
        <v>10</v>
      </c>
      <c r="W216" s="25">
        <f t="shared" si="198"/>
        <v>0.17453292519943295</v>
      </c>
      <c r="X216">
        <f t="shared" si="202"/>
        <v>-8.1489476680556567</v>
      </c>
      <c r="Y216">
        <f t="shared" si="203"/>
        <v>-8.5246514181825113</v>
      </c>
      <c r="Z216">
        <f t="shared" si="199"/>
        <v>-1.5591267882370354</v>
      </c>
      <c r="AA216">
        <f t="shared" si="200"/>
        <v>-1.4925448613372334</v>
      </c>
      <c r="AB216" s="97"/>
    </row>
    <row r="217" spans="6:28" x14ac:dyDescent="0.3">
      <c r="G217" s="97"/>
      <c r="M217" s="102"/>
      <c r="N217">
        <f t="shared" si="192"/>
        <v>26.151482914515743</v>
      </c>
      <c r="O217">
        <f t="shared" si="193"/>
        <v>11.88595612490643</v>
      </c>
      <c r="P217">
        <f t="shared" si="194"/>
        <v>10.235643783795052</v>
      </c>
      <c r="Q217">
        <f t="shared" si="195"/>
        <v>0.88595612490643028</v>
      </c>
      <c r="R217">
        <f t="shared" si="196"/>
        <v>0.76435621620494842</v>
      </c>
      <c r="S217">
        <f t="shared" si="201"/>
        <v>10.8030519534333</v>
      </c>
      <c r="T217">
        <f t="shared" si="197"/>
        <v>11.16991638686236</v>
      </c>
      <c r="U217" s="97"/>
      <c r="V217" s="25">
        <v>11</v>
      </c>
      <c r="W217" s="25">
        <f t="shared" si="198"/>
        <v>0.19198621771937624</v>
      </c>
      <c r="X217">
        <f t="shared" si="202"/>
        <v>-9.1139979328431782</v>
      </c>
      <c r="Y217">
        <f t="shared" si="203"/>
        <v>-9.5529927870803562</v>
      </c>
      <c r="Z217">
        <f t="shared" si="199"/>
        <v>-1.5591267882370354</v>
      </c>
      <c r="AA217">
        <f t="shared" si="200"/>
        <v>-1.4925448613372334</v>
      </c>
      <c r="AB217" s="97"/>
    </row>
    <row r="218" spans="6:28" x14ac:dyDescent="0.3">
      <c r="G218" s="97"/>
      <c r="M218" s="102"/>
      <c r="N218">
        <f t="shared" si="192"/>
        <v>23.915203056515473</v>
      </c>
      <c r="O218">
        <f t="shared" si="193"/>
        <v>13.059085601584721</v>
      </c>
      <c r="P218">
        <f t="shared" si="194"/>
        <v>11.097812774466078</v>
      </c>
      <c r="Q218">
        <f t="shared" si="195"/>
        <v>1.0590856015847212</v>
      </c>
      <c r="R218">
        <f t="shared" si="196"/>
        <v>0.90218722553392183</v>
      </c>
      <c r="S218">
        <f t="shared" si="201"/>
        <v>11.764565270767717</v>
      </c>
      <c r="T218">
        <f t="shared" si="197"/>
        <v>12.200556220236191</v>
      </c>
      <c r="U218" s="97"/>
      <c r="V218" s="25">
        <v>12</v>
      </c>
      <c r="W218" s="25">
        <f t="shared" si="198"/>
        <v>0.20943951023931956</v>
      </c>
      <c r="X218">
        <f t="shared" si="202"/>
        <v>-10.075511250177595</v>
      </c>
      <c r="Y218">
        <f t="shared" si="203"/>
        <v>-10.583632620454187</v>
      </c>
      <c r="Z218">
        <f t="shared" si="199"/>
        <v>-1.5591267882370354</v>
      </c>
      <c r="AA218">
        <f t="shared" si="200"/>
        <v>-1.4925448613372334</v>
      </c>
      <c r="AB218" s="97"/>
    </row>
    <row r="219" spans="6:28" x14ac:dyDescent="0.3">
      <c r="G219" s="97"/>
      <c r="M219" s="102"/>
      <c r="N219">
        <f t="shared" si="192"/>
        <v>22.018335694277788</v>
      </c>
      <c r="O219">
        <f t="shared" si="193"/>
        <v>14.248181671519944</v>
      </c>
      <c r="P219">
        <f t="shared" si="194"/>
        <v>11.949957423698619</v>
      </c>
      <c r="Q219">
        <f t="shared" si="195"/>
        <v>1.2481816715199443</v>
      </c>
      <c r="R219">
        <f t="shared" si="196"/>
        <v>1.0500425763013812</v>
      </c>
      <c r="S219">
        <f t="shared" si="201"/>
        <v>12.722529214421117</v>
      </c>
      <c r="T219">
        <f t="shared" si="197"/>
        <v>13.233424464711797</v>
      </c>
      <c r="U219" s="97"/>
      <c r="V219" s="25">
        <v>13</v>
      </c>
      <c r="W219" s="25">
        <f t="shared" si="198"/>
        <v>0.22689280275926285</v>
      </c>
      <c r="X219">
        <f t="shared" si="202"/>
        <v>-11.033475193830995</v>
      </c>
      <c r="Y219">
        <f t="shared" si="203"/>
        <v>-11.616500864929794</v>
      </c>
      <c r="Z219">
        <f t="shared" si="199"/>
        <v>-1.5591267882370354</v>
      </c>
      <c r="AA219">
        <f t="shared" si="200"/>
        <v>-1.4925448613372334</v>
      </c>
      <c r="AB219" s="102"/>
    </row>
    <row r="220" spans="6:28" x14ac:dyDescent="0.3">
      <c r="G220" s="97"/>
      <c r="M220" s="102"/>
      <c r="N220">
        <f t="shared" si="192"/>
        <v>20.388136412140543</v>
      </c>
      <c r="O220">
        <f t="shared" si="193"/>
        <v>15.45326647336689</v>
      </c>
      <c r="P220">
        <f t="shared" si="194"/>
        <v>12.792391247981996</v>
      </c>
      <c r="Q220">
        <f t="shared" si="195"/>
        <v>1.4532664733668899</v>
      </c>
      <c r="R220">
        <f t="shared" si="196"/>
        <v>1.2076087520180039</v>
      </c>
      <c r="S220">
        <f t="shared" si="201"/>
        <v>13.676938862970541</v>
      </c>
      <c r="T220">
        <f t="shared" si="197"/>
        <v>14.268451425573602</v>
      </c>
      <c r="U220" s="97"/>
      <c r="V220" s="25">
        <v>14</v>
      </c>
      <c r="W220" s="25">
        <f t="shared" si="198"/>
        <v>0.24434609527920614</v>
      </c>
      <c r="X220">
        <f t="shared" si="202"/>
        <v>-11.987884842380419</v>
      </c>
      <c r="Y220">
        <f t="shared" si="203"/>
        <v>-12.651527825791598</v>
      </c>
      <c r="Z220">
        <f t="shared" si="199"/>
        <v>-1.5591267882370354</v>
      </c>
      <c r="AA220">
        <f t="shared" si="200"/>
        <v>-1.4925448613372334</v>
      </c>
      <c r="AB220" s="102"/>
    </row>
    <row r="221" spans="6:28" x14ac:dyDescent="0.3">
      <c r="G221" s="97"/>
      <c r="M221" s="102"/>
      <c r="N221">
        <f t="shared" si="192"/>
        <v>18.971258271808459</v>
      </c>
      <c r="O221">
        <f t="shared" si="193"/>
        <v>16.674325912334528</v>
      </c>
      <c r="P221">
        <f t="shared" si="194"/>
        <v>13.625425761261335</v>
      </c>
      <c r="Q221">
        <f t="shared" si="195"/>
        <v>1.6743259123345275</v>
      </c>
      <c r="R221">
        <f t="shared" si="196"/>
        <v>1.3745742387386652</v>
      </c>
      <c r="S221">
        <f t="shared" si="201"/>
        <v>14.627797349688034</v>
      </c>
      <c r="T221">
        <f t="shared" si="197"/>
        <v>15.305567853271604</v>
      </c>
      <c r="U221" s="97"/>
      <c r="V221" s="25">
        <v>15</v>
      </c>
      <c r="W221" s="25">
        <f t="shared" si="198"/>
        <v>0.26179938779914941</v>
      </c>
      <c r="X221">
        <f t="shared" si="202"/>
        <v>-12.938743329097912</v>
      </c>
      <c r="Y221">
        <f t="shared" si="203"/>
        <v>-13.688644253489601</v>
      </c>
      <c r="Z221">
        <f t="shared" si="199"/>
        <v>-1.5591267882370354</v>
      </c>
      <c r="AA221">
        <f t="shared" si="200"/>
        <v>-1.4925448613372334</v>
      </c>
      <c r="AB221" s="102"/>
    </row>
    <row r="222" spans="6:28" x14ac:dyDescent="0.3"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</row>
    <row r="223" spans="6:28" x14ac:dyDescent="0.3">
      <c r="F223" s="19">
        <v>1200</v>
      </c>
      <c r="G223" s="97"/>
      <c r="H223">
        <f>SQRT(('Input + Tire Forces'!$L$5*386.4)*F223)</f>
        <v>887.83782302850784</v>
      </c>
      <c r="I223">
        <f t="shared" si="26"/>
        <v>-656.88</v>
      </c>
      <c r="J223">
        <f t="shared" si="27"/>
        <v>-0.73986485252375656</v>
      </c>
      <c r="K223">
        <v>0</v>
      </c>
      <c r="L223">
        <f t="shared" si="28"/>
        <v>0</v>
      </c>
      <c r="M223" s="102"/>
      <c r="N223">
        <v>0</v>
      </c>
      <c r="O223">
        <v>0</v>
      </c>
      <c r="P223">
        <v>0</v>
      </c>
      <c r="Q223">
        <f>O223-V223</f>
        <v>0</v>
      </c>
      <c r="R223">
        <f>V223-P223</f>
        <v>0</v>
      </c>
      <c r="S223">
        <f>V223+($B$9*Q223)+$B$10</f>
        <v>0</v>
      </c>
      <c r="T223">
        <f>V223-($B$9*R223)-$B$10</f>
        <v>0</v>
      </c>
      <c r="U223" s="97"/>
      <c r="V223" s="25">
        <v>0</v>
      </c>
      <c r="W223" s="25">
        <f>V223*(PI()/180)</f>
        <v>0</v>
      </c>
      <c r="X223">
        <f>-(($L$223+($J$223*$B$2))/($H$223+($J$223*($B$4/2))))*(180/PI())</f>
        <v>1.5454269780229348</v>
      </c>
      <c r="Y223">
        <f>-(($L$223+($J$223*$B$2))/($H$223-($J$223*($B$4/2))))*(180/PI())</f>
        <v>1.4848219984926236</v>
      </c>
      <c r="Z223">
        <f>-(($L$223-($J$223*$B$3))/($H$223+($J$223*($B$5/2))))*(180/PI())</f>
        <v>-1.4265479797134784</v>
      </c>
      <c r="AA223">
        <f>-(($L$223-($J$223*$B$3))/($H$223-($J$223*($B$5/2))))*(180/PI())</f>
        <v>-1.3706049216854987</v>
      </c>
      <c r="AB223" s="97"/>
    </row>
    <row r="224" spans="6:28" x14ac:dyDescent="0.3">
      <c r="G224" s="97"/>
      <c r="M224" s="102"/>
      <c r="N224">
        <f t="shared" ref="N224:N238" si="204">($D$6/TAN(W224))</f>
        <v>291.22397162302707</v>
      </c>
      <c r="O224">
        <f t="shared" ref="O224:O238" si="205">DEGREES(ATAN(($D$6/(N224-(($B$4/2)/12)))))</f>
        <v>1.0069136373297729</v>
      </c>
      <c r="P224">
        <f t="shared" ref="P224:P238" si="206">DEGREES(ATAN(($D$6/(N224+(($B$4/2)/12)))))</f>
        <v>0.99318064617350288</v>
      </c>
      <c r="Q224">
        <f t="shared" ref="Q224:Q238" si="207">O224-V224</f>
        <v>6.9136373297729037E-3</v>
      </c>
      <c r="R224">
        <f t="shared" ref="R224:R238" si="208">V224-P224</f>
        <v>6.819353826497121E-3</v>
      </c>
      <c r="S224">
        <f>V224+($B$9*Q224)+$B$10</f>
        <v>0.99846309842159153</v>
      </c>
      <c r="T224">
        <f t="shared" ref="T224:T238" si="209">V224-($B$9*R224)-$B$10</f>
        <v>1.0015159423556304</v>
      </c>
      <c r="U224" s="97"/>
      <c r="V224" s="25">
        <v>1</v>
      </c>
      <c r="W224" s="25">
        <f t="shared" ref="W224:W238" si="210">V224*(PI()/180)</f>
        <v>1.7453292519943295E-2</v>
      </c>
      <c r="X224">
        <f>$X$223-S224</f>
        <v>0.54696387960134329</v>
      </c>
      <c r="Y224">
        <f>$Y$223-T224</f>
        <v>0.48330605613699329</v>
      </c>
      <c r="Z224">
        <f t="shared" ref="Z224:Z238" si="211">-(($L$87-($J$87*$B$3))/($H$87+($J$87*($B$5/2))))*(180/PI())</f>
        <v>-4.4617564471889635</v>
      </c>
      <c r="AA224">
        <f t="shared" ref="AA224:AA238" si="212">-(($L$87-($J$87*$B$3))/($H$87-($J$87*($B$5/2))))*(180/PI())</f>
        <v>-3.9566519437336098</v>
      </c>
      <c r="AB224" s="97"/>
    </row>
    <row r="225" spans="6:28" x14ac:dyDescent="0.3">
      <c r="G225" s="97"/>
      <c r="M225" s="102"/>
      <c r="N225">
        <f t="shared" si="204"/>
        <v>145.56762085482097</v>
      </c>
      <c r="O225">
        <f t="shared" si="205"/>
        <v>2.0278383342160931</v>
      </c>
      <c r="P225">
        <f t="shared" si="206"/>
        <v>1.9729153509744273</v>
      </c>
      <c r="Q225">
        <f t="shared" si="207"/>
        <v>2.7838334216093052E-2</v>
      </c>
      <c r="R225">
        <f t="shared" si="208"/>
        <v>2.7084649025572727E-2</v>
      </c>
      <c r="S225">
        <f t="shared" ref="S225:S238" si="213">V225+($B$9*Q225)+$B$10</f>
        <v>1.9938115383037625</v>
      </c>
      <c r="T225">
        <f t="shared" si="209"/>
        <v>2.0060209174783847</v>
      </c>
      <c r="U225" s="97"/>
      <c r="V225" s="25">
        <v>2</v>
      </c>
      <c r="W225" s="25">
        <f t="shared" si="210"/>
        <v>3.4906585039886591E-2</v>
      </c>
      <c r="X225">
        <f t="shared" ref="X225:X238" si="214">$X$223-S225</f>
        <v>-0.44838456028082763</v>
      </c>
      <c r="Y225">
        <f t="shared" ref="Y225:Y238" si="215">$Y$223-T225</f>
        <v>-0.52119891898576109</v>
      </c>
      <c r="Z225">
        <f t="shared" si="211"/>
        <v>-4.4617564471889635</v>
      </c>
      <c r="AA225">
        <f t="shared" si="212"/>
        <v>-3.9566519437336098</v>
      </c>
      <c r="AB225" s="97"/>
    </row>
    <row r="226" spans="6:28" x14ac:dyDescent="0.3">
      <c r="G226" s="97"/>
      <c r="M226" s="102"/>
      <c r="N226">
        <f t="shared" si="204"/>
        <v>96.995778162618393</v>
      </c>
      <c r="O226">
        <f t="shared" si="205"/>
        <v>3.0630416649496421</v>
      </c>
      <c r="P226">
        <f t="shared" si="206"/>
        <v>2.9394987432632744</v>
      </c>
      <c r="Q226">
        <f t="shared" si="207"/>
        <v>6.304166494964214E-2</v>
      </c>
      <c r="R226">
        <f t="shared" si="208"/>
        <v>6.0501256736725573E-2</v>
      </c>
      <c r="S226">
        <f t="shared" si="213"/>
        <v>2.9859858378816946</v>
      </c>
      <c r="T226">
        <f t="shared" si="209"/>
        <v>3.013449429372574</v>
      </c>
      <c r="U226" s="97"/>
      <c r="V226" s="25">
        <v>3</v>
      </c>
      <c r="W226" s="25">
        <f t="shared" si="210"/>
        <v>5.235987755982989E-2</v>
      </c>
      <c r="X226">
        <f t="shared" si="214"/>
        <v>-1.4405588598587598</v>
      </c>
      <c r="Y226">
        <f t="shared" si="215"/>
        <v>-1.5286274308799503</v>
      </c>
      <c r="Z226">
        <f t="shared" si="211"/>
        <v>-4.4617564471889635</v>
      </c>
      <c r="AA226">
        <f t="shared" si="212"/>
        <v>-3.9566519437336098</v>
      </c>
      <c r="AB226" s="97"/>
    </row>
    <row r="227" spans="6:28" x14ac:dyDescent="0.3">
      <c r="G227" s="97"/>
      <c r="M227" s="102"/>
      <c r="N227">
        <f t="shared" si="204"/>
        <v>72.695053471618962</v>
      </c>
      <c r="O227">
        <f t="shared" si="205"/>
        <v>4.1127790850781825</v>
      </c>
      <c r="P227">
        <f t="shared" si="206"/>
        <v>3.8932317366729894</v>
      </c>
      <c r="Q227">
        <f t="shared" si="207"/>
        <v>0.11277908507818246</v>
      </c>
      <c r="R227">
        <f t="shared" si="208"/>
        <v>0.10676826332701062</v>
      </c>
      <c r="S227">
        <f t="shared" si="213"/>
        <v>3.97492920938712</v>
      </c>
      <c r="T227">
        <f t="shared" si="209"/>
        <v>4.0237345849375945</v>
      </c>
      <c r="U227" s="97"/>
      <c r="V227" s="25">
        <v>4</v>
      </c>
      <c r="W227" s="25">
        <f t="shared" si="210"/>
        <v>6.9813170079773182E-2</v>
      </c>
      <c r="X227">
        <f t="shared" si="214"/>
        <v>-2.429502231364185</v>
      </c>
      <c r="Y227">
        <f t="shared" si="215"/>
        <v>-2.5389125864449706</v>
      </c>
      <c r="Z227">
        <f t="shared" si="211"/>
        <v>-4.4617564471889635</v>
      </c>
      <c r="AA227">
        <f t="shared" si="212"/>
        <v>-3.9566519437336098</v>
      </c>
      <c r="AB227" s="97"/>
    </row>
    <row r="228" spans="6:28" x14ac:dyDescent="0.3">
      <c r="G228" s="97"/>
      <c r="M228" s="102"/>
      <c r="N228">
        <f t="shared" si="204"/>
        <v>58.102765872370156</v>
      </c>
      <c r="O228">
        <f t="shared" si="205"/>
        <v>5.1772921945012662</v>
      </c>
      <c r="P228">
        <f t="shared" si="206"/>
        <v>4.834420340135833</v>
      </c>
      <c r="Q228">
        <f t="shared" si="207"/>
        <v>0.17729219450126621</v>
      </c>
      <c r="R228">
        <f t="shared" si="208"/>
        <v>0.16557965986416701</v>
      </c>
      <c r="S228">
        <f t="shared" si="213"/>
        <v>4.9605879451623682</v>
      </c>
      <c r="T228">
        <f t="shared" si="209"/>
        <v>5.0368083583878045</v>
      </c>
      <c r="U228" s="97"/>
      <c r="V228" s="25">
        <v>5</v>
      </c>
      <c r="W228" s="25">
        <f t="shared" si="210"/>
        <v>8.7266462599716474E-2</v>
      </c>
      <c r="X228">
        <f t="shared" si="214"/>
        <v>-3.4151609671394336</v>
      </c>
      <c r="Y228">
        <f t="shared" si="215"/>
        <v>-3.5519863598951806</v>
      </c>
      <c r="Z228">
        <f t="shared" si="211"/>
        <v>-4.4617564471889635</v>
      </c>
      <c r="AA228">
        <f t="shared" si="212"/>
        <v>-3.9566519437336098</v>
      </c>
      <c r="AB228" s="97"/>
    </row>
    <row r="229" spans="6:28" x14ac:dyDescent="0.3">
      <c r="G229" s="97"/>
      <c r="M229" s="102"/>
      <c r="N229">
        <f t="shared" si="204"/>
        <v>48.364685975631467</v>
      </c>
      <c r="O229">
        <f t="shared" si="205"/>
        <v>6.2568068892593844</v>
      </c>
      <c r="P229">
        <f t="shared" si="206"/>
        <v>5.7633745694755074</v>
      </c>
      <c r="Q229">
        <f t="shared" si="207"/>
        <v>0.25680688925938444</v>
      </c>
      <c r="R229">
        <f t="shared" si="208"/>
        <v>0.23662543052449259</v>
      </c>
      <c r="S229">
        <f t="shared" si="213"/>
        <v>5.942911828517639</v>
      </c>
      <c r="T229">
        <f t="shared" si="209"/>
        <v>6.0526018332055944</v>
      </c>
      <c r="U229" s="97"/>
      <c r="V229" s="25">
        <v>6</v>
      </c>
      <c r="W229" s="25">
        <f t="shared" si="210"/>
        <v>0.10471975511965978</v>
      </c>
      <c r="X229">
        <f t="shared" si="214"/>
        <v>-4.3974848504947044</v>
      </c>
      <c r="Y229">
        <f t="shared" si="215"/>
        <v>-4.5677798347129706</v>
      </c>
      <c r="Z229">
        <f t="shared" si="211"/>
        <v>-4.4617564471889635</v>
      </c>
      <c r="AA229">
        <f t="shared" si="212"/>
        <v>-3.9566519437336098</v>
      </c>
      <c r="AB229" s="97"/>
    </row>
    <row r="230" spans="6:28" x14ac:dyDescent="0.3">
      <c r="G230" s="97"/>
      <c r="M230" s="102"/>
      <c r="N230">
        <f t="shared" si="204"/>
        <v>41.400427675537514</v>
      </c>
      <c r="O230">
        <f t="shared" si="205"/>
        <v>7.3515314045373188</v>
      </c>
      <c r="P230">
        <f t="shared" si="206"/>
        <v>6.6804074558448523</v>
      </c>
      <c r="Q230">
        <f t="shared" si="207"/>
        <v>0.35153140453731879</v>
      </c>
      <c r="R230">
        <f t="shared" si="208"/>
        <v>0.31959254415514771</v>
      </c>
      <c r="S230">
        <f t="shared" si="213"/>
        <v>6.9218545687713542</v>
      </c>
      <c r="T230">
        <f t="shared" si="209"/>
        <v>7.0710454225656889</v>
      </c>
      <c r="U230" s="97"/>
      <c r="V230" s="25">
        <v>7</v>
      </c>
      <c r="W230" s="25">
        <f t="shared" si="210"/>
        <v>0.12217304763960307</v>
      </c>
      <c r="X230">
        <f t="shared" si="214"/>
        <v>-5.3764275907484196</v>
      </c>
      <c r="Y230">
        <f t="shared" si="215"/>
        <v>-5.586223424073065</v>
      </c>
      <c r="Z230">
        <f t="shared" si="211"/>
        <v>-4.4617564471889635</v>
      </c>
      <c r="AA230">
        <f t="shared" si="212"/>
        <v>-3.9566519437336098</v>
      </c>
      <c r="AB230" s="97"/>
    </row>
    <row r="231" spans="6:28" x14ac:dyDescent="0.3">
      <c r="G231" s="97"/>
      <c r="M231" s="102"/>
      <c r="N231">
        <f t="shared" si="204"/>
        <v>36.169796088786391</v>
      </c>
      <c r="O231">
        <f t="shared" si="205"/>
        <v>8.4616542531871186</v>
      </c>
      <c r="P231">
        <f t="shared" si="206"/>
        <v>7.5858341464600265</v>
      </c>
      <c r="Q231">
        <f t="shared" si="207"/>
        <v>0.46165425318711861</v>
      </c>
      <c r="R231">
        <f t="shared" si="208"/>
        <v>0.41416585353997348</v>
      </c>
      <c r="S231">
        <f t="shared" si="213"/>
        <v>7.8973742595165035</v>
      </c>
      <c r="T231">
        <f t="shared" si="209"/>
        <v>8.0920690692419353</v>
      </c>
      <c r="U231" s="97"/>
      <c r="V231" s="25">
        <v>8</v>
      </c>
      <c r="W231" s="25">
        <f t="shared" si="210"/>
        <v>0.13962634015954636</v>
      </c>
      <c r="X231">
        <f t="shared" si="214"/>
        <v>-6.3519472814935689</v>
      </c>
      <c r="Y231">
        <f t="shared" si="215"/>
        <v>-6.6072470707493114</v>
      </c>
      <c r="Z231">
        <f t="shared" si="211"/>
        <v>-4.4617564471889635</v>
      </c>
      <c r="AA231">
        <f t="shared" si="212"/>
        <v>-3.9566519437336098</v>
      </c>
      <c r="AB231" s="97"/>
    </row>
    <row r="232" spans="6:28" x14ac:dyDescent="0.3">
      <c r="G232" s="97"/>
      <c r="M232" s="102"/>
      <c r="N232">
        <f t="shared" si="204"/>
        <v>32.094903532931468</v>
      </c>
      <c r="O232">
        <f t="shared" si="205"/>
        <v>9.5873420661004971</v>
      </c>
      <c r="P232">
        <f t="shared" si="206"/>
        <v>8.4799710928606782</v>
      </c>
      <c r="Q232">
        <f t="shared" si="207"/>
        <v>0.58734206610049711</v>
      </c>
      <c r="R232">
        <f t="shared" si="208"/>
        <v>0.52002890713932182</v>
      </c>
      <c r="S232">
        <f t="shared" si="213"/>
        <v>8.8694338587058592</v>
      </c>
      <c r="T232">
        <f t="shared" si="209"/>
        <v>9.1156024260570714</v>
      </c>
      <c r="U232" s="97"/>
      <c r="V232" s="25">
        <v>9</v>
      </c>
      <c r="W232" s="25">
        <f t="shared" si="210"/>
        <v>0.15707963267948966</v>
      </c>
      <c r="X232">
        <f t="shared" si="214"/>
        <v>-7.3240068806829246</v>
      </c>
      <c r="Y232">
        <f t="shared" si="215"/>
        <v>-7.6307804275644475</v>
      </c>
      <c r="Z232">
        <f t="shared" si="211"/>
        <v>-4.4617564471889635</v>
      </c>
      <c r="AA232">
        <f t="shared" si="212"/>
        <v>-3.9566519437336098</v>
      </c>
      <c r="AB232" s="97"/>
    </row>
    <row r="233" spans="6:28" x14ac:dyDescent="0.3">
      <c r="G233" s="97"/>
      <c r="M233" s="102"/>
      <c r="N233">
        <f t="shared" si="204"/>
        <v>28.82901591639002</v>
      </c>
      <c r="O233">
        <f t="shared" si="205"/>
        <v>10.728737343023939</v>
      </c>
      <c r="P233">
        <f t="shared" si="206"/>
        <v>9.3631353217970563</v>
      </c>
      <c r="Q233">
        <f t="shared" si="207"/>
        <v>0.72873734302393878</v>
      </c>
      <c r="R233">
        <f t="shared" si="208"/>
        <v>0.63686467820294368</v>
      </c>
      <c r="S233">
        <f t="shared" si="213"/>
        <v>9.8380016886457788</v>
      </c>
      <c r="T233">
        <f t="shared" si="209"/>
        <v>10.141575017964515</v>
      </c>
      <c r="U233" s="97"/>
      <c r="V233" s="25">
        <v>10</v>
      </c>
      <c r="W233" s="25">
        <f t="shared" si="210"/>
        <v>0.17453292519943295</v>
      </c>
      <c r="X233">
        <f t="shared" si="214"/>
        <v>-8.2925747106228442</v>
      </c>
      <c r="Y233">
        <f t="shared" si="215"/>
        <v>-8.6567530194718909</v>
      </c>
      <c r="Z233">
        <f t="shared" si="211"/>
        <v>-4.4617564471889635</v>
      </c>
      <c r="AA233">
        <f t="shared" si="212"/>
        <v>-3.9566519437336098</v>
      </c>
      <c r="AB233" s="97"/>
    </row>
    <row r="234" spans="6:28" x14ac:dyDescent="0.3">
      <c r="G234" s="97"/>
      <c r="M234" s="102"/>
      <c r="N234">
        <f t="shared" si="204"/>
        <v>26.151482914515743</v>
      </c>
      <c r="O234">
        <f t="shared" si="205"/>
        <v>11.88595612490643</v>
      </c>
      <c r="P234">
        <f t="shared" si="206"/>
        <v>10.235643783795052</v>
      </c>
      <c r="Q234">
        <f t="shared" si="207"/>
        <v>0.88595612490643028</v>
      </c>
      <c r="R234">
        <f t="shared" si="208"/>
        <v>0.76435621620494842</v>
      </c>
      <c r="S234">
        <f t="shared" si="213"/>
        <v>10.8030519534333</v>
      </c>
      <c r="T234">
        <f t="shared" si="209"/>
        <v>11.16991638686236</v>
      </c>
      <c r="U234" s="97"/>
      <c r="V234" s="25">
        <v>11</v>
      </c>
      <c r="W234" s="25">
        <f t="shared" si="210"/>
        <v>0.19198621771937624</v>
      </c>
      <c r="X234">
        <f t="shared" si="214"/>
        <v>-9.2576249754103657</v>
      </c>
      <c r="Y234">
        <f t="shared" si="215"/>
        <v>-9.6850943883697358</v>
      </c>
      <c r="Z234">
        <f t="shared" si="211"/>
        <v>-4.4617564471889635</v>
      </c>
      <c r="AA234">
        <f t="shared" si="212"/>
        <v>-3.9566519437336098</v>
      </c>
      <c r="AB234" s="97"/>
    </row>
    <row r="235" spans="6:28" x14ac:dyDescent="0.3">
      <c r="G235" s="97"/>
      <c r="M235" s="102"/>
      <c r="N235">
        <f t="shared" si="204"/>
        <v>23.915203056515473</v>
      </c>
      <c r="O235">
        <f t="shared" si="205"/>
        <v>13.059085601584721</v>
      </c>
      <c r="P235">
        <f t="shared" si="206"/>
        <v>11.097812774466078</v>
      </c>
      <c r="Q235">
        <f t="shared" si="207"/>
        <v>1.0590856015847212</v>
      </c>
      <c r="R235">
        <f t="shared" si="208"/>
        <v>0.90218722553392183</v>
      </c>
      <c r="S235">
        <f t="shared" si="213"/>
        <v>11.764565270767717</v>
      </c>
      <c r="T235">
        <f t="shared" si="209"/>
        <v>12.200556220236191</v>
      </c>
      <c r="U235" s="97"/>
      <c r="V235" s="25">
        <v>12</v>
      </c>
      <c r="W235" s="25">
        <f t="shared" si="210"/>
        <v>0.20943951023931956</v>
      </c>
      <c r="X235">
        <f t="shared" si="214"/>
        <v>-10.219138292744782</v>
      </c>
      <c r="Y235">
        <f t="shared" si="215"/>
        <v>-10.715734221743567</v>
      </c>
      <c r="Z235">
        <f t="shared" si="211"/>
        <v>-4.4617564471889635</v>
      </c>
      <c r="AA235">
        <f t="shared" si="212"/>
        <v>-3.9566519437336098</v>
      </c>
      <c r="AB235" s="97"/>
    </row>
    <row r="236" spans="6:28" x14ac:dyDescent="0.3">
      <c r="G236" s="97"/>
      <c r="M236" s="102"/>
      <c r="N236">
        <f t="shared" si="204"/>
        <v>22.018335694277788</v>
      </c>
      <c r="O236">
        <f t="shared" si="205"/>
        <v>14.248181671519944</v>
      </c>
      <c r="P236">
        <f t="shared" si="206"/>
        <v>11.949957423698619</v>
      </c>
      <c r="Q236">
        <f t="shared" si="207"/>
        <v>1.2481816715199443</v>
      </c>
      <c r="R236">
        <f t="shared" si="208"/>
        <v>1.0500425763013812</v>
      </c>
      <c r="S236">
        <f t="shared" si="213"/>
        <v>12.722529214421117</v>
      </c>
      <c r="T236">
        <f t="shared" si="209"/>
        <v>13.233424464711797</v>
      </c>
      <c r="U236" s="97"/>
      <c r="V236" s="25">
        <v>13</v>
      </c>
      <c r="W236" s="25">
        <f t="shared" si="210"/>
        <v>0.22689280275926285</v>
      </c>
      <c r="X236">
        <f t="shared" si="214"/>
        <v>-11.177102236398182</v>
      </c>
      <c r="Y236">
        <f t="shared" si="215"/>
        <v>-11.748602466219173</v>
      </c>
      <c r="Z236">
        <f t="shared" si="211"/>
        <v>-4.4617564471889635</v>
      </c>
      <c r="AA236">
        <f t="shared" si="212"/>
        <v>-3.9566519437336098</v>
      </c>
      <c r="AB236" s="102"/>
    </row>
    <row r="237" spans="6:28" x14ac:dyDescent="0.3">
      <c r="G237" s="97"/>
      <c r="M237" s="102"/>
      <c r="N237">
        <f t="shared" si="204"/>
        <v>20.388136412140543</v>
      </c>
      <c r="O237">
        <f t="shared" si="205"/>
        <v>15.45326647336689</v>
      </c>
      <c r="P237">
        <f t="shared" si="206"/>
        <v>12.792391247981996</v>
      </c>
      <c r="Q237">
        <f t="shared" si="207"/>
        <v>1.4532664733668899</v>
      </c>
      <c r="R237">
        <f t="shared" si="208"/>
        <v>1.2076087520180039</v>
      </c>
      <c r="S237">
        <f t="shared" si="213"/>
        <v>13.676938862970541</v>
      </c>
      <c r="T237">
        <f t="shared" si="209"/>
        <v>14.268451425573602</v>
      </c>
      <c r="U237" s="97"/>
      <c r="V237" s="25">
        <v>14</v>
      </c>
      <c r="W237" s="25">
        <f t="shared" si="210"/>
        <v>0.24434609527920614</v>
      </c>
      <c r="X237">
        <f t="shared" si="214"/>
        <v>-12.131511884947606</v>
      </c>
      <c r="Y237">
        <f t="shared" si="215"/>
        <v>-12.783629427080978</v>
      </c>
      <c r="Z237">
        <f t="shared" si="211"/>
        <v>-4.4617564471889635</v>
      </c>
      <c r="AA237">
        <f t="shared" si="212"/>
        <v>-3.9566519437336098</v>
      </c>
      <c r="AB237" s="102"/>
    </row>
    <row r="238" spans="6:28" x14ac:dyDescent="0.3">
      <c r="G238" s="97"/>
      <c r="M238" s="102"/>
      <c r="N238">
        <f t="shared" si="204"/>
        <v>18.971258271808459</v>
      </c>
      <c r="O238">
        <f t="shared" si="205"/>
        <v>16.674325912334528</v>
      </c>
      <c r="P238">
        <f t="shared" si="206"/>
        <v>13.625425761261335</v>
      </c>
      <c r="Q238">
        <f t="shared" si="207"/>
        <v>1.6743259123345275</v>
      </c>
      <c r="R238">
        <f t="shared" si="208"/>
        <v>1.3745742387386652</v>
      </c>
      <c r="S238">
        <f t="shared" si="213"/>
        <v>14.627797349688034</v>
      </c>
      <c r="T238">
        <f t="shared" si="209"/>
        <v>15.305567853271604</v>
      </c>
      <c r="U238" s="97"/>
      <c r="V238" s="25">
        <v>15</v>
      </c>
      <c r="W238" s="25">
        <f t="shared" si="210"/>
        <v>0.26179938779914941</v>
      </c>
      <c r="X238">
        <f t="shared" si="214"/>
        <v>-13.0823703716651</v>
      </c>
      <c r="Y238">
        <f t="shared" si="215"/>
        <v>-13.820745854778981</v>
      </c>
      <c r="Z238">
        <f t="shared" si="211"/>
        <v>-4.4617564471889635</v>
      </c>
      <c r="AA238">
        <f t="shared" si="212"/>
        <v>-3.9566519437336098</v>
      </c>
      <c r="AB238" s="102"/>
    </row>
    <row r="239" spans="6:28" x14ac:dyDescent="0.3"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</row>
    <row r="241" spans="6:6" x14ac:dyDescent="0.3">
      <c r="F241" s="1"/>
    </row>
    <row r="243" spans="6:6" x14ac:dyDescent="0.3">
      <c r="F243" s="1"/>
    </row>
    <row r="248" spans="6:6" x14ac:dyDescent="0.3">
      <c r="F248" s="1"/>
    </row>
    <row r="251" spans="6:6" x14ac:dyDescent="0.3">
      <c r="F251" s="1"/>
    </row>
    <row r="262" spans="9:9" x14ac:dyDescent="0.3">
      <c r="I262" s="1"/>
    </row>
    <row r="263" spans="9:9" x14ac:dyDescent="0.3">
      <c r="I263" s="55"/>
    </row>
    <row r="264" spans="9:9" x14ac:dyDescent="0.3">
      <c r="I264" s="55"/>
    </row>
  </sheetData>
  <mergeCells count="33">
    <mergeCell ref="B26:D26"/>
    <mergeCell ref="B47:E47"/>
    <mergeCell ref="B46:E46"/>
    <mergeCell ref="B29:E29"/>
    <mergeCell ref="B41:D41"/>
    <mergeCell ref="B42:D42"/>
    <mergeCell ref="B43:D43"/>
    <mergeCell ref="B44:D44"/>
    <mergeCell ref="B45:D45"/>
    <mergeCell ref="B36:D36"/>
    <mergeCell ref="B37:D37"/>
    <mergeCell ref="B38:D38"/>
    <mergeCell ref="B39:D39"/>
    <mergeCell ref="B40:D40"/>
    <mergeCell ref="B31:D31"/>
    <mergeCell ref="B32:D32"/>
    <mergeCell ref="B27:D27"/>
    <mergeCell ref="B34:D34"/>
    <mergeCell ref="B35:D35"/>
    <mergeCell ref="B28:D28"/>
    <mergeCell ref="B33:D33"/>
    <mergeCell ref="B14:D14"/>
    <mergeCell ref="B15:D15"/>
    <mergeCell ref="B16:D16"/>
    <mergeCell ref="B17:D17"/>
    <mergeCell ref="B18:D18"/>
    <mergeCell ref="B24:D24"/>
    <mergeCell ref="B25:D25"/>
    <mergeCell ref="B19:D19"/>
    <mergeCell ref="B20:D20"/>
    <mergeCell ref="B21:D21"/>
    <mergeCell ref="B22:D22"/>
    <mergeCell ref="B23:D23"/>
  </mergeCells>
  <conditionalFormatting sqref="X2:Y17">
    <cfRule type="cellIs" dxfId="44" priority="43" operator="lessThan">
      <formula>0</formula>
    </cfRule>
    <cfRule type="cellIs" dxfId="43" priority="44" operator="lessThan">
      <formula>10</formula>
    </cfRule>
    <cfRule type="cellIs" dxfId="42" priority="45" operator="greaterThan">
      <formula>10</formula>
    </cfRule>
  </conditionalFormatting>
  <conditionalFormatting sqref="X19:Y34">
    <cfRule type="cellIs" dxfId="41" priority="40" operator="lessThan">
      <formula>0</formula>
    </cfRule>
    <cfRule type="cellIs" dxfId="40" priority="41" operator="lessThan">
      <formula>10</formula>
    </cfRule>
    <cfRule type="cellIs" dxfId="39" priority="42" operator="greaterThan">
      <formula>10</formula>
    </cfRule>
  </conditionalFormatting>
  <conditionalFormatting sqref="X36:Y51">
    <cfRule type="cellIs" dxfId="38" priority="37" operator="lessThan">
      <formula>0</formula>
    </cfRule>
    <cfRule type="cellIs" dxfId="37" priority="38" operator="lessThan">
      <formula>10</formula>
    </cfRule>
    <cfRule type="cellIs" dxfId="36" priority="39" operator="greaterThan">
      <formula>10</formula>
    </cfRule>
  </conditionalFormatting>
  <conditionalFormatting sqref="X53:Y68">
    <cfRule type="cellIs" dxfId="35" priority="34" operator="lessThan">
      <formula>0</formula>
    </cfRule>
    <cfRule type="cellIs" dxfId="34" priority="35" operator="lessThan">
      <formula>10</formula>
    </cfRule>
    <cfRule type="cellIs" dxfId="33" priority="36" operator="greaterThan">
      <formula>10</formula>
    </cfRule>
  </conditionalFormatting>
  <conditionalFormatting sqref="X70:Y85">
    <cfRule type="cellIs" dxfId="32" priority="31" operator="lessThan">
      <formula>0</formula>
    </cfRule>
    <cfRule type="cellIs" dxfId="31" priority="32" operator="lessThan">
      <formula>10</formula>
    </cfRule>
    <cfRule type="cellIs" dxfId="30" priority="33" operator="greaterThan">
      <formula>10</formula>
    </cfRule>
  </conditionalFormatting>
  <conditionalFormatting sqref="X87:Y102">
    <cfRule type="cellIs" dxfId="29" priority="28" operator="lessThan">
      <formula>0</formula>
    </cfRule>
    <cfRule type="cellIs" dxfId="28" priority="29" operator="lessThan">
      <formula>10</formula>
    </cfRule>
    <cfRule type="cellIs" dxfId="27" priority="30" operator="greaterThan">
      <formula>10</formula>
    </cfRule>
  </conditionalFormatting>
  <conditionalFormatting sqref="X104:Y119">
    <cfRule type="cellIs" dxfId="26" priority="25" operator="lessThan">
      <formula>0</formula>
    </cfRule>
    <cfRule type="cellIs" dxfId="25" priority="26" operator="lessThan">
      <formula>10</formula>
    </cfRule>
    <cfRule type="cellIs" dxfId="24" priority="27" operator="greaterThan">
      <formula>10</formula>
    </cfRule>
  </conditionalFormatting>
  <conditionalFormatting sqref="X121:Y136">
    <cfRule type="cellIs" dxfId="23" priority="22" operator="lessThan">
      <formula>0</formula>
    </cfRule>
    <cfRule type="cellIs" dxfId="22" priority="23" operator="lessThan">
      <formula>10</formula>
    </cfRule>
    <cfRule type="cellIs" dxfId="21" priority="24" operator="greaterThan">
      <formula>10</formula>
    </cfRule>
  </conditionalFormatting>
  <conditionalFormatting sqref="X138:Y153">
    <cfRule type="cellIs" dxfId="20" priority="19" operator="lessThan">
      <formula>0</formula>
    </cfRule>
    <cfRule type="cellIs" dxfId="19" priority="20" operator="lessThan">
      <formula>10</formula>
    </cfRule>
    <cfRule type="cellIs" dxfId="18" priority="21" operator="greaterThan">
      <formula>10</formula>
    </cfRule>
  </conditionalFormatting>
  <conditionalFormatting sqref="X155:Y170">
    <cfRule type="cellIs" dxfId="17" priority="16" operator="lessThan">
      <formula>0</formula>
    </cfRule>
    <cfRule type="cellIs" dxfId="16" priority="17" operator="lessThan">
      <formula>10</formula>
    </cfRule>
    <cfRule type="cellIs" dxfId="15" priority="18" operator="greaterThan">
      <formula>10</formula>
    </cfRule>
  </conditionalFormatting>
  <conditionalFormatting sqref="X172:Y187">
    <cfRule type="cellIs" dxfId="14" priority="13" operator="lessThan">
      <formula>0</formula>
    </cfRule>
    <cfRule type="cellIs" dxfId="13" priority="14" operator="lessThan">
      <formula>10</formula>
    </cfRule>
    <cfRule type="cellIs" dxfId="12" priority="15" operator="greaterThan">
      <formula>10</formula>
    </cfRule>
  </conditionalFormatting>
  <conditionalFormatting sqref="X189:Y204">
    <cfRule type="cellIs" dxfId="11" priority="10" operator="lessThan">
      <formula>0</formula>
    </cfRule>
    <cfRule type="cellIs" dxfId="10" priority="11" operator="lessThan">
      <formula>10</formula>
    </cfRule>
    <cfRule type="cellIs" dxfId="9" priority="12" operator="greaterThan">
      <formula>10</formula>
    </cfRule>
  </conditionalFormatting>
  <conditionalFormatting sqref="X206:Y221">
    <cfRule type="cellIs" dxfId="8" priority="7" operator="lessThan">
      <formula>0</formula>
    </cfRule>
    <cfRule type="cellIs" dxfId="7" priority="8" operator="lessThan">
      <formula>10</formula>
    </cfRule>
    <cfRule type="cellIs" dxfId="6" priority="9" operator="greaterThan">
      <formula>10</formula>
    </cfRule>
  </conditionalFormatting>
  <conditionalFormatting sqref="X223:Y238">
    <cfRule type="cellIs" dxfId="5" priority="4" operator="lessThan">
      <formula>0</formula>
    </cfRule>
    <cfRule type="cellIs" dxfId="4" priority="5" operator="lessThan">
      <formula>10</formula>
    </cfRule>
    <cfRule type="cellIs" dxfId="3" priority="6" operator="greaterThan">
      <formula>10</formula>
    </cfRule>
  </conditionalFormatting>
  <conditionalFormatting sqref="AZ2:BA92">
    <cfRule type="cellIs" dxfId="2" priority="1" operator="lessThan">
      <formula>0</formula>
    </cfRule>
    <cfRule type="cellIs" dxfId="1" priority="2" operator="lessThan">
      <formula>10</formula>
    </cfRule>
    <cfRule type="cellIs" dxfId="0" priority="3" operator="greaterThan">
      <formula>10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7E383-341E-42AE-BB2B-7749130582EF}">
  <dimension ref="A1:AC72"/>
  <sheetViews>
    <sheetView zoomScale="102" zoomScaleNormal="102" workbookViewId="0">
      <selection activeCell="AD39" sqref="AD39"/>
    </sheetView>
  </sheetViews>
  <sheetFormatPr defaultRowHeight="14.4" x14ac:dyDescent="0.3"/>
  <cols>
    <col min="1" max="1" width="26.88671875" customWidth="1"/>
    <col min="4" max="4" width="16.6640625" customWidth="1"/>
    <col min="6" max="6" width="12" customWidth="1"/>
    <col min="8" max="8" width="12" customWidth="1"/>
    <col min="10" max="10" width="19.77734375" customWidth="1"/>
    <col min="12" max="12" width="23.6640625" customWidth="1"/>
    <col min="13" max="13" width="23.21875" customWidth="1"/>
    <col min="14" max="14" width="30.77734375" customWidth="1"/>
    <col min="15" max="15" width="30.21875" customWidth="1"/>
    <col min="16" max="16" width="28.77734375" customWidth="1"/>
    <col min="17" max="17" width="28.21875" customWidth="1"/>
    <col min="18" max="18" width="38.21875" customWidth="1"/>
    <col min="19" max="19" width="38" customWidth="1"/>
    <col min="20" max="20" width="4.77734375" customWidth="1"/>
    <col min="21" max="21" width="39.88671875" customWidth="1"/>
    <col min="22" max="22" width="38.6640625" customWidth="1"/>
    <col min="23" max="23" width="36.5546875" customWidth="1"/>
    <col min="24" max="24" width="36.6640625" customWidth="1"/>
    <col min="25" max="25" width="4.6640625" customWidth="1"/>
    <col min="26" max="26" width="29.44140625" customWidth="1"/>
    <col min="27" max="27" width="28.6640625" customWidth="1"/>
    <col min="28" max="28" width="26.88671875" customWidth="1"/>
    <col min="29" max="29" width="26.109375" customWidth="1"/>
  </cols>
  <sheetData>
    <row r="1" spans="1:29" x14ac:dyDescent="0.3">
      <c r="A1" s="1" t="s">
        <v>248</v>
      </c>
      <c r="B1" s="1"/>
      <c r="D1" s="1" t="s">
        <v>286</v>
      </c>
      <c r="L1" t="s">
        <v>287</v>
      </c>
      <c r="M1" t="s">
        <v>288</v>
      </c>
      <c r="N1" t="s">
        <v>425</v>
      </c>
      <c r="O1" t="s">
        <v>426</v>
      </c>
      <c r="P1" t="s">
        <v>423</v>
      </c>
      <c r="Q1" t="s">
        <v>424</v>
      </c>
      <c r="R1" t="s">
        <v>427</v>
      </c>
      <c r="S1" t="s">
        <v>428</v>
      </c>
      <c r="T1" s="101"/>
      <c r="U1" s="15" t="s">
        <v>430</v>
      </c>
      <c r="V1" s="15" t="s">
        <v>431</v>
      </c>
      <c r="W1" s="107" t="s">
        <v>432</v>
      </c>
      <c r="X1" s="107" t="s">
        <v>433</v>
      </c>
      <c r="Y1" s="101"/>
      <c r="Z1" s="15" t="s">
        <v>429</v>
      </c>
      <c r="AA1" s="15" t="s">
        <v>485</v>
      </c>
      <c r="AB1" s="107" t="s">
        <v>484</v>
      </c>
      <c r="AC1" s="107" t="s">
        <v>436</v>
      </c>
    </row>
    <row r="2" spans="1:29" x14ac:dyDescent="0.3">
      <c r="A2" t="s">
        <v>118</v>
      </c>
      <c r="B2">
        <f>'Input + Tire Forces'!B2</f>
        <v>700</v>
      </c>
      <c r="D2" t="s">
        <v>49</v>
      </c>
      <c r="E2">
        <f>'Input + Tire Forces'!L40</f>
        <v>671</v>
      </c>
      <c r="H2" t="s">
        <v>47</v>
      </c>
      <c r="I2">
        <f>'Input + Tire Forces'!Q40</f>
        <v>200</v>
      </c>
      <c r="L2" s="118">
        <v>0.01</v>
      </c>
      <c r="M2" s="118">
        <v>0.01</v>
      </c>
      <c r="N2" s="118">
        <f>($B$2*$B$3)/L2</f>
        <v>516877.2</v>
      </c>
      <c r="O2" s="118">
        <f>($B$2*$B$3)/M2</f>
        <v>516877.2</v>
      </c>
      <c r="P2" s="118">
        <f>ABS((((PI()/180)*((N2*$E$2*($B$4^2/2))/(($E$2*($B$4^2/2)*(PI()/180))-N2)))-((PI()*($I$2*$I$4^2)*($B$4^2/2))/180)))</f>
        <v>14858.144514810607</v>
      </c>
      <c r="Q2" s="118">
        <f>ABS((((PI()/180)*((O2*$E$3*($B$5^2/2))/(($E$3*($B$5^2/2)*(PI()/180))-O2)))-((PI()*($I$3*$I$5^2)*($B$5^2/2))/180)))</f>
        <v>12200.133365586174</v>
      </c>
      <c r="R2" s="118">
        <f>(P2*$A$8*1)/100</f>
        <v>7874.816592849621</v>
      </c>
      <c r="S2" s="118">
        <f>(Q2*(100-$A$8))/100</f>
        <v>5734.0626818255023</v>
      </c>
      <c r="T2" s="101"/>
      <c r="U2" s="118">
        <f>(((360*'Input + Tire Forces'!$L$4*$B$2*$B$3)/(PI()*$B$4^2))*(1/L2))-($I$2*$I$4^2)</f>
        <v>43652.516967983422</v>
      </c>
      <c r="V2" s="118">
        <f>(((360*'Input + Tire Forces'!$L$4*$B$2*$B$3)/(PI()*$B$5^2))*(1/M2))-($I$3*$I$5^2)</f>
        <v>43640.016967983422</v>
      </c>
      <c r="W2" s="118">
        <f>(((360*'Input + Tire Forces'!$L$5*$B$2*$B$3)/(PI()*$B$4^2))*(1/L2))-($I$2*$I$4^2)</f>
        <v>43652.516967983422</v>
      </c>
      <c r="X2" s="118">
        <f>(((360*'Input + Tire Forces'!$L$5*$B$2*$B$3)/(PI()*$B$5^2))*(1/M2))-($I$3*$I$5^2)</f>
        <v>43640.016967983422</v>
      </c>
      <c r="Y2" s="101"/>
      <c r="Z2" s="119">
        <f>U2/$J$12^2</f>
        <v>174610.06787193369</v>
      </c>
      <c r="AA2" s="119">
        <f>V2/$J$14^2</f>
        <v>174560.06787193369</v>
      </c>
      <c r="AB2" s="119">
        <f>W2/$J$12^2</f>
        <v>174610.06787193369</v>
      </c>
      <c r="AC2" s="119">
        <f>X2/$J$14^2</f>
        <v>174560.06787193369</v>
      </c>
    </row>
    <row r="3" spans="1:29" x14ac:dyDescent="0.3">
      <c r="A3" t="s">
        <v>251</v>
      </c>
      <c r="B3">
        <f>'Input + Tire Forces'!T34</f>
        <v>7.3839600000000001</v>
      </c>
      <c r="D3" t="s">
        <v>50</v>
      </c>
      <c r="E3">
        <f>'Input + Tire Forces'!L41</f>
        <v>533</v>
      </c>
      <c r="H3" t="s">
        <v>48</v>
      </c>
      <c r="I3">
        <f>'Input + Tire Forces'!Q41</f>
        <v>250</v>
      </c>
      <c r="L3" s="118">
        <v>0.1</v>
      </c>
      <c r="M3" s="118">
        <v>0.1</v>
      </c>
      <c r="N3" s="118">
        <f>($B$2*$B$3)/L3</f>
        <v>51687.719999999994</v>
      </c>
      <c r="O3" s="118">
        <f>($B$2*$B$3)/M3</f>
        <v>51687.719999999994</v>
      </c>
      <c r="P3" s="118">
        <f>ABS((((PI()/180)*((N3*$E$2*($B$4^2/2))/(($E$2*($B$4^2/2)*(PI()/180))-N3)))-((PI()*($I$2*$I$4^2)*($B$4^2/2))/180)))</f>
        <v>19261.769907224472</v>
      </c>
      <c r="Q3" s="118">
        <f t="shared" ref="Q3:Q66" si="0">ABS((((PI()/180)*((O3*$E$3*($B$5^2/2))/(($E$3*($B$5^2/2)*(PI()/180))-O3)))-((PI()*($I$3*$I$5^2)*($B$5^2/2))/180)))</f>
        <v>14776.323031102143</v>
      </c>
      <c r="R3" s="118">
        <f t="shared" ref="R3:R66" si="1">(P3*$A$8*1)/100</f>
        <v>10208.738050828972</v>
      </c>
      <c r="S3" s="118">
        <f t="shared" ref="S3:S66" si="2">(Q3*(100-$A$8))/100</f>
        <v>6944.8718246180078</v>
      </c>
      <c r="T3" s="101"/>
      <c r="U3" s="118">
        <f>(((360*'Input + Tire Forces'!$L$4*$B$2*$B$3)/(PI()*$B$4^2))*(1/L3))-($I$2*$I$4^2)</f>
        <v>4320.251696798342</v>
      </c>
      <c r="V3" s="118">
        <f>(((360*'Input + Tire Forces'!$L$4*$B$2*$B$3)/(PI()*$B$5^2))*(1/M3))-($I$3*$I$5^2)</f>
        <v>4307.751696798342</v>
      </c>
      <c r="W3" s="118">
        <f>(((360*'Input + Tire Forces'!$L$5*$B$2*$B$3)/(PI()*$B$4^2))*(1/L3))-($I$2*$I$4^2)</f>
        <v>4320.251696798342</v>
      </c>
      <c r="X3" s="118">
        <f>(((360*'Input + Tire Forces'!$L$5*$B$2*$B$3)/(PI()*$B$5^2))*(1/M3))-($I$3*$I$5^2)</f>
        <v>4307.751696798342</v>
      </c>
      <c r="Y3" s="101"/>
      <c r="Z3" s="119">
        <f t="shared" ref="Z3:Z66" si="3">U3/$J$12^2</f>
        <v>17281.006787193368</v>
      </c>
      <c r="AA3" s="119">
        <f t="shared" ref="AA3:AA66" si="4">V3/$J$14^2</f>
        <v>17231.006787193368</v>
      </c>
      <c r="AB3" s="119">
        <f t="shared" ref="AB3:AB66" si="5">W3/$J$12^2</f>
        <v>17281.006787193368</v>
      </c>
      <c r="AC3" s="119">
        <f t="shared" ref="AC3:AC66" si="6">X3/$J$14^2</f>
        <v>17231.006787193368</v>
      </c>
    </row>
    <row r="4" spans="1:29" x14ac:dyDescent="0.3">
      <c r="A4" t="s">
        <v>71</v>
      </c>
      <c r="B4">
        <f>'Input + Tire Forces'!B6</f>
        <v>48</v>
      </c>
      <c r="D4" t="s">
        <v>51</v>
      </c>
      <c r="E4" s="26">
        <f>(I2*(I4)^2)</f>
        <v>50</v>
      </c>
      <c r="H4" t="s">
        <v>45</v>
      </c>
      <c r="I4">
        <f>'Input + Tire Forces'!Q42</f>
        <v>0.5</v>
      </c>
      <c r="L4" s="118">
        <f>L3+0.1</f>
        <v>0.2</v>
      </c>
      <c r="M4" s="118">
        <f>M3+0.1</f>
        <v>0.2</v>
      </c>
      <c r="N4" s="118">
        <f t="shared" ref="N4:O67" si="7">($B$2*$B$3)/L4</f>
        <v>25843.859999999997</v>
      </c>
      <c r="O4" s="118">
        <f t="shared" si="7"/>
        <v>25843.859999999997</v>
      </c>
      <c r="P4" s="118">
        <f t="shared" ref="P4:P66" si="8">ABS((((PI()/180)*((N4*$E$2*($B$4^2/2))/(($E$2*($B$4^2/2)*(PI()/180))-N4)))-((PI()*($I$2*$I$4^2)*($B$4^2/2))/180)))</f>
        <v>29231.431347673526</v>
      </c>
      <c r="Q4" s="118">
        <f t="shared" si="0"/>
        <v>19565.197107590477</v>
      </c>
      <c r="R4" s="118">
        <f t="shared" si="1"/>
        <v>15492.658614266969</v>
      </c>
      <c r="S4" s="118">
        <f t="shared" si="2"/>
        <v>9195.6426405675247</v>
      </c>
      <c r="T4" s="101"/>
      <c r="U4" s="118">
        <f>(((360*'Input + Tire Forces'!$L$4*$B$2*$B$3)/(PI()*$B$4^2))*(1/L4))-($I$2*$I$4^2)</f>
        <v>2135.125848399171</v>
      </c>
      <c r="V4" s="118">
        <f>(((360*'Input + Tire Forces'!$L$4*$B$2*$B$3)/(PI()*$B$5^2))*(1/M4))-($I$3*$I$5^2)</f>
        <v>2122.625848399171</v>
      </c>
      <c r="W4" s="118">
        <f>(((360*'Input + Tire Forces'!$L$5*$B$2*$B$3)/(PI()*$B$4^2))*(1/L4))-($I$2*$I$4^2)</f>
        <v>2135.125848399171</v>
      </c>
      <c r="X4" s="118">
        <f>(((360*'Input + Tire Forces'!$L$5*$B$2*$B$3)/(PI()*$B$5^2))*(1/M4))-($I$3*$I$5^2)</f>
        <v>2122.625848399171</v>
      </c>
      <c r="Y4" s="101"/>
      <c r="Z4" s="119">
        <f t="shared" si="3"/>
        <v>8540.503393596684</v>
      </c>
      <c r="AA4" s="119">
        <f t="shared" si="4"/>
        <v>8490.503393596684</v>
      </c>
      <c r="AB4" s="119">
        <f t="shared" si="5"/>
        <v>8540.503393596684</v>
      </c>
      <c r="AC4" s="119">
        <f t="shared" si="6"/>
        <v>8490.503393596684</v>
      </c>
    </row>
    <row r="5" spans="1:29" x14ac:dyDescent="0.3">
      <c r="A5" t="s">
        <v>72</v>
      </c>
      <c r="B5">
        <f>'Input + Tire Forces'!B7</f>
        <v>48</v>
      </c>
      <c r="D5" t="s">
        <v>52</v>
      </c>
      <c r="E5" s="26">
        <f>(I3*(I5)^2)</f>
        <v>62.5</v>
      </c>
      <c r="H5" t="s">
        <v>46</v>
      </c>
      <c r="I5">
        <f>'Input + Tire Forces'!Q43</f>
        <v>0.5</v>
      </c>
      <c r="L5" s="118">
        <f t="shared" ref="L5:M20" si="9">L4+0.1</f>
        <v>0.30000000000000004</v>
      </c>
      <c r="M5" s="118">
        <f t="shared" si="9"/>
        <v>0.30000000000000004</v>
      </c>
      <c r="N5" s="118">
        <f t="shared" si="7"/>
        <v>17229.239999999998</v>
      </c>
      <c r="O5" s="118">
        <f t="shared" si="7"/>
        <v>17229.239999999998</v>
      </c>
      <c r="P5" s="118">
        <f t="shared" si="8"/>
        <v>63189.644079064317</v>
      </c>
      <c r="Q5" s="118">
        <f t="shared" si="0"/>
        <v>29607.492103244789</v>
      </c>
      <c r="R5" s="118">
        <f t="shared" si="1"/>
        <v>33490.511361904086</v>
      </c>
      <c r="S5" s="118">
        <f t="shared" si="2"/>
        <v>13915.521288525049</v>
      </c>
      <c r="T5" s="101"/>
      <c r="U5" s="118">
        <f>(((360*'Input + Tire Forces'!$L$4*$B$2*$B$3)/(PI()*$B$4^2))*(1/L5))-($I$2*$I$4^2)</f>
        <v>1406.7505655994473</v>
      </c>
      <c r="V5" s="118">
        <f>(((360*'Input + Tire Forces'!$L$4*$B$2*$B$3)/(PI()*$B$5^2))*(1/M5))-($I$3*$I$5^2)</f>
        <v>1394.2505655994473</v>
      </c>
      <c r="W5" s="118">
        <f>(((360*'Input + Tire Forces'!$L$5*$B$2*$B$3)/(PI()*$B$4^2))*(1/L5))-($I$2*$I$4^2)</f>
        <v>1406.7505655994473</v>
      </c>
      <c r="X5" s="118">
        <f>(((360*'Input + Tire Forces'!$L$5*$B$2*$B$3)/(PI()*$B$5^2))*(1/M5))-($I$3*$I$5^2)</f>
        <v>1394.2505655994473</v>
      </c>
      <c r="Y5" s="101"/>
      <c r="Z5" s="119">
        <f t="shared" si="3"/>
        <v>5627.0022623977893</v>
      </c>
      <c r="AA5" s="119">
        <f t="shared" si="4"/>
        <v>5577.0022623977893</v>
      </c>
      <c r="AB5" s="119">
        <f t="shared" si="5"/>
        <v>5627.0022623977893</v>
      </c>
      <c r="AC5" s="119">
        <f t="shared" si="6"/>
        <v>5577.0022623977893</v>
      </c>
    </row>
    <row r="6" spans="1:29" x14ac:dyDescent="0.3">
      <c r="D6" t="s">
        <v>53</v>
      </c>
      <c r="E6" s="26">
        <f>(E2*E4)/(E2+E4)</f>
        <v>46.532593619972261</v>
      </c>
      <c r="L6" s="118">
        <f t="shared" si="9"/>
        <v>0.4</v>
      </c>
      <c r="M6" s="118">
        <f t="shared" si="9"/>
        <v>0.4</v>
      </c>
      <c r="N6" s="118">
        <f t="shared" si="7"/>
        <v>12921.929999999998</v>
      </c>
      <c r="O6" s="118">
        <f t="shared" si="7"/>
        <v>12921.929999999998</v>
      </c>
      <c r="P6" s="118">
        <f t="shared" si="8"/>
        <v>305204.51522918412</v>
      </c>
      <c r="Q6" s="118">
        <f t="shared" si="0"/>
        <v>64049.606887799018</v>
      </c>
      <c r="R6" s="118">
        <f t="shared" si="1"/>
        <v>161758.39307146758</v>
      </c>
      <c r="S6" s="118">
        <f t="shared" si="2"/>
        <v>30103.315237265535</v>
      </c>
      <c r="T6" s="101"/>
      <c r="U6" s="118">
        <f>(((360*'Input + Tire Forces'!$L$4*$B$2*$B$3)/(PI()*$B$4^2))*(1/L6))-($I$2*$I$4^2)</f>
        <v>1042.5629241995855</v>
      </c>
      <c r="V6" s="118">
        <f>(((360*'Input + Tire Forces'!$L$4*$B$2*$B$3)/(PI()*$B$5^2))*(1/M6))-($I$3*$I$5^2)</f>
        <v>1030.0629241995855</v>
      </c>
      <c r="W6" s="118">
        <f>(((360*'Input + Tire Forces'!$L$5*$B$2*$B$3)/(PI()*$B$4^2))*(1/L6))-($I$2*$I$4^2)</f>
        <v>1042.5629241995855</v>
      </c>
      <c r="X6" s="118">
        <f>(((360*'Input + Tire Forces'!$L$5*$B$2*$B$3)/(PI()*$B$5^2))*(1/M6))-($I$3*$I$5^2)</f>
        <v>1030.0629241995855</v>
      </c>
      <c r="Y6" s="101"/>
      <c r="Z6" s="119">
        <f t="shared" si="3"/>
        <v>4170.251696798342</v>
      </c>
      <c r="AA6" s="119">
        <f t="shared" si="4"/>
        <v>4120.251696798342</v>
      </c>
      <c r="AB6" s="119">
        <f t="shared" si="5"/>
        <v>4170.251696798342</v>
      </c>
      <c r="AC6" s="119">
        <f t="shared" si="6"/>
        <v>4120.251696798342</v>
      </c>
    </row>
    <row r="7" spans="1:29" x14ac:dyDescent="0.3">
      <c r="A7" s="121" t="s">
        <v>422</v>
      </c>
      <c r="B7" s="121"/>
      <c r="D7" t="s">
        <v>54</v>
      </c>
      <c r="E7" s="26">
        <f>(E3*E5)/(E3+E5)</f>
        <v>55.940386230058778</v>
      </c>
      <c r="L7" s="118">
        <f t="shared" si="9"/>
        <v>0.5</v>
      </c>
      <c r="M7" s="118">
        <f t="shared" si="9"/>
        <v>0.5</v>
      </c>
      <c r="N7" s="118">
        <f t="shared" si="7"/>
        <v>10337.544</v>
      </c>
      <c r="O7" s="118">
        <f t="shared" si="7"/>
        <v>10337.544</v>
      </c>
      <c r="P7" s="118">
        <f t="shared" si="8"/>
        <v>43217.647216735299</v>
      </c>
      <c r="Q7" s="118">
        <f t="shared" si="0"/>
        <v>291003.82471121347</v>
      </c>
      <c r="R7" s="118">
        <f t="shared" si="1"/>
        <v>22905.35302486971</v>
      </c>
      <c r="S7" s="118">
        <f t="shared" si="2"/>
        <v>136771.79761427033</v>
      </c>
      <c r="T7" s="101"/>
      <c r="U7" s="118">
        <f>(((360*'Input + Tire Forces'!$L$4*$B$2*$B$3)/(PI()*$B$4^2))*(1/L7))-($I$2*$I$4^2)</f>
        <v>824.05033935966844</v>
      </c>
      <c r="V7" s="118">
        <f>(((360*'Input + Tire Forces'!$L$4*$B$2*$B$3)/(PI()*$B$5^2))*(1/M7))-($I$3*$I$5^2)</f>
        <v>811.55033935966844</v>
      </c>
      <c r="W7" s="118">
        <f>(((360*'Input + Tire Forces'!$L$5*$B$2*$B$3)/(PI()*$B$4^2))*(1/L7))-($I$2*$I$4^2)</f>
        <v>824.05033935966844</v>
      </c>
      <c r="X7" s="118">
        <f>(((360*'Input + Tire Forces'!$L$5*$B$2*$B$3)/(PI()*$B$5^2))*(1/M7))-($I$3*$I$5^2)</f>
        <v>811.55033935966844</v>
      </c>
      <c r="Y7" s="101"/>
      <c r="Z7" s="119">
        <f t="shared" si="3"/>
        <v>3296.2013574386738</v>
      </c>
      <c r="AA7" s="119">
        <f t="shared" si="4"/>
        <v>3246.2013574386738</v>
      </c>
      <c r="AB7" s="119">
        <f t="shared" si="5"/>
        <v>3296.2013574386738</v>
      </c>
      <c r="AC7" s="119">
        <f t="shared" si="6"/>
        <v>3246.2013574386738</v>
      </c>
    </row>
    <row r="8" spans="1:29" x14ac:dyDescent="0.3">
      <c r="A8" s="121">
        <f>'Input + Tire Forces'!B3 + 5</f>
        <v>53</v>
      </c>
      <c r="B8" s="121"/>
      <c r="D8" t="s">
        <v>59</v>
      </c>
      <c r="E8" s="26">
        <f>((E6*B4^2)/2)/57.3</f>
        <v>935.52439529158892</v>
      </c>
      <c r="F8" t="s">
        <v>61</v>
      </c>
      <c r="G8">
        <f>E8*12</f>
        <v>11226.292743499067</v>
      </c>
      <c r="J8" s="99" t="s">
        <v>250</v>
      </c>
      <c r="L8" s="118">
        <f t="shared" si="9"/>
        <v>0.6</v>
      </c>
      <c r="M8" s="118">
        <f t="shared" si="9"/>
        <v>0.6</v>
      </c>
      <c r="N8" s="118">
        <f t="shared" si="7"/>
        <v>8614.6200000000008</v>
      </c>
      <c r="O8" s="118">
        <f t="shared" si="7"/>
        <v>8614.6200000000008</v>
      </c>
      <c r="P8" s="118">
        <f t="shared" si="8"/>
        <v>22827.113254634965</v>
      </c>
      <c r="Q8" s="118">
        <f t="shared" si="0"/>
        <v>42663.574516134511</v>
      </c>
      <c r="R8" s="118">
        <f t="shared" si="1"/>
        <v>12098.370024956532</v>
      </c>
      <c r="S8" s="118">
        <f t="shared" si="2"/>
        <v>20051.88002258322</v>
      </c>
      <c r="T8" s="101"/>
      <c r="U8" s="118">
        <f>(((360*'Input + Tire Forces'!$L$4*$B$2*$B$3)/(PI()*$B$4^2))*(1/L8))-($I$2*$I$4^2)</f>
        <v>678.37528279972378</v>
      </c>
      <c r="V8" s="118">
        <f>(((360*'Input + Tire Forces'!$L$4*$B$2*$B$3)/(PI()*$B$5^2))*(1/M8))-($I$3*$I$5^2)</f>
        <v>665.87528279972378</v>
      </c>
      <c r="W8" s="118">
        <f>(((360*'Input + Tire Forces'!$L$5*$B$2*$B$3)/(PI()*$B$4^2))*(1/L8))-($I$2*$I$4^2)</f>
        <v>678.37528279972378</v>
      </c>
      <c r="X8" s="118">
        <f>(((360*'Input + Tire Forces'!$L$5*$B$2*$B$3)/(PI()*$B$5^2))*(1/M8))-($I$3*$I$5^2)</f>
        <v>665.87528279972378</v>
      </c>
      <c r="Y8" s="101"/>
      <c r="Z8" s="119">
        <f t="shared" si="3"/>
        <v>2713.5011311988951</v>
      </c>
      <c r="AA8" s="119">
        <f t="shared" si="4"/>
        <v>2663.5011311988951</v>
      </c>
      <c r="AB8" s="119">
        <f t="shared" si="5"/>
        <v>2713.5011311988951</v>
      </c>
      <c r="AC8" s="119">
        <f t="shared" si="6"/>
        <v>2663.5011311988951</v>
      </c>
    </row>
    <row r="9" spans="1:29" x14ac:dyDescent="0.3">
      <c r="D9" t="s">
        <v>60</v>
      </c>
      <c r="E9" s="26">
        <f>((E7*B5^2)/2)/57.3</f>
        <v>1124.6653566671503</v>
      </c>
      <c r="F9" t="s">
        <v>61</v>
      </c>
      <c r="G9">
        <f>E9*12</f>
        <v>13495.984280005803</v>
      </c>
      <c r="J9" s="1">
        <f>(B2*B3)/((1/G8)+(1/G9))^-1</f>
        <v>0.84340256464642271</v>
      </c>
      <c r="L9" s="118">
        <f t="shared" si="9"/>
        <v>0.7</v>
      </c>
      <c r="M9" s="118">
        <f t="shared" si="9"/>
        <v>0.7</v>
      </c>
      <c r="N9" s="118">
        <f t="shared" si="7"/>
        <v>7383.96</v>
      </c>
      <c r="O9" s="118">
        <f t="shared" si="7"/>
        <v>7383.96</v>
      </c>
      <c r="P9" s="118">
        <f t="shared" si="8"/>
        <v>15306.147858840712</v>
      </c>
      <c r="Q9" s="118">
        <f t="shared" si="0"/>
        <v>22487.581236188995</v>
      </c>
      <c r="R9" s="118">
        <f t="shared" si="1"/>
        <v>8112.2583651855775</v>
      </c>
      <c r="S9" s="118">
        <f t="shared" si="2"/>
        <v>10569.163181008827</v>
      </c>
      <c r="T9" s="101"/>
      <c r="U9" s="118">
        <f>(((360*'Input + Tire Forces'!$L$4*$B$2*$B$3)/(PI()*$B$4^2))*(1/L9))-($I$2*$I$4^2)</f>
        <v>574.32167097119179</v>
      </c>
      <c r="V9" s="118">
        <f>(((360*'Input + Tire Forces'!$L$4*$B$2*$B$3)/(PI()*$B$5^2))*(1/M9))-($I$3*$I$5^2)</f>
        <v>561.82167097119179</v>
      </c>
      <c r="W9" s="118">
        <f>(((360*'Input + Tire Forces'!$L$5*$B$2*$B$3)/(PI()*$B$4^2))*(1/L9))-($I$2*$I$4^2)</f>
        <v>574.32167097119179</v>
      </c>
      <c r="X9" s="118">
        <f>(((360*'Input + Tire Forces'!$L$5*$B$2*$B$3)/(PI()*$B$5^2))*(1/M9))-($I$3*$I$5^2)</f>
        <v>561.82167097119179</v>
      </c>
      <c r="Y9" s="101"/>
      <c r="Z9" s="119">
        <f t="shared" si="3"/>
        <v>2297.2866838847672</v>
      </c>
      <c r="AA9" s="119">
        <f t="shared" si="4"/>
        <v>2247.2866838847672</v>
      </c>
      <c r="AB9" s="119">
        <f t="shared" si="5"/>
        <v>2297.2866838847672</v>
      </c>
      <c r="AC9" s="119">
        <f t="shared" si="6"/>
        <v>2247.2866838847672</v>
      </c>
    </row>
    <row r="10" spans="1:29" x14ac:dyDescent="0.3">
      <c r="L10" s="118">
        <f t="shared" si="9"/>
        <v>0.79999999999999993</v>
      </c>
      <c r="M10" s="118">
        <f t="shared" si="9"/>
        <v>0.79999999999999993</v>
      </c>
      <c r="N10" s="118">
        <f t="shared" si="7"/>
        <v>6460.9650000000001</v>
      </c>
      <c r="O10" s="118">
        <f t="shared" si="7"/>
        <v>6460.9650000000001</v>
      </c>
      <c r="P10" s="118">
        <f t="shared" si="8"/>
        <v>11393.399855327219</v>
      </c>
      <c r="Q10" s="118">
        <f t="shared" si="0"/>
        <v>15013.454025765484</v>
      </c>
      <c r="R10" s="118">
        <f t="shared" si="1"/>
        <v>6038.5019233234261</v>
      </c>
      <c r="S10" s="118">
        <f t="shared" si="2"/>
        <v>7056.3233921097781</v>
      </c>
      <c r="T10" s="101"/>
      <c r="U10" s="118">
        <f>(((360*'Input + Tire Forces'!$L$4*$B$2*$B$3)/(PI()*$B$4^2))*(1/L10))-($I$2*$I$4^2)</f>
        <v>496.28146209979275</v>
      </c>
      <c r="V10" s="118">
        <f>(((360*'Input + Tire Forces'!$L$4*$B$2*$B$3)/(PI()*$B$5^2))*(1/M10))-($I$3*$I$5^2)</f>
        <v>483.78146209979275</v>
      </c>
      <c r="W10" s="118">
        <f>(((360*'Input + Tire Forces'!$L$5*$B$2*$B$3)/(PI()*$B$4^2))*(1/L10))-($I$2*$I$4^2)</f>
        <v>496.28146209979275</v>
      </c>
      <c r="X10" s="118">
        <f>(((360*'Input + Tire Forces'!$L$5*$B$2*$B$3)/(PI()*$B$5^2))*(1/M10))-($I$3*$I$5^2)</f>
        <v>483.78146209979275</v>
      </c>
      <c r="Y10" s="101"/>
      <c r="Z10" s="119">
        <f t="shared" si="3"/>
        <v>1985.125848399171</v>
      </c>
      <c r="AA10" s="119">
        <f t="shared" si="4"/>
        <v>1935.125848399171</v>
      </c>
      <c r="AB10" s="119">
        <f t="shared" si="5"/>
        <v>1985.125848399171</v>
      </c>
      <c r="AC10" s="119">
        <f t="shared" si="6"/>
        <v>1935.125848399171</v>
      </c>
    </row>
    <row r="11" spans="1:29" x14ac:dyDescent="0.3">
      <c r="J11" s="25" t="s">
        <v>434</v>
      </c>
      <c r="L11" s="118">
        <f t="shared" si="9"/>
        <v>0.89999999999999991</v>
      </c>
      <c r="M11" s="118">
        <f t="shared" si="9"/>
        <v>0.89999999999999991</v>
      </c>
      <c r="N11" s="118">
        <f t="shared" si="7"/>
        <v>5743.0800000000008</v>
      </c>
      <c r="O11" s="118">
        <f t="shared" si="7"/>
        <v>5743.0800000000008</v>
      </c>
      <c r="P11" s="118">
        <f t="shared" si="8"/>
        <v>8994.6393288783966</v>
      </c>
      <c r="Q11" s="118">
        <f t="shared" si="0"/>
        <v>11118.156932600508</v>
      </c>
      <c r="R11" s="118">
        <f t="shared" si="1"/>
        <v>4767.1588443055507</v>
      </c>
      <c r="S11" s="118">
        <f t="shared" si="2"/>
        <v>5225.533758322239</v>
      </c>
      <c r="T11" s="101"/>
      <c r="U11" s="118">
        <f>(((360*'Input + Tire Forces'!$L$4*$B$2*$B$3)/(PI()*$B$4^2))*(1/L11))-($I$2*$I$4^2)</f>
        <v>435.5835218664825</v>
      </c>
      <c r="V11" s="118">
        <f>(((360*'Input + Tire Forces'!$L$4*$B$2*$B$3)/(PI()*$B$5^2))*(1/M11))-($I$3*$I$5^2)</f>
        <v>423.0835218664825</v>
      </c>
      <c r="W11" s="118">
        <f>(((360*'Input + Tire Forces'!$L$5*$B$2*$B$3)/(PI()*$B$4^2))*(1/L11))-($I$2*$I$4^2)</f>
        <v>435.5835218664825</v>
      </c>
      <c r="X11" s="118">
        <f>(((360*'Input + Tire Forces'!$L$5*$B$2*$B$3)/(PI()*$B$5^2))*(1/M11))-($I$3*$I$5^2)</f>
        <v>423.0835218664825</v>
      </c>
      <c r="Y11" s="101"/>
      <c r="Z11" s="119">
        <f t="shared" si="3"/>
        <v>1742.33408746593</v>
      </c>
      <c r="AA11" s="119">
        <f t="shared" si="4"/>
        <v>1692.33408746593</v>
      </c>
      <c r="AB11" s="119">
        <f t="shared" si="5"/>
        <v>1742.33408746593</v>
      </c>
      <c r="AC11" s="119">
        <f t="shared" si="6"/>
        <v>1692.33408746593</v>
      </c>
    </row>
    <row r="12" spans="1:29" x14ac:dyDescent="0.3">
      <c r="J12">
        <v>0.5</v>
      </c>
      <c r="L12" s="118">
        <f t="shared" si="9"/>
        <v>0.99999999999999989</v>
      </c>
      <c r="M12" s="118">
        <f t="shared" si="9"/>
        <v>0.99999999999999989</v>
      </c>
      <c r="N12" s="118">
        <f t="shared" si="7"/>
        <v>5168.7720000000008</v>
      </c>
      <c r="O12" s="118">
        <f t="shared" si="7"/>
        <v>5168.7720000000008</v>
      </c>
      <c r="P12" s="118">
        <f t="shared" si="8"/>
        <v>7373.5863498986746</v>
      </c>
      <c r="Q12" s="118">
        <f t="shared" si="0"/>
        <v>8727.7492378744555</v>
      </c>
      <c r="R12" s="118">
        <f t="shared" si="1"/>
        <v>3908.0007654462975</v>
      </c>
      <c r="S12" s="118">
        <f t="shared" si="2"/>
        <v>4102.0421418009946</v>
      </c>
      <c r="T12" s="101"/>
      <c r="U12" s="118">
        <f>(((360*'Input + Tire Forces'!$L$4*$B$2*$B$3)/(PI()*$B$4^2))*(1/L12))-($I$2*$I$4^2)</f>
        <v>387.02516967983422</v>
      </c>
      <c r="V12" s="118">
        <f>(((360*'Input + Tire Forces'!$L$4*$B$2*$B$3)/(PI()*$B$5^2))*(1/M12))-($I$3*$I$5^2)</f>
        <v>374.52516967983422</v>
      </c>
      <c r="W12" s="118">
        <f>(((360*'Input + Tire Forces'!$L$5*$B$2*$B$3)/(PI()*$B$4^2))*(1/L12))-($I$2*$I$4^2)</f>
        <v>387.02516967983422</v>
      </c>
      <c r="X12" s="118">
        <f>(((360*'Input + Tire Forces'!$L$5*$B$2*$B$3)/(PI()*$B$5^2))*(1/M12))-($I$3*$I$5^2)</f>
        <v>374.52516967983422</v>
      </c>
      <c r="Y12" s="101"/>
      <c r="Z12" s="119">
        <f t="shared" si="3"/>
        <v>1548.1006787193369</v>
      </c>
      <c r="AA12" s="119">
        <f t="shared" si="4"/>
        <v>1498.1006787193369</v>
      </c>
      <c r="AB12" s="119">
        <f t="shared" si="5"/>
        <v>1548.1006787193369</v>
      </c>
      <c r="AC12" s="119">
        <f t="shared" si="6"/>
        <v>1498.1006787193369</v>
      </c>
    </row>
    <row r="13" spans="1:29" x14ac:dyDescent="0.3">
      <c r="B13" s="26"/>
      <c r="D13" s="1"/>
      <c r="J13" s="25" t="s">
        <v>435</v>
      </c>
      <c r="L13" s="118">
        <f t="shared" si="9"/>
        <v>1.0999999999999999</v>
      </c>
      <c r="M13" s="118">
        <f t="shared" si="9"/>
        <v>1.0999999999999999</v>
      </c>
      <c r="N13" s="118">
        <f t="shared" si="7"/>
        <v>4698.8836363636365</v>
      </c>
      <c r="O13" s="118">
        <f t="shared" si="7"/>
        <v>4698.8836363636365</v>
      </c>
      <c r="P13" s="118">
        <f t="shared" si="8"/>
        <v>6204.7857275368933</v>
      </c>
      <c r="Q13" s="118">
        <f t="shared" si="0"/>
        <v>7111.3301506124481</v>
      </c>
      <c r="R13" s="118">
        <f t="shared" si="1"/>
        <v>3288.5364355945535</v>
      </c>
      <c r="S13" s="118">
        <f t="shared" si="2"/>
        <v>3342.3251707878503</v>
      </c>
      <c r="T13" s="101"/>
      <c r="U13" s="118">
        <f>(((360*'Input + Tire Forces'!$L$4*$B$2*$B$3)/(PI()*$B$4^2))*(1/L13))-($I$2*$I$4^2)</f>
        <v>347.29560879984933</v>
      </c>
      <c r="V13" s="118">
        <f>(((360*'Input + Tire Forces'!$L$4*$B$2*$B$3)/(PI()*$B$5^2))*(1/M13))-($I$3*$I$5^2)</f>
        <v>334.79560879984933</v>
      </c>
      <c r="W13" s="118">
        <f>(((360*'Input + Tire Forces'!$L$5*$B$2*$B$3)/(PI()*$B$4^2))*(1/L13))-($I$2*$I$4^2)</f>
        <v>347.29560879984933</v>
      </c>
      <c r="X13" s="118">
        <f>(((360*'Input + Tire Forces'!$L$5*$B$2*$B$3)/(PI()*$B$5^2))*(1/M13))-($I$3*$I$5^2)</f>
        <v>334.79560879984933</v>
      </c>
      <c r="Y13" s="101"/>
      <c r="Z13" s="119">
        <f t="shared" si="3"/>
        <v>1389.1824351993973</v>
      </c>
      <c r="AA13" s="119">
        <f t="shared" si="4"/>
        <v>1339.1824351993973</v>
      </c>
      <c r="AB13" s="119">
        <f t="shared" si="5"/>
        <v>1389.1824351993973</v>
      </c>
      <c r="AC13" s="119">
        <f t="shared" si="6"/>
        <v>1339.1824351993973</v>
      </c>
    </row>
    <row r="14" spans="1:29" x14ac:dyDescent="0.3">
      <c r="B14" s="26"/>
      <c r="D14" s="54"/>
      <c r="H14" s="54"/>
      <c r="J14">
        <v>0.5</v>
      </c>
      <c r="L14" s="118">
        <f t="shared" si="9"/>
        <v>1.2</v>
      </c>
      <c r="M14" s="118">
        <f t="shared" si="9"/>
        <v>1.2</v>
      </c>
      <c r="N14" s="118">
        <f t="shared" si="7"/>
        <v>4307.3100000000004</v>
      </c>
      <c r="O14" s="118">
        <f t="shared" si="7"/>
        <v>4307.3100000000004</v>
      </c>
      <c r="P14" s="118">
        <f t="shared" si="8"/>
        <v>5322.1472967491609</v>
      </c>
      <c r="Q14" s="118">
        <f t="shared" si="0"/>
        <v>5945.3643859601307</v>
      </c>
      <c r="R14" s="118">
        <f t="shared" si="1"/>
        <v>2820.7380672770551</v>
      </c>
      <c r="S14" s="118">
        <f t="shared" si="2"/>
        <v>2794.3212614012614</v>
      </c>
      <c r="T14" s="101"/>
      <c r="U14" s="118">
        <f>(((360*'Input + Tire Forces'!$L$4*$B$2*$B$3)/(PI()*$B$4^2))*(1/L14))-($I$2*$I$4^2)</f>
        <v>314.18764139986189</v>
      </c>
      <c r="V14" s="118">
        <f>(((360*'Input + Tire Forces'!$L$4*$B$2*$B$3)/(PI()*$B$5^2))*(1/M14))-($I$3*$I$5^2)</f>
        <v>301.68764139986189</v>
      </c>
      <c r="W14" s="118">
        <f>(((360*'Input + Tire Forces'!$L$5*$B$2*$B$3)/(PI()*$B$4^2))*(1/L14))-($I$2*$I$4^2)</f>
        <v>314.18764139986189</v>
      </c>
      <c r="X14" s="118">
        <f>(((360*'Input + Tire Forces'!$L$5*$B$2*$B$3)/(PI()*$B$5^2))*(1/M14))-($I$3*$I$5^2)</f>
        <v>301.68764139986189</v>
      </c>
      <c r="Y14" s="101"/>
      <c r="Z14" s="119">
        <f t="shared" si="3"/>
        <v>1256.7505655994476</v>
      </c>
      <c r="AA14" s="119">
        <f t="shared" si="4"/>
        <v>1206.7505655994476</v>
      </c>
      <c r="AB14" s="119">
        <f t="shared" si="5"/>
        <v>1256.7505655994476</v>
      </c>
      <c r="AC14" s="119">
        <f t="shared" si="6"/>
        <v>1206.7505655994476</v>
      </c>
    </row>
    <row r="15" spans="1:29" x14ac:dyDescent="0.3">
      <c r="L15" s="118">
        <f t="shared" si="9"/>
        <v>1.3</v>
      </c>
      <c r="M15" s="118">
        <f t="shared" si="9"/>
        <v>1.3</v>
      </c>
      <c r="N15" s="118">
        <f t="shared" si="7"/>
        <v>3975.9784615384615</v>
      </c>
      <c r="O15" s="118">
        <f t="shared" si="7"/>
        <v>3975.9784615384615</v>
      </c>
      <c r="P15" s="118">
        <f t="shared" si="8"/>
        <v>4632.0397505888195</v>
      </c>
      <c r="Q15" s="118">
        <f t="shared" si="0"/>
        <v>5064.5854728754875</v>
      </c>
      <c r="R15" s="118">
        <f t="shared" si="1"/>
        <v>2454.9810678120743</v>
      </c>
      <c r="S15" s="118">
        <f t="shared" si="2"/>
        <v>2380.3551722514794</v>
      </c>
      <c r="T15" s="101"/>
      <c r="U15" s="118">
        <f>(((360*'Input + Tire Forces'!$L$4*$B$2*$B$3)/(PI()*$B$4^2))*(1/L15))-($I$2*$I$4^2)</f>
        <v>286.17320744602631</v>
      </c>
      <c r="V15" s="118">
        <f>(((360*'Input + Tire Forces'!$L$4*$B$2*$B$3)/(PI()*$B$5^2))*(1/M15))-($I$3*$I$5^2)</f>
        <v>273.67320744602631</v>
      </c>
      <c r="W15" s="118">
        <f>(((360*'Input + Tire Forces'!$L$5*$B$2*$B$3)/(PI()*$B$4^2))*(1/L15))-($I$2*$I$4^2)</f>
        <v>286.17320744602631</v>
      </c>
      <c r="X15" s="118">
        <f>(((360*'Input + Tire Forces'!$L$5*$B$2*$B$3)/(PI()*$B$5^2))*(1/M15))-($I$3*$I$5^2)</f>
        <v>273.67320744602631</v>
      </c>
      <c r="Y15" s="101"/>
      <c r="Z15" s="119">
        <f t="shared" si="3"/>
        <v>1144.6928297841052</v>
      </c>
      <c r="AA15" s="119">
        <f t="shared" si="4"/>
        <v>1094.6928297841052</v>
      </c>
      <c r="AB15" s="119">
        <f t="shared" si="5"/>
        <v>1144.6928297841052</v>
      </c>
      <c r="AC15" s="119">
        <f t="shared" si="6"/>
        <v>1094.6928297841052</v>
      </c>
    </row>
    <row r="16" spans="1:29" x14ac:dyDescent="0.3">
      <c r="L16" s="118">
        <f t="shared" si="9"/>
        <v>1.4000000000000001</v>
      </c>
      <c r="M16" s="118">
        <f t="shared" si="9"/>
        <v>1.4000000000000001</v>
      </c>
      <c r="N16" s="118">
        <f t="shared" si="7"/>
        <v>3691.9799999999996</v>
      </c>
      <c r="O16" s="118">
        <f t="shared" si="7"/>
        <v>3691.9799999999996</v>
      </c>
      <c r="P16" s="118">
        <f t="shared" si="8"/>
        <v>4077.6626065662613</v>
      </c>
      <c r="Q16" s="118">
        <f t="shared" si="0"/>
        <v>4375.7631537192319</v>
      </c>
      <c r="R16" s="118">
        <f t="shared" si="1"/>
        <v>2161.1611814801186</v>
      </c>
      <c r="S16" s="118">
        <f t="shared" si="2"/>
        <v>2056.6086822480393</v>
      </c>
      <c r="T16" s="101"/>
      <c r="U16" s="118">
        <f>(((360*'Input + Tire Forces'!$L$4*$B$2*$B$3)/(PI()*$B$4^2))*(1/L16))-($I$2*$I$4^2)</f>
        <v>262.16083548559584</v>
      </c>
      <c r="V16" s="118">
        <f>(((360*'Input + Tire Forces'!$L$4*$B$2*$B$3)/(PI()*$B$5^2))*(1/M16))-($I$3*$I$5^2)</f>
        <v>249.66083548559584</v>
      </c>
      <c r="W16" s="118">
        <f>(((360*'Input + Tire Forces'!$L$5*$B$2*$B$3)/(PI()*$B$4^2))*(1/L16))-($I$2*$I$4^2)</f>
        <v>262.16083548559584</v>
      </c>
      <c r="X16" s="118">
        <f>(((360*'Input + Tire Forces'!$L$5*$B$2*$B$3)/(PI()*$B$5^2))*(1/M16))-($I$3*$I$5^2)</f>
        <v>249.66083548559584</v>
      </c>
      <c r="Y16" s="101"/>
      <c r="Z16" s="119">
        <f t="shared" si="3"/>
        <v>1048.6433419423834</v>
      </c>
      <c r="AA16" s="119">
        <f t="shared" si="4"/>
        <v>998.64334194238336</v>
      </c>
      <c r="AB16" s="119">
        <f t="shared" si="5"/>
        <v>1048.6433419423834</v>
      </c>
      <c r="AC16" s="119">
        <f t="shared" si="6"/>
        <v>998.64334194238336</v>
      </c>
    </row>
    <row r="17" spans="2:29" x14ac:dyDescent="0.3">
      <c r="B17" s="26"/>
      <c r="L17" s="109">
        <f t="shared" si="9"/>
        <v>1.5000000000000002</v>
      </c>
      <c r="M17" s="109">
        <f t="shared" si="9"/>
        <v>1.5000000000000002</v>
      </c>
      <c r="N17" s="109">
        <f t="shared" si="7"/>
        <v>3445.8479999999995</v>
      </c>
      <c r="O17" s="109">
        <f t="shared" si="7"/>
        <v>3445.8479999999995</v>
      </c>
      <c r="P17" s="109">
        <f t="shared" si="8"/>
        <v>3622.5579403065785</v>
      </c>
      <c r="Q17" s="109">
        <f t="shared" si="0"/>
        <v>3822.3112058761058</v>
      </c>
      <c r="R17" s="109">
        <f t="shared" si="1"/>
        <v>1919.9557083624866</v>
      </c>
      <c r="S17" s="109">
        <f t="shared" si="2"/>
        <v>1796.4862667617697</v>
      </c>
      <c r="T17" s="101"/>
      <c r="U17" s="109">
        <f>(((360*'Input + Tire Forces'!$L$4*$B$2*$B$3)/(PI()*$B$4^2))*(1/L17))-($I$2*$I$4^2)</f>
        <v>241.35011311988944</v>
      </c>
      <c r="V17" s="109">
        <f>(((360*'Input + Tire Forces'!$L$4*$B$2*$B$3)/(PI()*$B$5^2))*(1/M17))-($I$3*$I$5^2)</f>
        <v>228.85011311988944</v>
      </c>
      <c r="W17" s="109">
        <f>(((360*'Input + Tire Forces'!$L$5*$B$2*$B$3)/(PI()*$B$4^2))*(1/L17))-($I$2*$I$4^2)</f>
        <v>241.35011311988944</v>
      </c>
      <c r="X17" s="109">
        <f>(((360*'Input + Tire Forces'!$L$5*$B$2*$B$3)/(PI()*$B$5^2))*(1/M17))-($I$3*$I$5^2)</f>
        <v>228.85011311988944</v>
      </c>
      <c r="Y17" s="101"/>
      <c r="Z17" s="110">
        <f t="shared" si="3"/>
        <v>965.40045247955777</v>
      </c>
      <c r="AA17" s="110">
        <f t="shared" si="4"/>
        <v>915.40045247955777</v>
      </c>
      <c r="AB17" s="110">
        <f t="shared" si="5"/>
        <v>965.40045247955777</v>
      </c>
      <c r="AC17" s="110">
        <f t="shared" si="6"/>
        <v>915.40045247955777</v>
      </c>
    </row>
    <row r="18" spans="2:29" x14ac:dyDescent="0.3">
      <c r="B18" s="26"/>
      <c r="F18" t="s">
        <v>437</v>
      </c>
      <c r="L18" s="109">
        <f t="shared" si="9"/>
        <v>1.6000000000000003</v>
      </c>
      <c r="M18" s="109">
        <f t="shared" si="9"/>
        <v>1.6000000000000003</v>
      </c>
      <c r="N18" s="109">
        <f t="shared" si="7"/>
        <v>3230.4824999999992</v>
      </c>
      <c r="O18" s="109">
        <f t="shared" si="7"/>
        <v>3230.4824999999992</v>
      </c>
      <c r="P18" s="109">
        <f t="shared" si="8"/>
        <v>3242.2518946400814</v>
      </c>
      <c r="Q18" s="109">
        <f t="shared" si="0"/>
        <v>3367.8946214720186</v>
      </c>
      <c r="R18" s="109">
        <f t="shared" si="1"/>
        <v>1718.3935041592433</v>
      </c>
      <c r="S18" s="109">
        <f t="shared" si="2"/>
        <v>1582.9104720918488</v>
      </c>
      <c r="T18" s="101"/>
      <c r="U18" s="109">
        <f>(((360*'Input + Tire Forces'!$L$4*$B$2*$B$3)/(PI()*$B$4^2))*(1/L18))-($I$2*$I$4^2)</f>
        <v>223.14073104989632</v>
      </c>
      <c r="V18" s="109">
        <f>(((360*'Input + Tire Forces'!$L$4*$B$2*$B$3)/(PI()*$B$5^2))*(1/M18))-($I$3*$I$5^2)</f>
        <v>210.64073104989632</v>
      </c>
      <c r="W18" s="109">
        <f>(((360*'Input + Tire Forces'!$L$5*$B$2*$B$3)/(PI()*$B$4^2))*(1/L18))-($I$2*$I$4^2)</f>
        <v>223.14073104989632</v>
      </c>
      <c r="X18" s="109">
        <f>(((360*'Input + Tire Forces'!$L$5*$B$2*$B$3)/(PI()*$B$5^2))*(1/M18))-($I$3*$I$5^2)</f>
        <v>210.64073104989632</v>
      </c>
      <c r="Y18" s="101"/>
      <c r="Z18" s="110">
        <f t="shared" si="3"/>
        <v>892.56292419958527</v>
      </c>
      <c r="AA18" s="110">
        <f t="shared" si="4"/>
        <v>842.56292419958527</v>
      </c>
      <c r="AB18" s="110">
        <f t="shared" si="5"/>
        <v>892.56292419958527</v>
      </c>
      <c r="AC18" s="110">
        <f t="shared" si="6"/>
        <v>842.56292419958527</v>
      </c>
    </row>
    <row r="19" spans="2:29" x14ac:dyDescent="0.3">
      <c r="L19" s="109">
        <f t="shared" si="9"/>
        <v>1.7000000000000004</v>
      </c>
      <c r="M19" s="109">
        <f t="shared" si="9"/>
        <v>1.7000000000000004</v>
      </c>
      <c r="N19" s="109">
        <f t="shared" si="7"/>
        <v>3040.454117647058</v>
      </c>
      <c r="O19" s="109">
        <f t="shared" si="7"/>
        <v>3040.454117647058</v>
      </c>
      <c r="P19" s="109">
        <f t="shared" si="8"/>
        <v>2919.7045046863959</v>
      </c>
      <c r="Q19" s="109">
        <f t="shared" si="0"/>
        <v>2988.1141536859909</v>
      </c>
      <c r="R19" s="109">
        <f t="shared" si="1"/>
        <v>1547.4433874837896</v>
      </c>
      <c r="S19" s="109">
        <f t="shared" si="2"/>
        <v>1404.4136522324156</v>
      </c>
      <c r="T19" s="101"/>
      <c r="U19" s="109">
        <f>(((360*'Input + Tire Forces'!$L$4*$B$2*$B$3)/(PI()*$B$4^2))*(1/L19))-($I$2*$I$4^2)</f>
        <v>207.07362922343185</v>
      </c>
      <c r="V19" s="109">
        <f>(((360*'Input + Tire Forces'!$L$4*$B$2*$B$3)/(PI()*$B$5^2))*(1/M19))-($I$3*$I$5^2)</f>
        <v>194.57362922343185</v>
      </c>
      <c r="W19" s="109">
        <f>(((360*'Input + Tire Forces'!$L$5*$B$2*$B$3)/(PI()*$B$4^2))*(1/L19))-($I$2*$I$4^2)</f>
        <v>207.07362922343185</v>
      </c>
      <c r="X19" s="109">
        <f>(((360*'Input + Tire Forces'!$L$5*$B$2*$B$3)/(PI()*$B$5^2))*(1/M19))-($I$3*$I$5^2)</f>
        <v>194.57362922343185</v>
      </c>
      <c r="Y19" s="101"/>
      <c r="Z19" s="110">
        <f t="shared" si="3"/>
        <v>828.2945168937274</v>
      </c>
      <c r="AA19" s="110">
        <f t="shared" si="4"/>
        <v>778.2945168937274</v>
      </c>
      <c r="AB19" s="110">
        <f t="shared" si="5"/>
        <v>828.2945168937274</v>
      </c>
      <c r="AC19" s="110">
        <f t="shared" si="6"/>
        <v>778.2945168937274</v>
      </c>
    </row>
    <row r="20" spans="2:29" x14ac:dyDescent="0.3">
      <c r="E20" s="26"/>
      <c r="I20" s="26"/>
      <c r="L20" s="109">
        <f t="shared" si="9"/>
        <v>1.8000000000000005</v>
      </c>
      <c r="M20" s="109">
        <f t="shared" si="9"/>
        <v>1.8000000000000005</v>
      </c>
      <c r="N20" s="109">
        <f t="shared" si="7"/>
        <v>2871.5399999999991</v>
      </c>
      <c r="O20" s="109">
        <f t="shared" si="7"/>
        <v>2871.5399999999991</v>
      </c>
      <c r="P20" s="109">
        <f t="shared" si="8"/>
        <v>2642.6863659056098</v>
      </c>
      <c r="Q20" s="109">
        <f t="shared" si="0"/>
        <v>2665.9772538343786</v>
      </c>
      <c r="R20" s="109">
        <f t="shared" si="1"/>
        <v>1400.6237739299731</v>
      </c>
      <c r="S20" s="109">
        <f t="shared" si="2"/>
        <v>1253.0093093021578</v>
      </c>
      <c r="T20" s="101"/>
      <c r="U20" s="109">
        <f>(((360*'Input + Tire Forces'!$L$4*$B$2*$B$3)/(PI()*$B$4^2))*(1/L20))-($I$2*$I$4^2)</f>
        <v>192.79176093324114</v>
      </c>
      <c r="V20" s="109">
        <f>(((360*'Input + Tire Forces'!$L$4*$B$2*$B$3)/(PI()*$B$5^2))*(1/M20))-($I$3*$I$5^2)</f>
        <v>180.29176093324114</v>
      </c>
      <c r="W20" s="109">
        <f>(((360*'Input + Tire Forces'!$L$5*$B$2*$B$3)/(PI()*$B$4^2))*(1/L20))-($I$2*$I$4^2)</f>
        <v>192.79176093324114</v>
      </c>
      <c r="X20" s="109">
        <f>(((360*'Input + Tire Forces'!$L$5*$B$2*$B$3)/(PI()*$B$5^2))*(1/M20))-($I$3*$I$5^2)</f>
        <v>180.29176093324114</v>
      </c>
      <c r="Y20" s="101"/>
      <c r="Z20" s="110">
        <f t="shared" si="3"/>
        <v>771.16704373296454</v>
      </c>
      <c r="AA20" s="110">
        <f t="shared" si="4"/>
        <v>721.16704373296454</v>
      </c>
      <c r="AB20" s="110">
        <f t="shared" si="5"/>
        <v>771.16704373296454</v>
      </c>
      <c r="AC20" s="110">
        <f t="shared" si="6"/>
        <v>721.16704373296454</v>
      </c>
    </row>
    <row r="21" spans="2:29" x14ac:dyDescent="0.3">
      <c r="E21" s="26"/>
      <c r="I21" s="26"/>
      <c r="L21" s="109">
        <f t="shared" ref="L21:M36" si="10">L20+0.1</f>
        <v>1.9000000000000006</v>
      </c>
      <c r="M21" s="109">
        <f t="shared" si="10"/>
        <v>1.9000000000000006</v>
      </c>
      <c r="N21" s="109">
        <f t="shared" si="7"/>
        <v>2720.406315789473</v>
      </c>
      <c r="O21" s="109">
        <f t="shared" si="7"/>
        <v>2720.406315789473</v>
      </c>
      <c r="P21" s="109">
        <f t="shared" si="8"/>
        <v>2402.1929579549123</v>
      </c>
      <c r="Q21" s="109">
        <f t="shared" si="0"/>
        <v>2389.2858212828155</v>
      </c>
      <c r="R21" s="109">
        <f t="shared" si="1"/>
        <v>1273.1622677161035</v>
      </c>
      <c r="S21" s="109">
        <f t="shared" si="2"/>
        <v>1122.9643360029231</v>
      </c>
      <c r="T21" s="101"/>
      <c r="U21" s="109">
        <f>(((360*'Input + Tire Forces'!$L$4*$B$2*$B$3)/(PI()*$B$4^2))*(1/L21))-($I$2*$I$4^2)</f>
        <v>180.01324719991268</v>
      </c>
      <c r="V21" s="109">
        <f>(((360*'Input + Tire Forces'!$L$4*$B$2*$B$3)/(PI()*$B$5^2))*(1/M21))-($I$3*$I$5^2)</f>
        <v>167.51324719991268</v>
      </c>
      <c r="W21" s="109">
        <f>(((360*'Input + Tire Forces'!$L$5*$B$2*$B$3)/(PI()*$B$4^2))*(1/L21))-($I$2*$I$4^2)</f>
        <v>180.01324719991268</v>
      </c>
      <c r="X21" s="109">
        <f>(((360*'Input + Tire Forces'!$L$5*$B$2*$B$3)/(PI()*$B$5^2))*(1/M21))-($I$3*$I$5^2)</f>
        <v>167.51324719991268</v>
      </c>
      <c r="Y21" s="101"/>
      <c r="Z21" s="110">
        <f t="shared" si="3"/>
        <v>720.05298879965073</v>
      </c>
      <c r="AA21" s="110">
        <f t="shared" si="4"/>
        <v>670.05298879965073</v>
      </c>
      <c r="AB21" s="110">
        <f t="shared" si="5"/>
        <v>720.05298879965073</v>
      </c>
      <c r="AC21" s="110">
        <f t="shared" si="6"/>
        <v>670.05298879965073</v>
      </c>
    </row>
    <row r="22" spans="2:29" x14ac:dyDescent="0.3">
      <c r="E22" s="26"/>
      <c r="I22" s="26"/>
      <c r="L22" s="109">
        <f t="shared" si="10"/>
        <v>2.0000000000000004</v>
      </c>
      <c r="M22" s="109">
        <f t="shared" si="10"/>
        <v>2.0000000000000004</v>
      </c>
      <c r="N22" s="109">
        <f t="shared" si="7"/>
        <v>2584.3859999999995</v>
      </c>
      <c r="O22" s="109">
        <f t="shared" si="7"/>
        <v>2584.3859999999995</v>
      </c>
      <c r="P22" s="109">
        <f t="shared" si="8"/>
        <v>2191.447389319691</v>
      </c>
      <c r="Q22" s="109">
        <f t="shared" si="0"/>
        <v>2149.0566772355596</v>
      </c>
      <c r="R22" s="109">
        <f t="shared" si="1"/>
        <v>1161.4671163394362</v>
      </c>
      <c r="S22" s="109">
        <f t="shared" si="2"/>
        <v>1010.0566383007131</v>
      </c>
      <c r="T22" s="101"/>
      <c r="U22" s="109">
        <f>(((360*'Input + Tire Forces'!$L$4*$B$2*$B$3)/(PI()*$B$4^2))*(1/L22))-($I$2*$I$4^2)</f>
        <v>168.51258483991705</v>
      </c>
      <c r="V22" s="109">
        <f>(((360*'Input + Tire Forces'!$L$4*$B$2*$B$3)/(PI()*$B$5^2))*(1/M22))-($I$3*$I$5^2)</f>
        <v>156.01258483991705</v>
      </c>
      <c r="W22" s="109">
        <f>(((360*'Input + Tire Forces'!$L$5*$B$2*$B$3)/(PI()*$B$4^2))*(1/L22))-($I$2*$I$4^2)</f>
        <v>168.51258483991705</v>
      </c>
      <c r="X22" s="109">
        <f>(((360*'Input + Tire Forces'!$L$5*$B$2*$B$3)/(PI()*$B$5^2))*(1/M22))-($I$3*$I$5^2)</f>
        <v>156.01258483991705</v>
      </c>
      <c r="Y22" s="101"/>
      <c r="Z22" s="110">
        <f t="shared" si="3"/>
        <v>674.05033935966821</v>
      </c>
      <c r="AA22" s="110">
        <f t="shared" si="4"/>
        <v>624.05033935966821</v>
      </c>
      <c r="AB22" s="110">
        <f t="shared" si="5"/>
        <v>674.05033935966821</v>
      </c>
      <c r="AC22" s="110">
        <f t="shared" si="6"/>
        <v>624.05033935966821</v>
      </c>
    </row>
    <row r="23" spans="2:29" x14ac:dyDescent="0.3">
      <c r="E23" s="26"/>
      <c r="I23" s="26"/>
      <c r="L23" s="109">
        <f t="shared" si="10"/>
        <v>2.1000000000000005</v>
      </c>
      <c r="M23" s="109">
        <f t="shared" si="10"/>
        <v>2.1000000000000005</v>
      </c>
      <c r="N23" s="109">
        <f t="shared" si="7"/>
        <v>2461.3199999999993</v>
      </c>
      <c r="O23" s="109">
        <f t="shared" si="7"/>
        <v>2461.3199999999993</v>
      </c>
      <c r="P23" s="109">
        <f t="shared" si="8"/>
        <v>2005.2516539420042</v>
      </c>
      <c r="Q23" s="109">
        <f t="shared" si="0"/>
        <v>1938.5278852343358</v>
      </c>
      <c r="R23" s="109">
        <f t="shared" si="1"/>
        <v>1062.7833765892622</v>
      </c>
      <c r="S23" s="109">
        <f t="shared" si="2"/>
        <v>911.10810606013774</v>
      </c>
      <c r="T23" s="101"/>
      <c r="U23" s="109">
        <f>(((360*'Input + Tire Forces'!$L$4*$B$2*$B$3)/(PI()*$B$4^2))*(1/L23))-($I$2*$I$4^2)</f>
        <v>158.10722365706386</v>
      </c>
      <c r="V23" s="109">
        <f>(((360*'Input + Tire Forces'!$L$4*$B$2*$B$3)/(PI()*$B$5^2))*(1/M23))-($I$3*$I$5^2)</f>
        <v>145.60722365706386</v>
      </c>
      <c r="W23" s="109">
        <f>(((360*'Input + Tire Forces'!$L$5*$B$2*$B$3)/(PI()*$B$4^2))*(1/L23))-($I$2*$I$4^2)</f>
        <v>158.10722365706386</v>
      </c>
      <c r="X23" s="109">
        <f>(((360*'Input + Tire Forces'!$L$5*$B$2*$B$3)/(PI()*$B$5^2))*(1/M23))-($I$3*$I$5^2)</f>
        <v>145.60722365706386</v>
      </c>
      <c r="Y23" s="101"/>
      <c r="Z23" s="110">
        <f t="shared" si="3"/>
        <v>632.42889462825542</v>
      </c>
      <c r="AA23" s="110">
        <f t="shared" si="4"/>
        <v>582.42889462825542</v>
      </c>
      <c r="AB23" s="110">
        <f t="shared" si="5"/>
        <v>632.42889462825542</v>
      </c>
      <c r="AC23" s="110">
        <f t="shared" si="6"/>
        <v>582.42889462825542</v>
      </c>
    </row>
    <row r="24" spans="2:29" x14ac:dyDescent="0.3">
      <c r="E24" s="26"/>
      <c r="I24" s="26"/>
      <c r="L24" s="109">
        <f t="shared" si="10"/>
        <v>2.2000000000000006</v>
      </c>
      <c r="M24" s="109">
        <f t="shared" si="10"/>
        <v>2.2000000000000006</v>
      </c>
      <c r="N24" s="109">
        <f t="shared" si="7"/>
        <v>2349.4418181818173</v>
      </c>
      <c r="O24" s="109">
        <f t="shared" si="7"/>
        <v>2349.4418181818173</v>
      </c>
      <c r="P24" s="109">
        <f t="shared" si="8"/>
        <v>1839.5521265757714</v>
      </c>
      <c r="Q24" s="109">
        <f t="shared" si="0"/>
        <v>1752.5121711123375</v>
      </c>
      <c r="R24" s="109">
        <f t="shared" si="1"/>
        <v>974.96262708515872</v>
      </c>
      <c r="S24" s="109">
        <f t="shared" si="2"/>
        <v>823.68072042279857</v>
      </c>
      <c r="T24" s="101"/>
      <c r="U24" s="109">
        <f>(((360*'Input + Tire Forces'!$L$4*$B$2*$B$3)/(PI()*$B$4^2))*(1/L24))-($I$2*$I$4^2)</f>
        <v>148.64780439992458</v>
      </c>
      <c r="V24" s="109">
        <f>(((360*'Input + Tire Forces'!$L$4*$B$2*$B$3)/(PI()*$B$5^2))*(1/M24))-($I$3*$I$5^2)</f>
        <v>136.14780439992458</v>
      </c>
      <c r="W24" s="109">
        <f>(((360*'Input + Tire Forces'!$L$5*$B$2*$B$3)/(PI()*$B$4^2))*(1/L24))-($I$2*$I$4^2)</f>
        <v>148.64780439992458</v>
      </c>
      <c r="X24" s="109">
        <f>(((360*'Input + Tire Forces'!$L$5*$B$2*$B$3)/(PI()*$B$5^2))*(1/M24))-($I$3*$I$5^2)</f>
        <v>136.14780439992458</v>
      </c>
      <c r="Y24" s="101"/>
      <c r="Z24" s="110">
        <f t="shared" si="3"/>
        <v>594.59121759969833</v>
      </c>
      <c r="AA24" s="110">
        <f t="shared" si="4"/>
        <v>544.59121759969833</v>
      </c>
      <c r="AB24" s="110">
        <f t="shared" si="5"/>
        <v>594.59121759969833</v>
      </c>
      <c r="AC24" s="110">
        <f t="shared" si="6"/>
        <v>544.59121759969833</v>
      </c>
    </row>
    <row r="25" spans="2:29" x14ac:dyDescent="0.3">
      <c r="L25" s="109">
        <f t="shared" si="10"/>
        <v>2.3000000000000007</v>
      </c>
      <c r="M25" s="109">
        <f t="shared" si="10"/>
        <v>2.3000000000000007</v>
      </c>
      <c r="N25" s="109">
        <f t="shared" si="7"/>
        <v>2247.2921739130429</v>
      </c>
      <c r="O25" s="109">
        <f t="shared" si="7"/>
        <v>2247.2921739130429</v>
      </c>
      <c r="P25" s="109">
        <f t="shared" si="8"/>
        <v>1691.141061861041</v>
      </c>
      <c r="Q25" s="109">
        <f t="shared" si="0"/>
        <v>1586.9637726245246</v>
      </c>
      <c r="R25" s="109">
        <f t="shared" si="1"/>
        <v>896.3047627863516</v>
      </c>
      <c r="S25" s="109">
        <f t="shared" si="2"/>
        <v>745.87297313352656</v>
      </c>
      <c r="T25" s="101"/>
      <c r="U25" s="109">
        <f>(((360*'Input + Tire Forces'!$L$4*$B$2*$B$3)/(PI()*$B$4^2))*(1/L25))-($I$2*$I$4^2)</f>
        <v>140.01094333905831</v>
      </c>
      <c r="V25" s="109">
        <f>(((360*'Input + Tire Forces'!$L$4*$B$2*$B$3)/(PI()*$B$5^2))*(1/M25))-($I$3*$I$5^2)</f>
        <v>127.51094333905831</v>
      </c>
      <c r="W25" s="109">
        <f>(((360*'Input + Tire Forces'!$L$5*$B$2*$B$3)/(PI()*$B$4^2))*(1/L25))-($I$2*$I$4^2)</f>
        <v>140.01094333905831</v>
      </c>
      <c r="X25" s="109">
        <f>(((360*'Input + Tire Forces'!$L$5*$B$2*$B$3)/(PI()*$B$5^2))*(1/M25))-($I$3*$I$5^2)</f>
        <v>127.51094333905831</v>
      </c>
      <c r="Y25" s="101"/>
      <c r="Z25" s="110">
        <f t="shared" si="3"/>
        <v>560.04377335623326</v>
      </c>
      <c r="AA25" s="110">
        <f t="shared" si="4"/>
        <v>510.04377335623326</v>
      </c>
      <c r="AB25" s="110">
        <f t="shared" si="5"/>
        <v>560.04377335623326</v>
      </c>
      <c r="AC25" s="110">
        <f t="shared" si="6"/>
        <v>510.04377335623326</v>
      </c>
    </row>
    <row r="26" spans="2:29" x14ac:dyDescent="0.3">
      <c r="E26" s="26"/>
      <c r="I26" s="26"/>
      <c r="L26" s="109">
        <f t="shared" si="10"/>
        <v>2.4000000000000008</v>
      </c>
      <c r="M26" s="109">
        <f t="shared" si="10"/>
        <v>2.4000000000000008</v>
      </c>
      <c r="N26" s="109">
        <f t="shared" si="7"/>
        <v>2153.6549999999993</v>
      </c>
      <c r="O26" s="109">
        <f t="shared" si="7"/>
        <v>2153.6549999999993</v>
      </c>
      <c r="P26" s="109">
        <f t="shared" si="8"/>
        <v>1557.4468942043989</v>
      </c>
      <c r="Q26" s="109">
        <f t="shared" si="0"/>
        <v>1438.680811937119</v>
      </c>
      <c r="R26" s="109">
        <f t="shared" si="1"/>
        <v>825.44685392833139</v>
      </c>
      <c r="S26" s="109">
        <f t="shared" si="2"/>
        <v>676.17998161044602</v>
      </c>
      <c r="T26" s="101"/>
      <c r="U26" s="109">
        <f>(((360*'Input + Tire Forces'!$L$4*$B$2*$B$3)/(PI()*$B$4^2))*(1/L26))-($I$2*$I$4^2)</f>
        <v>132.09382069993086</v>
      </c>
      <c r="V26" s="109">
        <f>(((360*'Input + Tire Forces'!$L$4*$B$2*$B$3)/(PI()*$B$5^2))*(1/M26))-($I$3*$I$5^2)</f>
        <v>119.59382069993086</v>
      </c>
      <c r="W26" s="109">
        <f>(((360*'Input + Tire Forces'!$L$5*$B$2*$B$3)/(PI()*$B$4^2))*(1/L26))-($I$2*$I$4^2)</f>
        <v>132.09382069993086</v>
      </c>
      <c r="X26" s="109">
        <f>(((360*'Input + Tire Forces'!$L$5*$B$2*$B$3)/(PI()*$B$5^2))*(1/M26))-($I$3*$I$5^2)</f>
        <v>119.59382069993086</v>
      </c>
      <c r="Y26" s="101"/>
      <c r="Z26" s="110">
        <f t="shared" si="3"/>
        <v>528.37528279972344</v>
      </c>
      <c r="AA26" s="110">
        <f t="shared" si="4"/>
        <v>478.37528279972344</v>
      </c>
      <c r="AB26" s="110">
        <f t="shared" si="5"/>
        <v>528.37528279972344</v>
      </c>
      <c r="AC26" s="110">
        <f t="shared" si="6"/>
        <v>478.37528279972344</v>
      </c>
    </row>
    <row r="27" spans="2:29" x14ac:dyDescent="0.3">
      <c r="L27" s="109">
        <f t="shared" si="10"/>
        <v>2.5000000000000009</v>
      </c>
      <c r="M27" s="109">
        <f t="shared" si="10"/>
        <v>2.5000000000000009</v>
      </c>
      <c r="N27" s="109">
        <f t="shared" si="7"/>
        <v>2067.5087999999992</v>
      </c>
      <c r="O27" s="109">
        <f t="shared" si="7"/>
        <v>2067.5087999999992</v>
      </c>
      <c r="P27" s="109">
        <f t="shared" si="8"/>
        <v>1436.3839742270818</v>
      </c>
      <c r="Q27" s="109">
        <f t="shared" si="0"/>
        <v>1305.0961737372527</v>
      </c>
      <c r="R27" s="109">
        <f t="shared" si="1"/>
        <v>761.28350634035337</v>
      </c>
      <c r="S27" s="109">
        <f t="shared" si="2"/>
        <v>613.39520165650868</v>
      </c>
      <c r="T27" s="101"/>
      <c r="U27" s="109">
        <f>(((360*'Input + Tire Forces'!$L$4*$B$2*$B$3)/(PI()*$B$4^2))*(1/L27))-($I$2*$I$4^2)</f>
        <v>124.81006787193363</v>
      </c>
      <c r="V27" s="109">
        <f>(((360*'Input + Tire Forces'!$L$4*$B$2*$B$3)/(PI()*$B$5^2))*(1/M27))-($I$3*$I$5^2)</f>
        <v>112.31006787193363</v>
      </c>
      <c r="W27" s="109">
        <f>(((360*'Input + Tire Forces'!$L$5*$B$2*$B$3)/(PI()*$B$4^2))*(1/L27))-($I$2*$I$4^2)</f>
        <v>124.81006787193363</v>
      </c>
      <c r="X27" s="109">
        <f>(((360*'Input + Tire Forces'!$L$5*$B$2*$B$3)/(PI()*$B$5^2))*(1/M27))-($I$3*$I$5^2)</f>
        <v>112.31006787193363</v>
      </c>
      <c r="Y27" s="101"/>
      <c r="Z27" s="110">
        <f t="shared" si="3"/>
        <v>499.2402714877345</v>
      </c>
      <c r="AA27" s="110">
        <f t="shared" si="4"/>
        <v>449.2402714877345</v>
      </c>
      <c r="AB27" s="110">
        <f t="shared" si="5"/>
        <v>499.2402714877345</v>
      </c>
      <c r="AC27" s="110">
        <f t="shared" si="6"/>
        <v>449.2402714877345</v>
      </c>
    </row>
    <row r="28" spans="2:29" x14ac:dyDescent="0.3">
      <c r="L28" s="109">
        <f t="shared" si="10"/>
        <v>2.600000000000001</v>
      </c>
      <c r="M28" s="109">
        <f t="shared" si="10"/>
        <v>2.600000000000001</v>
      </c>
      <c r="N28" s="109">
        <f t="shared" si="7"/>
        <v>1987.9892307692301</v>
      </c>
      <c r="O28" s="109">
        <f t="shared" si="7"/>
        <v>1987.9892307692301</v>
      </c>
      <c r="P28" s="109">
        <f t="shared" si="8"/>
        <v>1326.242974143174</v>
      </c>
      <c r="Q28" s="109">
        <f t="shared" si="0"/>
        <v>1184.1276334693493</v>
      </c>
      <c r="R28" s="109">
        <f t="shared" si="1"/>
        <v>702.90877629588226</v>
      </c>
      <c r="S28" s="109">
        <f t="shared" si="2"/>
        <v>556.53998773059425</v>
      </c>
      <c r="T28" s="101"/>
      <c r="U28" s="109">
        <f>(((360*'Input + Tire Forces'!$L$4*$B$2*$B$3)/(PI()*$B$4^2))*(1/L28))-($I$2*$I$4^2)</f>
        <v>118.0866037230131</v>
      </c>
      <c r="V28" s="109">
        <f>(((360*'Input + Tire Forces'!$L$4*$B$2*$B$3)/(PI()*$B$5^2))*(1/M28))-($I$3*$I$5^2)</f>
        <v>105.5866037230131</v>
      </c>
      <c r="W28" s="109">
        <f>(((360*'Input + Tire Forces'!$L$5*$B$2*$B$3)/(PI()*$B$4^2))*(1/L28))-($I$2*$I$4^2)</f>
        <v>118.0866037230131</v>
      </c>
      <c r="X28" s="109">
        <f>(((360*'Input + Tire Forces'!$L$5*$B$2*$B$3)/(PI()*$B$5^2))*(1/M28))-($I$3*$I$5^2)</f>
        <v>105.5866037230131</v>
      </c>
      <c r="Y28" s="101"/>
      <c r="Z28" s="110">
        <f t="shared" si="3"/>
        <v>472.34641489205239</v>
      </c>
      <c r="AA28" s="110">
        <f t="shared" si="4"/>
        <v>422.34641489205239</v>
      </c>
      <c r="AB28" s="110">
        <f t="shared" si="5"/>
        <v>472.34641489205239</v>
      </c>
      <c r="AC28" s="110">
        <f t="shared" si="6"/>
        <v>422.34641489205239</v>
      </c>
    </row>
    <row r="29" spans="2:29" x14ac:dyDescent="0.3">
      <c r="L29" s="109">
        <f t="shared" si="10"/>
        <v>2.7000000000000011</v>
      </c>
      <c r="M29" s="109">
        <f t="shared" si="10"/>
        <v>2.7000000000000011</v>
      </c>
      <c r="N29" s="109">
        <f t="shared" si="7"/>
        <v>1914.3599999999992</v>
      </c>
      <c r="O29" s="109">
        <f t="shared" si="7"/>
        <v>1914.3599999999992</v>
      </c>
      <c r="P29" s="109">
        <f t="shared" si="8"/>
        <v>1225.6096747448507</v>
      </c>
      <c r="Q29" s="109">
        <f t="shared" si="0"/>
        <v>1074.0685337277905</v>
      </c>
      <c r="R29" s="109">
        <f t="shared" si="1"/>
        <v>649.5731276147709</v>
      </c>
      <c r="S29" s="109">
        <f t="shared" si="2"/>
        <v>504.81221085206153</v>
      </c>
      <c r="T29" s="101"/>
      <c r="U29" s="109">
        <f>(((360*'Input + Tire Forces'!$L$4*$B$2*$B$3)/(PI()*$B$4^2))*(1/L29))-($I$2*$I$4^2)</f>
        <v>111.86117395549411</v>
      </c>
      <c r="V29" s="109">
        <f>(((360*'Input + Tire Forces'!$L$4*$B$2*$B$3)/(PI()*$B$5^2))*(1/M29))-($I$3*$I$5^2)</f>
        <v>99.36117395549411</v>
      </c>
      <c r="W29" s="109">
        <f>(((360*'Input + Tire Forces'!$L$5*$B$2*$B$3)/(PI()*$B$4^2))*(1/L29))-($I$2*$I$4^2)</f>
        <v>111.86117395549411</v>
      </c>
      <c r="X29" s="109">
        <f>(((360*'Input + Tire Forces'!$L$5*$B$2*$B$3)/(PI()*$B$5^2))*(1/M29))-($I$3*$I$5^2)</f>
        <v>99.36117395549411</v>
      </c>
      <c r="Y29" s="101"/>
      <c r="Z29" s="110">
        <f t="shared" si="3"/>
        <v>447.44469582197644</v>
      </c>
      <c r="AA29" s="110">
        <f t="shared" si="4"/>
        <v>397.44469582197644</v>
      </c>
      <c r="AB29" s="110">
        <f t="shared" si="5"/>
        <v>447.44469582197644</v>
      </c>
      <c r="AC29" s="110">
        <f t="shared" si="6"/>
        <v>397.44469582197644</v>
      </c>
    </row>
    <row r="30" spans="2:29" x14ac:dyDescent="0.3">
      <c r="L30" s="109">
        <f t="shared" si="10"/>
        <v>2.8000000000000012</v>
      </c>
      <c r="M30" s="109">
        <f t="shared" si="10"/>
        <v>2.8000000000000012</v>
      </c>
      <c r="N30" s="109">
        <f t="shared" si="7"/>
        <v>1845.9899999999993</v>
      </c>
      <c r="O30" s="109">
        <f t="shared" si="7"/>
        <v>1845.9899999999993</v>
      </c>
      <c r="P30" s="109">
        <f t="shared" si="8"/>
        <v>1133.3039138404527</v>
      </c>
      <c r="Q30" s="109">
        <f t="shared" si="0"/>
        <v>973.506762230812</v>
      </c>
      <c r="R30" s="109">
        <f t="shared" si="1"/>
        <v>600.65107433543994</v>
      </c>
      <c r="S30" s="109">
        <f t="shared" si="2"/>
        <v>457.54817824848163</v>
      </c>
      <c r="T30" s="101"/>
      <c r="U30" s="109">
        <f>(((360*'Input + Tire Forces'!$L$4*$B$2*$B$3)/(PI()*$B$4^2))*(1/L30))-($I$2*$I$4^2)</f>
        <v>106.08041774279786</v>
      </c>
      <c r="V30" s="109">
        <f>(((360*'Input + Tire Forces'!$L$4*$B$2*$B$3)/(PI()*$B$5^2))*(1/M30))-($I$3*$I$5^2)</f>
        <v>93.580417742797863</v>
      </c>
      <c r="W30" s="109">
        <f>(((360*'Input + Tire Forces'!$L$5*$B$2*$B$3)/(PI()*$B$4^2))*(1/L30))-($I$2*$I$4^2)</f>
        <v>106.08041774279786</v>
      </c>
      <c r="X30" s="109">
        <f>(((360*'Input + Tire Forces'!$L$5*$B$2*$B$3)/(PI()*$B$5^2))*(1/M30))-($I$3*$I$5^2)</f>
        <v>93.580417742797863</v>
      </c>
      <c r="Y30" s="101"/>
      <c r="Z30" s="110">
        <f t="shared" si="3"/>
        <v>424.32167097119145</v>
      </c>
      <c r="AA30" s="110">
        <f t="shared" si="4"/>
        <v>374.32167097119145</v>
      </c>
      <c r="AB30" s="110">
        <f t="shared" si="5"/>
        <v>424.32167097119145</v>
      </c>
      <c r="AC30" s="110">
        <f t="shared" si="6"/>
        <v>374.32167097119145</v>
      </c>
    </row>
    <row r="31" spans="2:29" x14ac:dyDescent="0.3">
      <c r="L31" s="109">
        <f t="shared" si="10"/>
        <v>2.9000000000000012</v>
      </c>
      <c r="M31" s="109">
        <f t="shared" si="10"/>
        <v>2.9000000000000012</v>
      </c>
      <c r="N31" s="109">
        <f t="shared" si="7"/>
        <v>1782.3351724137924</v>
      </c>
      <c r="O31" s="109">
        <f t="shared" si="7"/>
        <v>1782.3351724137924</v>
      </c>
      <c r="P31" s="109">
        <f t="shared" si="8"/>
        <v>1048.3330887990426</v>
      </c>
      <c r="Q31" s="109">
        <f t="shared" si="0"/>
        <v>881.26383713080486</v>
      </c>
      <c r="R31" s="109">
        <f t="shared" si="1"/>
        <v>555.61653706349261</v>
      </c>
      <c r="S31" s="109">
        <f t="shared" si="2"/>
        <v>414.1940034514783</v>
      </c>
      <c r="T31" s="101"/>
      <c r="U31" s="109">
        <f>(((360*'Input + Tire Forces'!$L$4*$B$2*$B$3)/(PI()*$B$4^2))*(1/L31))-($I$2*$I$4^2)</f>
        <v>100.69833437235656</v>
      </c>
      <c r="V31" s="109">
        <f>(((360*'Input + Tire Forces'!$L$4*$B$2*$B$3)/(PI()*$B$5^2))*(1/M31))-($I$3*$I$5^2)</f>
        <v>88.198334372356555</v>
      </c>
      <c r="W31" s="109">
        <f>(((360*'Input + Tire Forces'!$L$5*$B$2*$B$3)/(PI()*$B$4^2))*(1/L31))-($I$2*$I$4^2)</f>
        <v>100.69833437235656</v>
      </c>
      <c r="X31" s="109">
        <f>(((360*'Input + Tire Forces'!$L$5*$B$2*$B$3)/(PI()*$B$5^2))*(1/M31))-($I$3*$I$5^2)</f>
        <v>88.198334372356555</v>
      </c>
      <c r="Y31" s="101"/>
      <c r="Z31" s="110">
        <f t="shared" si="3"/>
        <v>402.79333748942622</v>
      </c>
      <c r="AA31" s="110">
        <f t="shared" si="4"/>
        <v>352.79333748942622</v>
      </c>
      <c r="AB31" s="110">
        <f t="shared" si="5"/>
        <v>402.79333748942622</v>
      </c>
      <c r="AC31" s="110">
        <f t="shared" si="6"/>
        <v>352.79333748942622</v>
      </c>
    </row>
    <row r="32" spans="2:29" x14ac:dyDescent="0.3">
      <c r="L32" s="109">
        <f t="shared" si="10"/>
        <v>3.0000000000000013</v>
      </c>
      <c r="M32" s="109">
        <f t="shared" si="10"/>
        <v>3.0000000000000013</v>
      </c>
      <c r="N32" s="109">
        <f t="shared" si="7"/>
        <v>1722.9239999999993</v>
      </c>
      <c r="O32" s="109">
        <f t="shared" si="7"/>
        <v>1722.9239999999993</v>
      </c>
      <c r="P32" s="109">
        <f t="shared" si="8"/>
        <v>969.85632006337323</v>
      </c>
      <c r="Q32" s="109">
        <f t="shared" si="0"/>
        <v>796.34850915519928</v>
      </c>
      <c r="R32" s="109">
        <f t="shared" si="1"/>
        <v>514.02384963358782</v>
      </c>
      <c r="S32" s="109">
        <f t="shared" si="2"/>
        <v>374.28379930294363</v>
      </c>
      <c r="T32" s="101"/>
      <c r="U32" s="109">
        <f>(((360*'Input + Tire Forces'!$L$4*$B$2*$B$3)/(PI()*$B$4^2))*(1/L32))-($I$2*$I$4^2)</f>
        <v>95.675056559944693</v>
      </c>
      <c r="V32" s="109">
        <f>(((360*'Input + Tire Forces'!$L$4*$B$2*$B$3)/(PI()*$B$5^2))*(1/M32))-($I$3*$I$5^2)</f>
        <v>83.175056559944693</v>
      </c>
      <c r="W32" s="109">
        <f>(((360*'Input + Tire Forces'!$L$5*$B$2*$B$3)/(PI()*$B$4^2))*(1/L32))-($I$2*$I$4^2)</f>
        <v>95.675056559944693</v>
      </c>
      <c r="X32" s="109">
        <f>(((360*'Input + Tire Forces'!$L$5*$B$2*$B$3)/(PI()*$B$5^2))*(1/M32))-($I$3*$I$5^2)</f>
        <v>83.175056559944693</v>
      </c>
      <c r="Y32" s="101"/>
      <c r="Z32" s="110">
        <f t="shared" si="3"/>
        <v>382.70022623977877</v>
      </c>
      <c r="AA32" s="110">
        <f t="shared" si="4"/>
        <v>332.70022623977877</v>
      </c>
      <c r="AB32" s="110">
        <f t="shared" si="5"/>
        <v>382.70022623977877</v>
      </c>
      <c r="AC32" s="110">
        <f t="shared" si="6"/>
        <v>332.70022623977877</v>
      </c>
    </row>
    <row r="33" spans="12:29" x14ac:dyDescent="0.3">
      <c r="L33" s="109">
        <f t="shared" si="10"/>
        <v>3.1000000000000014</v>
      </c>
      <c r="M33" s="109">
        <f t="shared" si="10"/>
        <v>3.1000000000000014</v>
      </c>
      <c r="N33" s="109">
        <f t="shared" si="7"/>
        <v>1667.3458064516121</v>
      </c>
      <c r="O33" s="109">
        <f t="shared" si="7"/>
        <v>1667.3458064516121</v>
      </c>
      <c r="P33" s="109">
        <f t="shared" si="8"/>
        <v>897.15652884879228</v>
      </c>
      <c r="Q33" s="109">
        <f t="shared" si="0"/>
        <v>717.92099860606754</v>
      </c>
      <c r="R33" s="109">
        <f t="shared" si="1"/>
        <v>475.49296028985992</v>
      </c>
      <c r="S33" s="109">
        <f t="shared" si="2"/>
        <v>337.42286934485173</v>
      </c>
      <c r="T33" s="101"/>
      <c r="U33" s="109">
        <f>(((360*'Input + Tire Forces'!$L$4*$B$2*$B$3)/(PI()*$B$4^2))*(1/L33))-($I$2*$I$4^2)</f>
        <v>90.975861187043222</v>
      </c>
      <c r="V33" s="109">
        <f>(((360*'Input + Tire Forces'!$L$4*$B$2*$B$3)/(PI()*$B$5^2))*(1/M33))-($I$3*$I$5^2)</f>
        <v>78.475861187043222</v>
      </c>
      <c r="W33" s="109">
        <f>(((360*'Input + Tire Forces'!$L$5*$B$2*$B$3)/(PI()*$B$4^2))*(1/L33))-($I$2*$I$4^2)</f>
        <v>90.975861187043222</v>
      </c>
      <c r="X33" s="109">
        <f>(((360*'Input + Tire Forces'!$L$5*$B$2*$B$3)/(PI()*$B$5^2))*(1/M33))-($I$3*$I$5^2)</f>
        <v>78.475861187043222</v>
      </c>
      <c r="Y33" s="101"/>
      <c r="Z33" s="110">
        <f t="shared" si="3"/>
        <v>363.90344474817289</v>
      </c>
      <c r="AA33" s="110">
        <f t="shared" si="4"/>
        <v>313.90344474817289</v>
      </c>
      <c r="AB33" s="110">
        <f t="shared" si="5"/>
        <v>363.90344474817289</v>
      </c>
      <c r="AC33" s="110">
        <f t="shared" si="6"/>
        <v>313.90344474817289</v>
      </c>
    </row>
    <row r="34" spans="12:29" x14ac:dyDescent="0.3">
      <c r="L34" s="109">
        <f t="shared" si="10"/>
        <v>3.2000000000000015</v>
      </c>
      <c r="M34" s="109">
        <f t="shared" si="10"/>
        <v>3.2000000000000015</v>
      </c>
      <c r="N34" s="109">
        <f t="shared" si="7"/>
        <v>1615.2412499999991</v>
      </c>
      <c r="O34" s="109">
        <f t="shared" si="7"/>
        <v>1615.2412499999991</v>
      </c>
      <c r="P34" s="109">
        <f t="shared" si="8"/>
        <v>829.61846233782876</v>
      </c>
      <c r="Q34" s="109">
        <f t="shared" si="0"/>
        <v>645.26512797541</v>
      </c>
      <c r="R34" s="109">
        <f t="shared" si="1"/>
        <v>439.69778503904928</v>
      </c>
      <c r="S34" s="109">
        <f t="shared" si="2"/>
        <v>303.27461014844272</v>
      </c>
      <c r="T34" s="101"/>
      <c r="U34" s="109">
        <f>(((360*'Input + Tire Forces'!$L$4*$B$2*$B$3)/(PI()*$B$4^2))*(1/L34))-($I$2*$I$4^2)</f>
        <v>86.57036552494813</v>
      </c>
      <c r="V34" s="109">
        <f>(((360*'Input + Tire Forces'!$L$4*$B$2*$B$3)/(PI()*$B$5^2))*(1/M34))-($I$3*$I$5^2)</f>
        <v>74.07036552494813</v>
      </c>
      <c r="W34" s="109">
        <f>(((360*'Input + Tire Forces'!$L$5*$B$2*$B$3)/(PI()*$B$4^2))*(1/L34))-($I$2*$I$4^2)</f>
        <v>86.57036552494813</v>
      </c>
      <c r="X34" s="109">
        <f>(((360*'Input + Tire Forces'!$L$5*$B$2*$B$3)/(PI()*$B$5^2))*(1/M34))-($I$3*$I$5^2)</f>
        <v>74.07036552494813</v>
      </c>
      <c r="Y34" s="101"/>
      <c r="Z34" s="110">
        <f t="shared" si="3"/>
        <v>346.28146209979252</v>
      </c>
      <c r="AA34" s="110">
        <f t="shared" si="4"/>
        <v>296.28146209979252</v>
      </c>
      <c r="AB34" s="110">
        <f t="shared" si="5"/>
        <v>346.28146209979252</v>
      </c>
      <c r="AC34" s="110">
        <f t="shared" si="6"/>
        <v>296.28146209979252</v>
      </c>
    </row>
    <row r="35" spans="12:29" x14ac:dyDescent="0.3">
      <c r="L35" s="109">
        <f t="shared" si="10"/>
        <v>3.3000000000000016</v>
      </c>
      <c r="M35" s="109">
        <f t="shared" si="10"/>
        <v>3.3000000000000016</v>
      </c>
      <c r="N35" s="109">
        <f t="shared" si="7"/>
        <v>1566.2945454545447</v>
      </c>
      <c r="O35" s="109">
        <f t="shared" si="7"/>
        <v>1566.2945454545447</v>
      </c>
      <c r="P35" s="109">
        <f t="shared" si="8"/>
        <v>766.71123907581136</v>
      </c>
      <c r="Q35" s="109">
        <f t="shared" si="0"/>
        <v>577.7663886616192</v>
      </c>
      <c r="R35" s="109">
        <f t="shared" si="1"/>
        <v>406.35695671018004</v>
      </c>
      <c r="S35" s="109">
        <f t="shared" si="2"/>
        <v>271.55020267096103</v>
      </c>
      <c r="T35" s="101"/>
      <c r="U35" s="109">
        <f>(((360*'Input + Tire Forces'!$L$4*$B$2*$B$3)/(PI()*$B$4^2))*(1/L35))-($I$2*$I$4^2)</f>
        <v>82.431869599949692</v>
      </c>
      <c r="V35" s="109">
        <f>(((360*'Input + Tire Forces'!$L$4*$B$2*$B$3)/(PI()*$B$5^2))*(1/M35))-($I$3*$I$5^2)</f>
        <v>69.931869599949692</v>
      </c>
      <c r="W35" s="109">
        <f>(((360*'Input + Tire Forces'!$L$5*$B$2*$B$3)/(PI()*$B$4^2))*(1/L35))-($I$2*$I$4^2)</f>
        <v>82.431869599949692</v>
      </c>
      <c r="X35" s="109">
        <f>(((360*'Input + Tire Forces'!$L$5*$B$2*$B$3)/(PI()*$B$5^2))*(1/M35))-($I$3*$I$5^2)</f>
        <v>69.931869599949692</v>
      </c>
      <c r="Y35" s="101"/>
      <c r="Z35" s="110">
        <f t="shared" si="3"/>
        <v>329.72747839979877</v>
      </c>
      <c r="AA35" s="110">
        <f t="shared" si="4"/>
        <v>279.72747839979877</v>
      </c>
      <c r="AB35" s="110">
        <f t="shared" si="5"/>
        <v>329.72747839979877</v>
      </c>
      <c r="AC35" s="110">
        <f t="shared" si="6"/>
        <v>279.72747839979877</v>
      </c>
    </row>
    <row r="36" spans="12:29" x14ac:dyDescent="0.3">
      <c r="L36" s="109">
        <f t="shared" si="10"/>
        <v>3.4000000000000017</v>
      </c>
      <c r="M36" s="109">
        <f t="shared" si="10"/>
        <v>3.4000000000000017</v>
      </c>
      <c r="N36" s="109">
        <f t="shared" si="7"/>
        <v>1520.2270588235288</v>
      </c>
      <c r="O36" s="109">
        <f t="shared" si="7"/>
        <v>1520.2270588235288</v>
      </c>
      <c r="P36" s="109">
        <f t="shared" si="8"/>
        <v>707.97436575520533</v>
      </c>
      <c r="Q36" s="109">
        <f t="shared" si="0"/>
        <v>514.89451810014589</v>
      </c>
      <c r="R36" s="109">
        <f t="shared" si="1"/>
        <v>375.22641385025884</v>
      </c>
      <c r="S36" s="109">
        <f t="shared" si="2"/>
        <v>242.00042350706855</v>
      </c>
      <c r="T36" s="101"/>
      <c r="U36" s="109">
        <f>(((360*'Input + Tire Forces'!$L$4*$B$2*$B$3)/(PI()*$B$4^2))*(1/L36))-($I$2*$I$4^2)</f>
        <v>78.536814611715869</v>
      </c>
      <c r="V36" s="109">
        <f>(((360*'Input + Tire Forces'!$L$4*$B$2*$B$3)/(PI()*$B$5^2))*(1/M36))-($I$3*$I$5^2)</f>
        <v>66.036814611715869</v>
      </c>
      <c r="W36" s="109">
        <f>(((360*'Input + Tire Forces'!$L$5*$B$2*$B$3)/(PI()*$B$4^2))*(1/L36))-($I$2*$I$4^2)</f>
        <v>78.536814611715869</v>
      </c>
      <c r="X36" s="109">
        <f>(((360*'Input + Tire Forces'!$L$5*$B$2*$B$3)/(PI()*$B$5^2))*(1/M36))-($I$3*$I$5^2)</f>
        <v>66.036814611715869</v>
      </c>
      <c r="Y36" s="101"/>
      <c r="Z36" s="110">
        <f t="shared" si="3"/>
        <v>314.14725844686348</v>
      </c>
      <c r="AA36" s="110">
        <f t="shared" si="4"/>
        <v>264.14725844686348</v>
      </c>
      <c r="AB36" s="110">
        <f t="shared" si="5"/>
        <v>314.14725844686348</v>
      </c>
      <c r="AC36" s="110">
        <f t="shared" si="6"/>
        <v>264.14725844686348</v>
      </c>
    </row>
    <row r="37" spans="12:29" x14ac:dyDescent="0.3">
      <c r="L37" s="109">
        <f t="shared" ref="L37:M52" si="11">L36+0.1</f>
        <v>3.5000000000000018</v>
      </c>
      <c r="M37" s="109">
        <f t="shared" si="11"/>
        <v>3.5000000000000018</v>
      </c>
      <c r="N37" s="109">
        <f t="shared" si="7"/>
        <v>1476.7919999999992</v>
      </c>
      <c r="O37" s="109">
        <f t="shared" si="7"/>
        <v>1476.7919999999992</v>
      </c>
      <c r="P37" s="109">
        <f t="shared" si="8"/>
        <v>653.00644577178787</v>
      </c>
      <c r="Q37" s="109">
        <f t="shared" si="0"/>
        <v>456.18954104627915</v>
      </c>
      <c r="R37" s="109">
        <f t="shared" si="1"/>
        <v>346.09341625904761</v>
      </c>
      <c r="S37" s="109">
        <f t="shared" si="2"/>
        <v>214.40908429175121</v>
      </c>
      <c r="T37" s="101"/>
      <c r="U37" s="109">
        <f>(((360*'Input + Tire Forces'!$L$4*$B$2*$B$3)/(PI()*$B$4^2))*(1/L37))-($I$2*$I$4^2)</f>
        <v>74.864334194238296</v>
      </c>
      <c r="V37" s="109">
        <f>(((360*'Input + Tire Forces'!$L$4*$B$2*$B$3)/(PI()*$B$5^2))*(1/M37))-($I$3*$I$5^2)</f>
        <v>62.364334194238296</v>
      </c>
      <c r="W37" s="109">
        <f>(((360*'Input + Tire Forces'!$L$5*$B$2*$B$3)/(PI()*$B$4^2))*(1/L37))-($I$2*$I$4^2)</f>
        <v>74.864334194238296</v>
      </c>
      <c r="X37" s="109">
        <f>(((360*'Input + Tire Forces'!$L$5*$B$2*$B$3)/(PI()*$B$5^2))*(1/M37))-($I$3*$I$5^2)</f>
        <v>62.364334194238296</v>
      </c>
      <c r="Y37" s="101"/>
      <c r="Z37" s="110">
        <f t="shared" si="3"/>
        <v>299.45733677695318</v>
      </c>
      <c r="AA37" s="110">
        <f t="shared" si="4"/>
        <v>249.45733677695318</v>
      </c>
      <c r="AB37" s="110">
        <f t="shared" si="5"/>
        <v>299.45733677695318</v>
      </c>
      <c r="AC37" s="110">
        <f t="shared" si="6"/>
        <v>249.45733677695318</v>
      </c>
    </row>
    <row r="38" spans="12:29" x14ac:dyDescent="0.3">
      <c r="L38" s="109">
        <f t="shared" si="11"/>
        <v>3.6000000000000019</v>
      </c>
      <c r="M38" s="109">
        <f t="shared" si="11"/>
        <v>3.6000000000000019</v>
      </c>
      <c r="N38" s="109">
        <f t="shared" si="7"/>
        <v>1435.7699999999993</v>
      </c>
      <c r="O38" s="109">
        <f t="shared" si="7"/>
        <v>1435.7699999999993</v>
      </c>
      <c r="P38" s="109">
        <f t="shared" si="8"/>
        <v>601.45599381732109</v>
      </c>
      <c r="Q38" s="109">
        <f t="shared" si="0"/>
        <v>401.2504972194447</v>
      </c>
      <c r="R38" s="109">
        <f t="shared" si="1"/>
        <v>318.77167672318018</v>
      </c>
      <c r="S38" s="109">
        <f t="shared" si="2"/>
        <v>188.58773369313903</v>
      </c>
      <c r="T38" s="101"/>
      <c r="U38" s="109">
        <f>(((360*'Input + Tire Forces'!$L$4*$B$2*$B$3)/(PI()*$B$4^2))*(1/L38))-($I$2*$I$4^2)</f>
        <v>71.395880466620554</v>
      </c>
      <c r="V38" s="109">
        <f>(((360*'Input + Tire Forces'!$L$4*$B$2*$B$3)/(PI()*$B$5^2))*(1/M38))-($I$3*$I$5^2)</f>
        <v>58.895880466620554</v>
      </c>
      <c r="W38" s="109">
        <f>(((360*'Input + Tire Forces'!$L$5*$B$2*$B$3)/(PI()*$B$4^2))*(1/L38))-($I$2*$I$4^2)</f>
        <v>71.395880466620554</v>
      </c>
      <c r="X38" s="109">
        <f>(((360*'Input + Tire Forces'!$L$5*$B$2*$B$3)/(PI()*$B$5^2))*(1/M38))-($I$3*$I$5^2)</f>
        <v>58.895880466620554</v>
      </c>
      <c r="Y38" s="101"/>
      <c r="Z38" s="110">
        <f t="shared" si="3"/>
        <v>285.58352186648222</v>
      </c>
      <c r="AA38" s="110">
        <f t="shared" si="4"/>
        <v>235.58352186648222</v>
      </c>
      <c r="AB38" s="110">
        <f t="shared" si="5"/>
        <v>285.58352186648222</v>
      </c>
      <c r="AC38" s="110">
        <f t="shared" si="6"/>
        <v>235.58352186648222</v>
      </c>
    </row>
    <row r="39" spans="12:29" x14ac:dyDescent="0.3">
      <c r="L39" s="109">
        <f t="shared" si="11"/>
        <v>3.700000000000002</v>
      </c>
      <c r="M39" s="109">
        <f t="shared" si="11"/>
        <v>3.700000000000002</v>
      </c>
      <c r="N39" s="109">
        <f t="shared" si="7"/>
        <v>1396.9654054054047</v>
      </c>
      <c r="O39" s="109">
        <f t="shared" si="7"/>
        <v>1396.9654054054047</v>
      </c>
      <c r="P39" s="109">
        <f t="shared" si="8"/>
        <v>553.01391204714355</v>
      </c>
      <c r="Q39" s="109">
        <f t="shared" si="0"/>
        <v>349.72627089730418</v>
      </c>
      <c r="R39" s="109">
        <f t="shared" si="1"/>
        <v>293.0973733849861</v>
      </c>
      <c r="S39" s="109">
        <f t="shared" si="2"/>
        <v>164.37134732173297</v>
      </c>
      <c r="T39" s="101"/>
      <c r="U39" s="109">
        <f>(((360*'Input + Tire Forces'!$L$4*$B$2*$B$3)/(PI()*$B$4^2))*(1/L39))-($I$2*$I$4^2)</f>
        <v>68.114910724279454</v>
      </c>
      <c r="V39" s="109">
        <f>(((360*'Input + Tire Forces'!$L$4*$B$2*$B$3)/(PI()*$B$5^2))*(1/M39))-($I$3*$I$5^2)</f>
        <v>55.614910724279454</v>
      </c>
      <c r="W39" s="109">
        <f>(((360*'Input + Tire Forces'!$L$5*$B$2*$B$3)/(PI()*$B$4^2))*(1/L39))-($I$2*$I$4^2)</f>
        <v>68.114910724279454</v>
      </c>
      <c r="X39" s="109">
        <f>(((360*'Input + Tire Forces'!$L$5*$B$2*$B$3)/(PI()*$B$5^2))*(1/M39))-($I$3*$I$5^2)</f>
        <v>55.614910724279454</v>
      </c>
      <c r="Y39" s="101"/>
      <c r="Z39" s="110">
        <f t="shared" si="3"/>
        <v>272.45964289711782</v>
      </c>
      <c r="AA39" s="110">
        <f t="shared" si="4"/>
        <v>222.45964289711782</v>
      </c>
      <c r="AB39" s="110">
        <f t="shared" si="5"/>
        <v>272.45964289711782</v>
      </c>
      <c r="AC39" s="110">
        <f t="shared" si="6"/>
        <v>222.45964289711782</v>
      </c>
    </row>
    <row r="40" spans="12:29" x14ac:dyDescent="0.3">
      <c r="L40" s="109">
        <f t="shared" si="11"/>
        <v>3.800000000000002</v>
      </c>
      <c r="M40" s="109">
        <f t="shared" si="11"/>
        <v>3.800000000000002</v>
      </c>
      <c r="N40" s="109">
        <f t="shared" si="7"/>
        <v>1360.203157894736</v>
      </c>
      <c r="O40" s="109">
        <f t="shared" si="7"/>
        <v>1360.203157894736</v>
      </c>
      <c r="P40" s="109">
        <f t="shared" si="8"/>
        <v>507.40728742371425</v>
      </c>
      <c r="Q40" s="109">
        <f t="shared" si="0"/>
        <v>301.30807896831016</v>
      </c>
      <c r="R40" s="109">
        <f t="shared" si="1"/>
        <v>268.92586233456854</v>
      </c>
      <c r="S40" s="109">
        <f t="shared" si="2"/>
        <v>141.61479711510577</v>
      </c>
      <c r="T40" s="101"/>
      <c r="U40" s="109">
        <f>(((360*'Input + Tire Forces'!$L$4*$B$2*$B$3)/(PI()*$B$4^2))*(1/L40))-($I$2*$I$4^2)</f>
        <v>65.006623599956313</v>
      </c>
      <c r="V40" s="109">
        <f>(((360*'Input + Tire Forces'!$L$4*$B$2*$B$3)/(PI()*$B$5^2))*(1/M40))-($I$3*$I$5^2)</f>
        <v>52.506623599956313</v>
      </c>
      <c r="W40" s="109">
        <f>(((360*'Input + Tire Forces'!$L$5*$B$2*$B$3)/(PI()*$B$4^2))*(1/L40))-($I$2*$I$4^2)</f>
        <v>65.006623599956313</v>
      </c>
      <c r="X40" s="109">
        <f>(((360*'Input + Tire Forces'!$L$5*$B$2*$B$3)/(PI()*$B$5^2))*(1/M40))-($I$3*$I$5^2)</f>
        <v>52.506623599956313</v>
      </c>
      <c r="Y40" s="101"/>
      <c r="Z40" s="110">
        <f t="shared" si="3"/>
        <v>260.02649439982525</v>
      </c>
      <c r="AA40" s="110">
        <f t="shared" si="4"/>
        <v>210.02649439982525</v>
      </c>
      <c r="AB40" s="110">
        <f t="shared" si="5"/>
        <v>260.02649439982525</v>
      </c>
      <c r="AC40" s="110">
        <f t="shared" si="6"/>
        <v>210.02649439982525</v>
      </c>
    </row>
    <row r="41" spans="12:29" x14ac:dyDescent="0.3">
      <c r="L41" s="109">
        <f t="shared" si="11"/>
        <v>3.9000000000000021</v>
      </c>
      <c r="M41" s="109">
        <f t="shared" si="11"/>
        <v>3.9000000000000021</v>
      </c>
      <c r="N41" s="109">
        <f t="shared" si="7"/>
        <v>1325.3261538461531</v>
      </c>
      <c r="O41" s="109">
        <f t="shared" si="7"/>
        <v>1325.3261538461531</v>
      </c>
      <c r="P41" s="109">
        <f t="shared" si="8"/>
        <v>464.39424726915104</v>
      </c>
      <c r="Q41" s="109">
        <f t="shared" si="0"/>
        <v>255.72327776226211</v>
      </c>
      <c r="R41" s="109">
        <f t="shared" si="1"/>
        <v>246.12895105265005</v>
      </c>
      <c r="S41" s="109">
        <f t="shared" si="2"/>
        <v>120.18994054826318</v>
      </c>
      <c r="T41" s="101"/>
      <c r="U41" s="109">
        <f>(((360*'Input + Tire Forces'!$L$4*$B$2*$B$3)/(PI()*$B$4^2))*(1/L41))-($I$2*$I$4^2)</f>
        <v>62.057735815342056</v>
      </c>
      <c r="V41" s="109">
        <f>(((360*'Input + Tire Forces'!$L$4*$B$2*$B$3)/(PI()*$B$5^2))*(1/M41))-($I$3*$I$5^2)</f>
        <v>49.557735815342056</v>
      </c>
      <c r="W41" s="109">
        <f>(((360*'Input + Tire Forces'!$L$5*$B$2*$B$3)/(PI()*$B$4^2))*(1/L41))-($I$2*$I$4^2)</f>
        <v>62.057735815342056</v>
      </c>
      <c r="X41" s="109">
        <f>(((360*'Input + Tire Forces'!$L$5*$B$2*$B$3)/(PI()*$B$5^2))*(1/M41))-($I$3*$I$5^2)</f>
        <v>49.557735815342056</v>
      </c>
      <c r="Y41" s="101"/>
      <c r="Z41" s="110">
        <f t="shared" si="3"/>
        <v>248.23094326136822</v>
      </c>
      <c r="AA41" s="110">
        <f t="shared" si="4"/>
        <v>198.23094326136822</v>
      </c>
      <c r="AB41" s="110">
        <f t="shared" si="5"/>
        <v>248.23094326136822</v>
      </c>
      <c r="AC41" s="110">
        <f t="shared" si="6"/>
        <v>198.23094326136822</v>
      </c>
    </row>
    <row r="42" spans="12:29" x14ac:dyDescent="0.3">
      <c r="L42" s="109">
        <f t="shared" si="11"/>
        <v>4.0000000000000018</v>
      </c>
      <c r="M42" s="109">
        <f t="shared" si="11"/>
        <v>4.0000000000000018</v>
      </c>
      <c r="N42" s="109">
        <f t="shared" si="7"/>
        <v>1292.1929999999993</v>
      </c>
      <c r="O42" s="109">
        <f t="shared" si="7"/>
        <v>1292.1929999999993</v>
      </c>
      <c r="P42" s="109">
        <f t="shared" si="8"/>
        <v>423.75966822418195</v>
      </c>
      <c r="Q42" s="109">
        <f t="shared" si="0"/>
        <v>212.73022622932331</v>
      </c>
      <c r="R42" s="109">
        <f t="shared" si="1"/>
        <v>224.59262415881642</v>
      </c>
      <c r="S42" s="109">
        <f t="shared" si="2"/>
        <v>99.983206327781957</v>
      </c>
      <c r="T42" s="101"/>
      <c r="U42" s="109">
        <f>(((360*'Input + Tire Forces'!$L$4*$B$2*$B$3)/(PI()*$B$4^2))*(1/L42))-($I$2*$I$4^2)</f>
        <v>59.256292419958513</v>
      </c>
      <c r="V42" s="109">
        <f>(((360*'Input + Tire Forces'!$L$4*$B$2*$B$3)/(PI()*$B$5^2))*(1/M42))-($I$3*$I$5^2)</f>
        <v>46.756292419958513</v>
      </c>
      <c r="W42" s="109">
        <f>(((360*'Input + Tire Forces'!$L$5*$B$2*$B$3)/(PI()*$B$4^2))*(1/L42))-($I$2*$I$4^2)</f>
        <v>59.256292419958513</v>
      </c>
      <c r="X42" s="109">
        <f>(((360*'Input + Tire Forces'!$L$5*$B$2*$B$3)/(PI()*$B$5^2))*(1/M42))-($I$3*$I$5^2)</f>
        <v>46.756292419958513</v>
      </c>
      <c r="Y42" s="101"/>
      <c r="Z42" s="110">
        <f t="shared" si="3"/>
        <v>237.02516967983405</v>
      </c>
      <c r="AA42" s="110">
        <f t="shared" si="4"/>
        <v>187.02516967983405</v>
      </c>
      <c r="AB42" s="110">
        <f t="shared" si="5"/>
        <v>237.02516967983405</v>
      </c>
      <c r="AC42" s="110">
        <f t="shared" si="6"/>
        <v>187.02516967983405</v>
      </c>
    </row>
    <row r="43" spans="12:29" x14ac:dyDescent="0.3">
      <c r="L43" s="109">
        <f t="shared" si="11"/>
        <v>4.1000000000000014</v>
      </c>
      <c r="M43" s="109">
        <f t="shared" si="11"/>
        <v>4.1000000000000014</v>
      </c>
      <c r="N43" s="109">
        <f t="shared" si="7"/>
        <v>1260.6760975609752</v>
      </c>
      <c r="O43" s="109">
        <f t="shared" si="7"/>
        <v>1260.6760975609752</v>
      </c>
      <c r="P43" s="109">
        <f t="shared" si="8"/>
        <v>385.31157789149438</v>
      </c>
      <c r="Q43" s="109">
        <f t="shared" si="0"/>
        <v>172.11400107054419</v>
      </c>
      <c r="R43" s="109">
        <f t="shared" si="1"/>
        <v>204.21513628249201</v>
      </c>
      <c r="S43" s="109">
        <f t="shared" si="2"/>
        <v>80.893580503155775</v>
      </c>
      <c r="T43" s="101"/>
      <c r="U43" s="109">
        <f>(((360*'Input + Tire Forces'!$L$4*$B$2*$B$3)/(PI()*$B$4^2))*(1/L43))-($I$2*$I$4^2)</f>
        <v>56.591504799959523</v>
      </c>
      <c r="V43" s="109">
        <f>(((360*'Input + Tire Forces'!$L$4*$B$2*$B$3)/(PI()*$B$5^2))*(1/M43))-($I$3*$I$5^2)</f>
        <v>44.091504799959523</v>
      </c>
      <c r="W43" s="109">
        <f>(((360*'Input + Tire Forces'!$L$5*$B$2*$B$3)/(PI()*$B$4^2))*(1/L43))-($I$2*$I$4^2)</f>
        <v>56.591504799959523</v>
      </c>
      <c r="X43" s="109">
        <f>(((360*'Input + Tire Forces'!$L$5*$B$2*$B$3)/(PI()*$B$5^2))*(1/M43))-($I$3*$I$5^2)</f>
        <v>44.091504799959523</v>
      </c>
      <c r="Y43" s="101"/>
      <c r="Z43" s="110">
        <f t="shared" si="3"/>
        <v>226.36601919983809</v>
      </c>
      <c r="AA43" s="110">
        <f t="shared" si="4"/>
        <v>176.36601919983809</v>
      </c>
      <c r="AB43" s="110">
        <f t="shared" si="5"/>
        <v>226.36601919983809</v>
      </c>
      <c r="AC43" s="110">
        <f t="shared" si="6"/>
        <v>176.36601919983809</v>
      </c>
    </row>
    <row r="44" spans="12:29" x14ac:dyDescent="0.3">
      <c r="L44" s="109">
        <f t="shared" si="11"/>
        <v>4.2000000000000011</v>
      </c>
      <c r="M44" s="109">
        <f t="shared" si="11"/>
        <v>4.2000000000000011</v>
      </c>
      <c r="N44" s="109">
        <f t="shared" si="7"/>
        <v>1230.6599999999996</v>
      </c>
      <c r="O44" s="109">
        <f t="shared" si="7"/>
        <v>1230.6599999999996</v>
      </c>
      <c r="P44" s="109">
        <f t="shared" si="8"/>
        <v>348.87812212800327</v>
      </c>
      <c r="Q44" s="109">
        <f t="shared" si="0"/>
        <v>133.68280340661886</v>
      </c>
      <c r="R44" s="109">
        <f t="shared" si="1"/>
        <v>184.90540472784176</v>
      </c>
      <c r="S44" s="109">
        <f t="shared" si="2"/>
        <v>62.830917601110869</v>
      </c>
      <c r="T44" s="101"/>
      <c r="U44" s="109">
        <f>(((360*'Input + Tire Forces'!$L$4*$B$2*$B$3)/(PI()*$B$4^2))*(1/L44))-($I$2*$I$4^2)</f>
        <v>54.053611828531928</v>
      </c>
      <c r="V44" s="109">
        <f>(((360*'Input + Tire Forces'!$L$4*$B$2*$B$3)/(PI()*$B$5^2))*(1/M44))-($I$3*$I$5^2)</f>
        <v>41.553611828531928</v>
      </c>
      <c r="W44" s="109">
        <f>(((360*'Input + Tire Forces'!$L$5*$B$2*$B$3)/(PI()*$B$4^2))*(1/L44))-($I$2*$I$4^2)</f>
        <v>54.053611828531928</v>
      </c>
      <c r="X44" s="109">
        <f>(((360*'Input + Tire Forces'!$L$5*$B$2*$B$3)/(PI()*$B$5^2))*(1/M44))-($I$3*$I$5^2)</f>
        <v>41.553611828531928</v>
      </c>
      <c r="Y44" s="101"/>
      <c r="Z44" s="110">
        <f t="shared" si="3"/>
        <v>216.21444731412771</v>
      </c>
      <c r="AA44" s="110">
        <f t="shared" si="4"/>
        <v>166.21444731412771</v>
      </c>
      <c r="AB44" s="110">
        <f t="shared" si="5"/>
        <v>216.21444731412771</v>
      </c>
      <c r="AC44" s="110">
        <f t="shared" si="6"/>
        <v>166.21444731412771</v>
      </c>
    </row>
    <row r="45" spans="12:29" x14ac:dyDescent="0.3">
      <c r="L45" s="97">
        <f t="shared" si="11"/>
        <v>4.3000000000000007</v>
      </c>
      <c r="M45" s="97">
        <f t="shared" si="11"/>
        <v>4.3000000000000007</v>
      </c>
      <c r="N45" s="97">
        <f t="shared" si="7"/>
        <v>1202.0399999999997</v>
      </c>
      <c r="O45" s="97">
        <f t="shared" si="7"/>
        <v>1202.0399999999997</v>
      </c>
      <c r="P45" s="97">
        <f t="shared" si="8"/>
        <v>314.30499689685348</v>
      </c>
      <c r="Q45" s="97">
        <f t="shared" si="0"/>
        <v>97.264930186396441</v>
      </c>
      <c r="R45" s="97">
        <f t="shared" si="1"/>
        <v>166.58164835533236</v>
      </c>
      <c r="S45" s="97">
        <f t="shared" si="2"/>
        <v>45.714517187606326</v>
      </c>
      <c r="T45" s="101"/>
      <c r="U45" s="97">
        <f>(((360*'Input + Tire Forces'!$L$4*$B$2*$B$3)/(PI()*$B$4^2))*(1/L45))-($I$2*$I$4^2)</f>
        <v>51.633760390659106</v>
      </c>
      <c r="V45" s="97">
        <f>(((360*'Input + Tire Forces'!$L$4*$B$2*$B$3)/(PI()*$B$5^2))*(1/M45))-($I$3*$I$5^2)</f>
        <v>39.133760390659106</v>
      </c>
      <c r="W45" s="97">
        <f>(((360*'Input + Tire Forces'!$L$5*$B$2*$B$3)/(PI()*$B$4^2))*(1/L45))-($I$2*$I$4^2)</f>
        <v>51.633760390659106</v>
      </c>
      <c r="X45" s="97">
        <f>(((360*'Input + Tire Forces'!$L$5*$B$2*$B$3)/(PI()*$B$5^2))*(1/M45))-($I$3*$I$5^2)</f>
        <v>39.133760390659106</v>
      </c>
      <c r="Y45" s="101"/>
      <c r="Z45" s="111">
        <f t="shared" si="3"/>
        <v>206.53504156263642</v>
      </c>
      <c r="AA45" s="111">
        <f t="shared" si="4"/>
        <v>156.53504156263642</v>
      </c>
      <c r="AB45" s="111">
        <f t="shared" si="5"/>
        <v>206.53504156263642</v>
      </c>
      <c r="AC45" s="111">
        <f t="shared" si="6"/>
        <v>156.53504156263642</v>
      </c>
    </row>
    <row r="46" spans="12:29" x14ac:dyDescent="0.3">
      <c r="L46" s="97">
        <f t="shared" si="11"/>
        <v>4.4000000000000004</v>
      </c>
      <c r="M46" s="97">
        <f t="shared" si="11"/>
        <v>4.4000000000000004</v>
      </c>
      <c r="N46" s="97">
        <f t="shared" si="7"/>
        <v>1174.7209090909089</v>
      </c>
      <c r="O46" s="97">
        <f t="shared" si="7"/>
        <v>1174.7209090909089</v>
      </c>
      <c r="P46" s="97">
        <f t="shared" si="8"/>
        <v>281.45326372283057</v>
      </c>
      <c r="Q46" s="97">
        <f t="shared" si="0"/>
        <v>62.706209429169121</v>
      </c>
      <c r="R46" s="97">
        <f t="shared" si="1"/>
        <v>149.1702297731002</v>
      </c>
      <c r="S46" s="97">
        <f t="shared" si="2"/>
        <v>29.471918431709486</v>
      </c>
      <c r="T46" s="101"/>
      <c r="U46" s="97">
        <f>(((360*'Input + Tire Forces'!$L$4*$B$2*$B$3)/(PI()*$B$4^2))*(1/L46))-($I$2*$I$4^2)</f>
        <v>49.323902199962319</v>
      </c>
      <c r="V46" s="97">
        <f>(((360*'Input + Tire Forces'!$L$4*$B$2*$B$3)/(PI()*$B$5^2))*(1/M46))-($I$3*$I$5^2)</f>
        <v>36.823902199962319</v>
      </c>
      <c r="W46" s="97">
        <f>(((360*'Input + Tire Forces'!$L$5*$B$2*$B$3)/(PI()*$B$4^2))*(1/L46))-($I$2*$I$4^2)</f>
        <v>49.323902199962319</v>
      </c>
      <c r="X46" s="97">
        <f>(((360*'Input + Tire Forces'!$L$5*$B$2*$B$3)/(PI()*$B$5^2))*(1/M46))-($I$3*$I$5^2)</f>
        <v>36.823902199962319</v>
      </c>
      <c r="Y46" s="101"/>
      <c r="Z46" s="111">
        <f t="shared" si="3"/>
        <v>197.29560879984928</v>
      </c>
      <c r="AA46" s="111">
        <f t="shared" si="4"/>
        <v>147.29560879984928</v>
      </c>
      <c r="AB46" s="111">
        <f t="shared" si="5"/>
        <v>197.29560879984928</v>
      </c>
      <c r="AC46" s="111">
        <f t="shared" si="6"/>
        <v>147.29560879984928</v>
      </c>
    </row>
    <row r="47" spans="12:29" x14ac:dyDescent="0.3">
      <c r="L47" s="97">
        <f t="shared" si="11"/>
        <v>4.5</v>
      </c>
      <c r="M47" s="97">
        <f t="shared" si="11"/>
        <v>4.5</v>
      </c>
      <c r="N47" s="97">
        <f t="shared" si="7"/>
        <v>1148.616</v>
      </c>
      <c r="O47" s="97">
        <f t="shared" si="7"/>
        <v>1148.616</v>
      </c>
      <c r="P47" s="97">
        <f t="shared" si="8"/>
        <v>250.19748352644865</v>
      </c>
      <c r="Q47" s="97">
        <f t="shared" si="0"/>
        <v>29.867818487150771</v>
      </c>
      <c r="R47" s="97">
        <f t="shared" si="1"/>
        <v>132.60466626901777</v>
      </c>
      <c r="S47" s="97">
        <f t="shared" si="2"/>
        <v>14.037874688960862</v>
      </c>
      <c r="T47" s="101"/>
      <c r="U47" s="97">
        <f>(((360*'Input + Tire Forces'!$L$4*$B$2*$B$3)/(PI()*$B$4^2))*(1/L47))-($I$2*$I$4^2)</f>
        <v>47.116704373296486</v>
      </c>
      <c r="V47" s="97">
        <f>(((360*'Input + Tire Forces'!$L$4*$B$2*$B$3)/(PI()*$B$5^2))*(1/M47))-($I$3*$I$5^2)</f>
        <v>34.616704373296486</v>
      </c>
      <c r="W47" s="97">
        <f>(((360*'Input + Tire Forces'!$L$5*$B$2*$B$3)/(PI()*$B$4^2))*(1/L47))-($I$2*$I$4^2)</f>
        <v>47.116704373296486</v>
      </c>
      <c r="X47" s="97">
        <f>(((360*'Input + Tire Forces'!$L$5*$B$2*$B$3)/(PI()*$B$5^2))*(1/M47))-($I$3*$I$5^2)</f>
        <v>34.616704373296486</v>
      </c>
      <c r="Y47" s="101"/>
      <c r="Z47" s="111">
        <f t="shared" si="3"/>
        <v>188.46681749318594</v>
      </c>
      <c r="AA47" s="111">
        <f t="shared" si="4"/>
        <v>138.46681749318594</v>
      </c>
      <c r="AB47" s="111">
        <f t="shared" si="5"/>
        <v>188.46681749318594</v>
      </c>
      <c r="AC47" s="111">
        <f t="shared" si="6"/>
        <v>138.46681749318594</v>
      </c>
    </row>
    <row r="48" spans="12:29" x14ac:dyDescent="0.3">
      <c r="L48" s="97">
        <f t="shared" si="11"/>
        <v>4.5999999999999996</v>
      </c>
      <c r="M48" s="97">
        <f t="shared" si="11"/>
        <v>4.5999999999999996</v>
      </c>
      <c r="N48" s="97">
        <f t="shared" si="7"/>
        <v>1123.6460869565219</v>
      </c>
      <c r="O48" s="97">
        <f t="shared" si="7"/>
        <v>1123.6460869565219</v>
      </c>
      <c r="P48" s="97">
        <f t="shared" si="8"/>
        <v>220.42411598600665</v>
      </c>
      <c r="Q48" s="97">
        <f t="shared" si="0"/>
        <v>1.375579784696356</v>
      </c>
      <c r="R48" s="97">
        <f t="shared" si="1"/>
        <v>116.82478147258352</v>
      </c>
      <c r="S48" s="97">
        <f t="shared" si="2"/>
        <v>0.64652249880728729</v>
      </c>
      <c r="T48" s="101"/>
      <c r="U48" s="97">
        <f>(((360*'Input + Tire Forces'!$L$4*$B$2*$B$3)/(PI()*$B$4^2))*(1/L48))-($I$2*$I$4^2)</f>
        <v>45.005471669529186</v>
      </c>
      <c r="V48" s="97">
        <f>(((360*'Input + Tire Forces'!$L$4*$B$2*$B$3)/(PI()*$B$5^2))*(1/M48))-($I$3*$I$5^2)</f>
        <v>32.505471669529186</v>
      </c>
      <c r="W48" s="97">
        <f>(((360*'Input + Tire Forces'!$L$5*$B$2*$B$3)/(PI()*$B$4^2))*(1/L48))-($I$2*$I$4^2)</f>
        <v>45.005471669529186</v>
      </c>
      <c r="X48" s="97">
        <f>(((360*'Input + Tire Forces'!$L$5*$B$2*$B$3)/(PI()*$B$5^2))*(1/M48))-($I$3*$I$5^2)</f>
        <v>32.505471669529186</v>
      </c>
      <c r="Y48" s="101"/>
      <c r="Z48" s="111">
        <f t="shared" si="3"/>
        <v>180.02188667811674</v>
      </c>
      <c r="AA48" s="111">
        <f t="shared" si="4"/>
        <v>130.02188667811674</v>
      </c>
      <c r="AB48" s="111">
        <f t="shared" si="5"/>
        <v>180.02188667811674</v>
      </c>
      <c r="AC48" s="111">
        <f t="shared" si="6"/>
        <v>130.02188667811674</v>
      </c>
    </row>
    <row r="49" spans="12:29" x14ac:dyDescent="0.3">
      <c r="L49" s="97">
        <f t="shared" si="11"/>
        <v>4.6999999999999993</v>
      </c>
      <c r="M49" s="97">
        <f t="shared" si="11"/>
        <v>4.6999999999999993</v>
      </c>
      <c r="N49" s="97">
        <f t="shared" si="7"/>
        <v>1099.7387234042556</v>
      </c>
      <c r="O49" s="97">
        <f t="shared" si="7"/>
        <v>1099.7387234042556</v>
      </c>
      <c r="P49" s="97">
        <f t="shared" si="8"/>
        <v>192.03014137115451</v>
      </c>
      <c r="Q49" s="97">
        <f t="shared" si="0"/>
        <v>31.137435713858849</v>
      </c>
      <c r="R49" s="97">
        <f t="shared" si="1"/>
        <v>101.7759749267119</v>
      </c>
      <c r="S49" s="97">
        <f t="shared" si="2"/>
        <v>14.634594785513659</v>
      </c>
      <c r="T49" s="101"/>
      <c r="U49" s="97">
        <f>(((360*'Input + Tire Forces'!$L$4*$B$2*$B$3)/(PI()*$B$4^2))*(1/L49))-($I$2*$I$4^2)</f>
        <v>42.984078655283895</v>
      </c>
      <c r="V49" s="97">
        <f>(((360*'Input + Tire Forces'!$L$4*$B$2*$B$3)/(PI()*$B$5^2))*(1/M49))-($I$3*$I$5^2)</f>
        <v>30.484078655283895</v>
      </c>
      <c r="W49" s="97">
        <f>(((360*'Input + Tire Forces'!$L$5*$B$2*$B$3)/(PI()*$B$4^2))*(1/L49))-($I$2*$I$4^2)</f>
        <v>42.984078655283895</v>
      </c>
      <c r="X49" s="97">
        <f>(((360*'Input + Tire Forces'!$L$5*$B$2*$B$3)/(PI()*$B$5^2))*(1/M49))-($I$3*$I$5^2)</f>
        <v>30.484078655283895</v>
      </c>
      <c r="Y49" s="101"/>
      <c r="Z49" s="111">
        <f t="shared" si="3"/>
        <v>171.93631462113558</v>
      </c>
      <c r="AA49" s="111">
        <f t="shared" si="4"/>
        <v>121.93631462113558</v>
      </c>
      <c r="AB49" s="111">
        <f t="shared" si="5"/>
        <v>171.93631462113558</v>
      </c>
      <c r="AC49" s="111">
        <f t="shared" si="6"/>
        <v>121.93631462113558</v>
      </c>
    </row>
    <row r="50" spans="12:29" x14ac:dyDescent="0.3">
      <c r="L50" s="97">
        <f t="shared" si="11"/>
        <v>4.7999999999999989</v>
      </c>
      <c r="M50" s="97">
        <f t="shared" si="11"/>
        <v>4.7999999999999989</v>
      </c>
      <c r="N50" s="97">
        <f t="shared" si="7"/>
        <v>1076.8275000000003</v>
      </c>
      <c r="O50" s="97">
        <f t="shared" si="7"/>
        <v>1076.8275000000003</v>
      </c>
      <c r="P50" s="97">
        <f t="shared" si="8"/>
        <v>164.92186959003448</v>
      </c>
      <c r="Q50" s="97">
        <f t="shared" si="0"/>
        <v>59.520689336831083</v>
      </c>
      <c r="R50" s="97">
        <f t="shared" si="1"/>
        <v>87.408590882718272</v>
      </c>
      <c r="S50" s="97">
        <f t="shared" si="2"/>
        <v>27.974723988310608</v>
      </c>
      <c r="T50" s="101"/>
      <c r="U50" s="97">
        <f>(((360*'Input + Tire Forces'!$L$4*$B$2*$B$3)/(PI()*$B$4^2))*(1/L50))-($I$2*$I$4^2)</f>
        <v>41.046910349965472</v>
      </c>
      <c r="V50" s="97">
        <f>(((360*'Input + Tire Forces'!$L$4*$B$2*$B$3)/(PI()*$B$5^2))*(1/M50))-($I$3*$I$5^2)</f>
        <v>28.546910349965472</v>
      </c>
      <c r="W50" s="97">
        <f>(((360*'Input + Tire Forces'!$L$5*$B$2*$B$3)/(PI()*$B$4^2))*(1/L50))-($I$2*$I$4^2)</f>
        <v>41.046910349965472</v>
      </c>
      <c r="X50" s="97">
        <f>(((360*'Input + Tire Forces'!$L$5*$B$2*$B$3)/(PI()*$B$5^2))*(1/M50))-($I$3*$I$5^2)</f>
        <v>28.546910349965472</v>
      </c>
      <c r="Y50" s="101"/>
      <c r="Z50" s="111">
        <f t="shared" si="3"/>
        <v>164.18764139986189</v>
      </c>
      <c r="AA50" s="111">
        <f t="shared" si="4"/>
        <v>114.18764139986189</v>
      </c>
      <c r="AB50" s="111">
        <f t="shared" si="5"/>
        <v>164.18764139986189</v>
      </c>
      <c r="AC50" s="111">
        <f t="shared" si="6"/>
        <v>114.18764139986189</v>
      </c>
    </row>
    <row r="51" spans="12:29" x14ac:dyDescent="0.3">
      <c r="L51" s="97">
        <f t="shared" si="11"/>
        <v>4.8999999999999986</v>
      </c>
      <c r="M51" s="97">
        <f t="shared" si="11"/>
        <v>4.8999999999999986</v>
      </c>
      <c r="N51" s="97">
        <f t="shared" si="7"/>
        <v>1054.8514285714289</v>
      </c>
      <c r="O51" s="97">
        <f t="shared" si="7"/>
        <v>1054.8514285714289</v>
      </c>
      <c r="P51" s="97">
        <f t="shared" si="8"/>
        <v>139.01390743671186</v>
      </c>
      <c r="Q51" s="97">
        <f t="shared" si="0"/>
        <v>86.618959968973286</v>
      </c>
      <c r="R51" s="97">
        <f t="shared" si="1"/>
        <v>73.677370941457283</v>
      </c>
      <c r="S51" s="97">
        <f t="shared" si="2"/>
        <v>40.710911185417444</v>
      </c>
      <c r="T51" s="101"/>
      <c r="U51" s="97">
        <f>(((360*'Input + Tire Forces'!$L$4*$B$2*$B$3)/(PI()*$B$4^2))*(1/L51))-($I$2*$I$4^2)</f>
        <v>39.188810138741701</v>
      </c>
      <c r="V51" s="97">
        <f>(((360*'Input + Tire Forces'!$L$4*$B$2*$B$3)/(PI()*$B$5^2))*(1/M51))-($I$3*$I$5^2)</f>
        <v>26.688810138741701</v>
      </c>
      <c r="W51" s="97">
        <f>(((360*'Input + Tire Forces'!$L$5*$B$2*$B$3)/(PI()*$B$4^2))*(1/L51))-($I$2*$I$4^2)</f>
        <v>39.188810138741701</v>
      </c>
      <c r="X51" s="97">
        <f>(((360*'Input + Tire Forces'!$L$5*$B$2*$B$3)/(PI()*$B$5^2))*(1/M51))-($I$3*$I$5^2)</f>
        <v>26.688810138741701</v>
      </c>
      <c r="Y51" s="101"/>
      <c r="Z51" s="111">
        <f t="shared" si="3"/>
        <v>156.7552405549668</v>
      </c>
      <c r="AA51" s="111">
        <f t="shared" si="4"/>
        <v>106.7552405549668</v>
      </c>
      <c r="AB51" s="111">
        <f t="shared" si="5"/>
        <v>156.7552405549668</v>
      </c>
      <c r="AC51" s="111">
        <f t="shared" si="6"/>
        <v>106.7552405549668</v>
      </c>
    </row>
    <row r="52" spans="12:29" x14ac:dyDescent="0.3">
      <c r="L52" s="97">
        <f t="shared" si="11"/>
        <v>4.9999999999999982</v>
      </c>
      <c r="M52" s="97">
        <f t="shared" si="11"/>
        <v>4.9999999999999982</v>
      </c>
      <c r="N52" s="97">
        <f t="shared" si="7"/>
        <v>1033.7544000000003</v>
      </c>
      <c r="O52" s="97">
        <f t="shared" si="7"/>
        <v>1033.7544000000003</v>
      </c>
      <c r="P52" s="97">
        <f t="shared" si="8"/>
        <v>114.22826005296338</v>
      </c>
      <c r="Q52" s="97">
        <f t="shared" si="0"/>
        <v>112.51757778596061</v>
      </c>
      <c r="R52" s="97">
        <f t="shared" si="1"/>
        <v>60.540977828070588</v>
      </c>
      <c r="S52" s="97">
        <f t="shared" si="2"/>
        <v>52.88326155940149</v>
      </c>
      <c r="T52" s="101"/>
      <c r="U52" s="97">
        <f>(((360*'Input + Tire Forces'!$L$4*$B$2*$B$3)/(PI()*$B$4^2))*(1/L52))-($I$2*$I$4^2)</f>
        <v>37.40503393596687</v>
      </c>
      <c r="V52" s="97">
        <f>(((360*'Input + Tire Forces'!$L$4*$B$2*$B$3)/(PI()*$B$5^2))*(1/M52))-($I$3*$I$5^2)</f>
        <v>24.90503393596687</v>
      </c>
      <c r="W52" s="97">
        <f>(((360*'Input + Tire Forces'!$L$5*$B$2*$B$3)/(PI()*$B$4^2))*(1/L52))-($I$2*$I$4^2)</f>
        <v>37.40503393596687</v>
      </c>
      <c r="X52" s="97">
        <f>(((360*'Input + Tire Forces'!$L$5*$B$2*$B$3)/(PI()*$B$5^2))*(1/M52))-($I$3*$I$5^2)</f>
        <v>24.90503393596687</v>
      </c>
      <c r="Y52" s="101"/>
      <c r="Z52" s="111">
        <f t="shared" si="3"/>
        <v>149.62013574386748</v>
      </c>
      <c r="AA52" s="111">
        <f t="shared" si="4"/>
        <v>99.620135743867479</v>
      </c>
      <c r="AB52" s="111">
        <f t="shared" si="5"/>
        <v>149.62013574386748</v>
      </c>
      <c r="AC52" s="111">
        <f t="shared" si="6"/>
        <v>99.620135743867479</v>
      </c>
    </row>
    <row r="53" spans="12:29" x14ac:dyDescent="0.3">
      <c r="L53" s="97">
        <f t="shared" ref="L53:M68" si="12">L52+0.1</f>
        <v>5.0999999999999979</v>
      </c>
      <c r="M53" s="97">
        <f t="shared" si="12"/>
        <v>5.0999999999999979</v>
      </c>
      <c r="N53" s="97">
        <f t="shared" si="7"/>
        <v>1013.4847058823533</v>
      </c>
      <c r="O53" s="97">
        <f t="shared" si="7"/>
        <v>1013.4847058823533</v>
      </c>
      <c r="P53" s="97">
        <f t="shared" si="8"/>
        <v>90.493546686577702</v>
      </c>
      <c r="Q53" s="97">
        <f t="shared" si="0"/>
        <v>137.2944813664717</v>
      </c>
      <c r="R53" s="97">
        <f t="shared" si="1"/>
        <v>47.961579743886176</v>
      </c>
      <c r="S53" s="97">
        <f t="shared" si="2"/>
        <v>64.528406242241701</v>
      </c>
      <c r="T53" s="101"/>
      <c r="U53" s="97">
        <f>(((360*'Input + Tire Forces'!$L$4*$B$2*$B$3)/(PI()*$B$4^2))*(1/L53))-($I$2*$I$4^2)</f>
        <v>35.691209741143993</v>
      </c>
      <c r="V53" s="97">
        <f>(((360*'Input + Tire Forces'!$L$4*$B$2*$B$3)/(PI()*$B$5^2))*(1/M53))-($I$3*$I$5^2)</f>
        <v>23.191209741143993</v>
      </c>
      <c r="W53" s="97">
        <f>(((360*'Input + Tire Forces'!$L$5*$B$2*$B$3)/(PI()*$B$4^2))*(1/L53))-($I$2*$I$4^2)</f>
        <v>35.691209741143993</v>
      </c>
      <c r="X53" s="97">
        <f>(((360*'Input + Tire Forces'!$L$5*$B$2*$B$3)/(PI()*$B$5^2))*(1/M53))-($I$3*$I$5^2)</f>
        <v>23.191209741143993</v>
      </c>
      <c r="Y53" s="101"/>
      <c r="Z53" s="111">
        <f t="shared" si="3"/>
        <v>142.76483896457597</v>
      </c>
      <c r="AA53" s="111">
        <f t="shared" si="4"/>
        <v>92.764838964575972</v>
      </c>
      <c r="AB53" s="111">
        <f t="shared" si="5"/>
        <v>142.76483896457597</v>
      </c>
      <c r="AC53" s="111">
        <f t="shared" si="6"/>
        <v>92.764838964575972</v>
      </c>
    </row>
    <row r="54" spans="12:29" x14ac:dyDescent="0.3">
      <c r="L54" s="97">
        <f t="shared" si="12"/>
        <v>5.1999999999999975</v>
      </c>
      <c r="M54" s="97">
        <f t="shared" si="12"/>
        <v>5.1999999999999975</v>
      </c>
      <c r="N54" s="97">
        <f t="shared" si="7"/>
        <v>993.99461538461583</v>
      </c>
      <c r="O54" s="97">
        <f t="shared" si="7"/>
        <v>993.99461538461583</v>
      </c>
      <c r="P54" s="97">
        <f t="shared" si="8"/>
        <v>67.744314136341018</v>
      </c>
      <c r="Q54" s="97">
        <f t="shared" si="0"/>
        <v>161.02100108448758</v>
      </c>
      <c r="R54" s="97">
        <f t="shared" si="1"/>
        <v>35.904486492260737</v>
      </c>
      <c r="S54" s="97">
        <f t="shared" si="2"/>
        <v>75.679870509709161</v>
      </c>
      <c r="T54" s="101"/>
      <c r="U54" s="97">
        <f>(((360*'Input + Tire Forces'!$L$4*$B$2*$B$3)/(PI()*$B$4^2))*(1/L54))-($I$2*$I$4^2)</f>
        <v>34.04330186150662</v>
      </c>
      <c r="V54" s="97">
        <f>(((360*'Input + Tire Forces'!$L$4*$B$2*$B$3)/(PI()*$B$5^2))*(1/M54))-($I$3*$I$5^2)</f>
        <v>21.54330186150662</v>
      </c>
      <c r="W54" s="97">
        <f>(((360*'Input + Tire Forces'!$L$5*$B$2*$B$3)/(PI()*$B$4^2))*(1/L54))-($I$2*$I$4^2)</f>
        <v>34.04330186150662</v>
      </c>
      <c r="X54" s="97">
        <f>(((360*'Input + Tire Forces'!$L$5*$B$2*$B$3)/(PI()*$B$5^2))*(1/M54))-($I$3*$I$5^2)</f>
        <v>21.54330186150662</v>
      </c>
      <c r="Y54" s="101"/>
      <c r="Z54" s="111">
        <f t="shared" si="3"/>
        <v>136.17320744602648</v>
      </c>
      <c r="AA54" s="111">
        <f t="shared" si="4"/>
        <v>86.173207446026481</v>
      </c>
      <c r="AB54" s="111">
        <f t="shared" si="5"/>
        <v>136.17320744602648</v>
      </c>
      <c r="AC54" s="111">
        <f t="shared" si="6"/>
        <v>86.173207446026481</v>
      </c>
    </row>
    <row r="55" spans="12:29" x14ac:dyDescent="0.3">
      <c r="L55" s="97">
        <f t="shared" si="12"/>
        <v>5.2999999999999972</v>
      </c>
      <c r="M55" s="97">
        <f t="shared" si="12"/>
        <v>5.2999999999999972</v>
      </c>
      <c r="N55" s="97">
        <f t="shared" si="7"/>
        <v>975.24000000000046</v>
      </c>
      <c r="O55" s="97">
        <f t="shared" si="7"/>
        <v>975.24000000000046</v>
      </c>
      <c r="P55" s="97">
        <f t="shared" si="8"/>
        <v>45.920433976374397</v>
      </c>
      <c r="Q55" s="97">
        <f t="shared" si="0"/>
        <v>183.7625449370305</v>
      </c>
      <c r="R55" s="97">
        <f t="shared" si="1"/>
        <v>24.337830007478434</v>
      </c>
      <c r="S55" s="97">
        <f t="shared" si="2"/>
        <v>86.368396120404341</v>
      </c>
      <c r="T55" s="101"/>
      <c r="U55" s="97">
        <f>(((360*'Input + Tire Forces'!$L$4*$B$2*$B$3)/(PI()*$B$4^2))*(1/L55))-($I$2*$I$4^2)</f>
        <v>32.457579184874419</v>
      </c>
      <c r="V55" s="97">
        <f>(((360*'Input + Tire Forces'!$L$4*$B$2*$B$3)/(PI()*$B$5^2))*(1/M55))-($I$3*$I$5^2)</f>
        <v>19.957579184874419</v>
      </c>
      <c r="W55" s="97">
        <f>(((360*'Input + Tire Forces'!$L$5*$B$2*$B$3)/(PI()*$B$4^2))*(1/L55))-($I$2*$I$4^2)</f>
        <v>32.457579184874419</v>
      </c>
      <c r="X55" s="97">
        <f>(((360*'Input + Tire Forces'!$L$5*$B$2*$B$3)/(PI()*$B$5^2))*(1/M55))-($I$3*$I$5^2)</f>
        <v>19.957579184874419</v>
      </c>
      <c r="Y55" s="101"/>
      <c r="Z55" s="111">
        <f t="shared" si="3"/>
        <v>129.83031673949768</v>
      </c>
      <c r="AA55" s="111">
        <f t="shared" si="4"/>
        <v>79.830316739497675</v>
      </c>
      <c r="AB55" s="111">
        <f t="shared" si="5"/>
        <v>129.83031673949768</v>
      </c>
      <c r="AC55" s="111">
        <f t="shared" si="6"/>
        <v>79.830316739497675</v>
      </c>
    </row>
    <row r="56" spans="12:29" x14ac:dyDescent="0.3">
      <c r="L56" s="97">
        <f t="shared" si="12"/>
        <v>5.3999999999999968</v>
      </c>
      <c r="M56" s="97">
        <f t="shared" si="12"/>
        <v>5.3999999999999968</v>
      </c>
      <c r="N56" s="97">
        <f t="shared" si="7"/>
        <v>957.18000000000052</v>
      </c>
      <c r="O56" s="97">
        <f t="shared" si="7"/>
        <v>957.18000000000052</v>
      </c>
      <c r="P56" s="97">
        <f t="shared" si="8"/>
        <v>24.966571870181269</v>
      </c>
      <c r="Q56" s="97">
        <f t="shared" si="0"/>
        <v>205.57920069500824</v>
      </c>
      <c r="R56" s="97">
        <f t="shared" si="1"/>
        <v>13.232283091196074</v>
      </c>
      <c r="S56" s="97">
        <f t="shared" si="2"/>
        <v>96.622224326653864</v>
      </c>
      <c r="T56" s="101"/>
      <c r="U56" s="97">
        <f>(((360*'Input + Tire Forces'!$L$4*$B$2*$B$3)/(PI()*$B$4^2))*(1/L56))-($I$2*$I$4^2)</f>
        <v>30.930586977747126</v>
      </c>
      <c r="V56" s="97">
        <f>(((360*'Input + Tire Forces'!$L$4*$B$2*$B$3)/(PI()*$B$5^2))*(1/M56))-($I$3*$I$5^2)</f>
        <v>18.430586977747126</v>
      </c>
      <c r="W56" s="97">
        <f>(((360*'Input + Tire Forces'!$L$5*$B$2*$B$3)/(PI()*$B$4^2))*(1/L56))-($I$2*$I$4^2)</f>
        <v>30.930586977747126</v>
      </c>
      <c r="X56" s="97">
        <f>(((360*'Input + Tire Forces'!$L$5*$B$2*$B$3)/(PI()*$B$5^2))*(1/M56))-($I$3*$I$5^2)</f>
        <v>18.430586977747126</v>
      </c>
      <c r="Y56" s="101"/>
      <c r="Z56" s="111">
        <f t="shared" si="3"/>
        <v>123.7223479109885</v>
      </c>
      <c r="AA56" s="111">
        <f t="shared" si="4"/>
        <v>73.722347910988503</v>
      </c>
      <c r="AB56" s="111">
        <f t="shared" si="5"/>
        <v>123.7223479109885</v>
      </c>
      <c r="AC56" s="111">
        <f t="shared" si="6"/>
        <v>73.722347910988503</v>
      </c>
    </row>
    <row r="57" spans="12:29" x14ac:dyDescent="0.3">
      <c r="L57" s="97">
        <f t="shared" si="12"/>
        <v>5.4999999999999964</v>
      </c>
      <c r="M57" s="97">
        <f t="shared" si="12"/>
        <v>5.4999999999999964</v>
      </c>
      <c r="N57" s="97">
        <f t="shared" si="7"/>
        <v>939.77672727272784</v>
      </c>
      <c r="O57" s="97">
        <f t="shared" si="7"/>
        <v>939.77672727272784</v>
      </c>
      <c r="P57" s="97">
        <f t="shared" si="8"/>
        <v>4.8317191123711609</v>
      </c>
      <c r="Q57" s="97">
        <f t="shared" si="0"/>
        <v>226.52626605064324</v>
      </c>
      <c r="R57" s="97">
        <f t="shared" si="1"/>
        <v>2.5608111295567153</v>
      </c>
      <c r="S57" s="97">
        <f t="shared" si="2"/>
        <v>106.46734504380233</v>
      </c>
      <c r="T57" s="101"/>
      <c r="U57" s="97">
        <f>(((360*'Input + Tire Forces'!$L$4*$B$2*$B$3)/(PI()*$B$4^2))*(1/L57))-($I$2*$I$4^2)</f>
        <v>29.459121759969904</v>
      </c>
      <c r="V57" s="97">
        <f>(((360*'Input + Tire Forces'!$L$4*$B$2*$B$3)/(PI()*$B$5^2))*(1/M57))-($I$3*$I$5^2)</f>
        <v>16.959121759969904</v>
      </c>
      <c r="W57" s="97">
        <f>(((360*'Input + Tire Forces'!$L$5*$B$2*$B$3)/(PI()*$B$4^2))*(1/L57))-($I$2*$I$4^2)</f>
        <v>29.459121759969904</v>
      </c>
      <c r="X57" s="97">
        <f>(((360*'Input + Tire Forces'!$L$5*$B$2*$B$3)/(PI()*$B$5^2))*(1/M57))-($I$3*$I$5^2)</f>
        <v>16.959121759969904</v>
      </c>
      <c r="Y57" s="101"/>
      <c r="Z57" s="111">
        <f t="shared" si="3"/>
        <v>117.83648703987961</v>
      </c>
      <c r="AA57" s="111">
        <f t="shared" si="4"/>
        <v>67.836487039879614</v>
      </c>
      <c r="AB57" s="111">
        <f t="shared" si="5"/>
        <v>117.83648703987961</v>
      </c>
      <c r="AC57" s="111">
        <f t="shared" si="6"/>
        <v>67.836487039879614</v>
      </c>
    </row>
    <row r="58" spans="12:29" x14ac:dyDescent="0.3">
      <c r="L58" s="97">
        <f t="shared" si="12"/>
        <v>5.5999999999999961</v>
      </c>
      <c r="M58" s="97">
        <f t="shared" si="12"/>
        <v>5.5999999999999961</v>
      </c>
      <c r="N58" s="97">
        <f t="shared" si="7"/>
        <v>922.99500000000069</v>
      </c>
      <c r="O58" s="97">
        <f t="shared" si="7"/>
        <v>922.99500000000069</v>
      </c>
      <c r="P58" s="97">
        <f t="shared" si="8"/>
        <v>14.531221951627458</v>
      </c>
      <c r="Q58" s="97">
        <f t="shared" si="0"/>
        <v>246.65471661014828</v>
      </c>
      <c r="R58" s="97">
        <f t="shared" si="1"/>
        <v>7.7015476343625524</v>
      </c>
      <c r="S58" s="97">
        <f t="shared" si="2"/>
        <v>115.92771680676969</v>
      </c>
      <c r="T58" s="101"/>
      <c r="U58" s="97">
        <f>(((360*'Input + Tire Forces'!$L$4*$B$2*$B$3)/(PI()*$B$4^2))*(1/L58))-($I$2*$I$4^2)</f>
        <v>28.040208871399017</v>
      </c>
      <c r="V58" s="97">
        <f>(((360*'Input + Tire Forces'!$L$4*$B$2*$B$3)/(PI()*$B$5^2))*(1/M58))-($I$3*$I$5^2)</f>
        <v>15.540208871399017</v>
      </c>
      <c r="W58" s="97">
        <f>(((360*'Input + Tire Forces'!$L$5*$B$2*$B$3)/(PI()*$B$4^2))*(1/L58))-($I$2*$I$4^2)</f>
        <v>28.040208871399017</v>
      </c>
      <c r="X58" s="97">
        <f>(((360*'Input + Tire Forces'!$L$5*$B$2*$B$3)/(PI()*$B$5^2))*(1/M58))-($I$3*$I$5^2)</f>
        <v>15.540208871399017</v>
      </c>
      <c r="Y58" s="101"/>
      <c r="Z58" s="111">
        <f t="shared" si="3"/>
        <v>112.16083548559607</v>
      </c>
      <c r="AA58" s="111">
        <f t="shared" si="4"/>
        <v>62.160835485596067</v>
      </c>
      <c r="AB58" s="111">
        <f t="shared" si="5"/>
        <v>112.16083548559607</v>
      </c>
      <c r="AC58" s="111">
        <f t="shared" si="6"/>
        <v>62.160835485596067</v>
      </c>
    </row>
    <row r="59" spans="12:29" x14ac:dyDescent="0.3">
      <c r="L59" s="97">
        <f t="shared" si="12"/>
        <v>5.6999999999999957</v>
      </c>
      <c r="M59" s="97">
        <f t="shared" si="12"/>
        <v>5.6999999999999957</v>
      </c>
      <c r="N59" s="97">
        <f t="shared" si="7"/>
        <v>906.80210526315852</v>
      </c>
      <c r="O59" s="97">
        <f t="shared" si="7"/>
        <v>906.80210526315852</v>
      </c>
      <c r="P59" s="97">
        <f t="shared" si="8"/>
        <v>33.165805721243146</v>
      </c>
      <c r="Q59" s="97">
        <f t="shared" si="0"/>
        <v>266.01162007028415</v>
      </c>
      <c r="R59" s="97">
        <f t="shared" si="1"/>
        <v>17.577877032258865</v>
      </c>
      <c r="S59" s="97">
        <f t="shared" si="2"/>
        <v>125.02546143303356</v>
      </c>
      <c r="T59" s="101"/>
      <c r="U59" s="97">
        <f>(((360*'Input + Tire Forces'!$L$4*$B$2*$B$3)/(PI()*$B$4^2))*(1/L59))-($I$2*$I$4^2)</f>
        <v>26.67108239997097</v>
      </c>
      <c r="V59" s="97">
        <f>(((360*'Input + Tire Forces'!$L$4*$B$2*$B$3)/(PI()*$B$5^2))*(1/M59))-($I$3*$I$5^2)</f>
        <v>14.17108239997097</v>
      </c>
      <c r="W59" s="97">
        <f>(((360*'Input + Tire Forces'!$L$5*$B$2*$B$3)/(PI()*$B$4^2))*(1/L59))-($I$2*$I$4^2)</f>
        <v>26.67108239997097</v>
      </c>
      <c r="X59" s="97">
        <f>(((360*'Input + Tire Forces'!$L$5*$B$2*$B$3)/(PI()*$B$5^2))*(1/M59))-($I$3*$I$5^2)</f>
        <v>14.17108239997097</v>
      </c>
      <c r="Y59" s="101"/>
      <c r="Z59" s="111">
        <f t="shared" si="3"/>
        <v>106.68432959988388</v>
      </c>
      <c r="AA59" s="111">
        <f t="shared" si="4"/>
        <v>56.684329599883881</v>
      </c>
      <c r="AB59" s="111">
        <f t="shared" si="5"/>
        <v>106.68432959988388</v>
      </c>
      <c r="AC59" s="111">
        <f t="shared" si="6"/>
        <v>56.684329599883881</v>
      </c>
    </row>
    <row r="60" spans="12:29" x14ac:dyDescent="0.3">
      <c r="L60" s="97">
        <f t="shared" si="12"/>
        <v>5.7999999999999954</v>
      </c>
      <c r="M60" s="97">
        <f t="shared" si="12"/>
        <v>5.7999999999999954</v>
      </c>
      <c r="N60" s="97">
        <f t="shared" si="7"/>
        <v>891.16758620689723</v>
      </c>
      <c r="O60" s="97">
        <f t="shared" si="7"/>
        <v>891.16758620689723</v>
      </c>
      <c r="P60" s="97">
        <f t="shared" si="8"/>
        <v>51.112370397595441</v>
      </c>
      <c r="Q60" s="97">
        <f t="shared" si="0"/>
        <v>284.64050366293884</v>
      </c>
      <c r="R60" s="97">
        <f t="shared" si="1"/>
        <v>27.089556310725584</v>
      </c>
      <c r="S60" s="97">
        <f t="shared" si="2"/>
        <v>133.78103672158124</v>
      </c>
      <c r="T60" s="101"/>
      <c r="U60" s="97">
        <f>(((360*'Input + Tire Forces'!$L$4*$B$2*$B$3)/(PI()*$B$4^2))*(1/L60))-($I$2*$I$4^2)</f>
        <v>25.349167186178377</v>
      </c>
      <c r="V60" s="97">
        <f>(((360*'Input + Tire Forces'!$L$4*$B$2*$B$3)/(PI()*$B$5^2))*(1/M60))-($I$3*$I$5^2)</f>
        <v>12.849167186178377</v>
      </c>
      <c r="W60" s="97">
        <f>(((360*'Input + Tire Forces'!$L$5*$B$2*$B$3)/(PI()*$B$4^2))*(1/L60))-($I$2*$I$4^2)</f>
        <v>25.349167186178377</v>
      </c>
      <c r="X60" s="97">
        <f>(((360*'Input + Tire Forces'!$L$5*$B$2*$B$3)/(PI()*$B$5^2))*(1/M60))-($I$3*$I$5^2)</f>
        <v>12.849167186178377</v>
      </c>
      <c r="Y60" s="101"/>
      <c r="Z60" s="111">
        <f t="shared" si="3"/>
        <v>101.39666874471351</v>
      </c>
      <c r="AA60" s="111">
        <f t="shared" si="4"/>
        <v>51.396668744713509</v>
      </c>
      <c r="AB60" s="111">
        <f t="shared" si="5"/>
        <v>101.39666874471351</v>
      </c>
      <c r="AC60" s="111">
        <f t="shared" si="6"/>
        <v>51.396668744713509</v>
      </c>
    </row>
    <row r="61" spans="12:29" x14ac:dyDescent="0.3">
      <c r="L61" s="97">
        <f t="shared" si="12"/>
        <v>5.899999999999995</v>
      </c>
      <c r="M61" s="97">
        <f t="shared" si="12"/>
        <v>5.899999999999995</v>
      </c>
      <c r="N61" s="97">
        <f t="shared" si="7"/>
        <v>876.06305084745838</v>
      </c>
      <c r="O61" s="97">
        <f t="shared" si="7"/>
        <v>876.06305084745838</v>
      </c>
      <c r="P61" s="97">
        <f t="shared" si="8"/>
        <v>68.408329470567537</v>
      </c>
      <c r="Q61" s="97">
        <f t="shared" si="0"/>
        <v>302.58168090581273</v>
      </c>
      <c r="R61" s="97">
        <f t="shared" si="1"/>
        <v>36.256414619400793</v>
      </c>
      <c r="S61" s="97">
        <f t="shared" si="2"/>
        <v>142.213390025732</v>
      </c>
      <c r="T61" s="101"/>
      <c r="U61" s="97">
        <f>(((360*'Input + Tire Forces'!$L$4*$B$2*$B$3)/(PI()*$B$4^2))*(1/L61))-($I$2*$I$4^2)</f>
        <v>24.072062657599076</v>
      </c>
      <c r="V61" s="97">
        <f>(((360*'Input + Tire Forces'!$L$4*$B$2*$B$3)/(PI()*$B$5^2))*(1/M61))-($I$3*$I$5^2)</f>
        <v>11.572062657599076</v>
      </c>
      <c r="W61" s="97">
        <f>(((360*'Input + Tire Forces'!$L$5*$B$2*$B$3)/(PI()*$B$4^2))*(1/L61))-($I$2*$I$4^2)</f>
        <v>24.072062657599076</v>
      </c>
      <c r="X61" s="97">
        <f>(((360*'Input + Tire Forces'!$L$5*$B$2*$B$3)/(PI()*$B$5^2))*(1/M61))-($I$3*$I$5^2)</f>
        <v>11.572062657599076</v>
      </c>
      <c r="Y61" s="101"/>
      <c r="Z61" s="111">
        <f t="shared" si="3"/>
        <v>96.288250630396305</v>
      </c>
      <c r="AA61" s="111">
        <f t="shared" si="4"/>
        <v>46.288250630396305</v>
      </c>
      <c r="AB61" s="111">
        <f t="shared" si="5"/>
        <v>96.288250630396305</v>
      </c>
      <c r="AC61" s="111">
        <f t="shared" si="6"/>
        <v>46.288250630396305</v>
      </c>
    </row>
    <row r="62" spans="12:29" x14ac:dyDescent="0.3">
      <c r="L62" s="97">
        <f t="shared" si="12"/>
        <v>5.9999999999999947</v>
      </c>
      <c r="M62" s="97">
        <f t="shared" si="12"/>
        <v>5.9999999999999947</v>
      </c>
      <c r="N62" s="97">
        <f t="shared" si="7"/>
        <v>861.46200000000078</v>
      </c>
      <c r="O62" s="97">
        <f t="shared" si="7"/>
        <v>861.46200000000078</v>
      </c>
      <c r="P62" s="97">
        <f t="shared" si="8"/>
        <v>85.088432068977227</v>
      </c>
      <c r="Q62" s="97">
        <f t="shared" si="0"/>
        <v>319.87254282182425</v>
      </c>
      <c r="R62" s="97">
        <f t="shared" si="1"/>
        <v>45.09686899655793</v>
      </c>
      <c r="S62" s="97">
        <f t="shared" si="2"/>
        <v>150.34009512625741</v>
      </c>
      <c r="T62" s="101"/>
      <c r="U62" s="97">
        <f>(((360*'Input + Tire Forces'!$L$4*$B$2*$B$3)/(PI()*$B$4^2))*(1/L62))-($I$2*$I$4^2)</f>
        <v>22.837528279972446</v>
      </c>
      <c r="V62" s="97">
        <f>(((360*'Input + Tire Forces'!$L$4*$B$2*$B$3)/(PI()*$B$5^2))*(1/M62))-($I$3*$I$5^2)</f>
        <v>10.337528279972446</v>
      </c>
      <c r="W62" s="97">
        <f>(((360*'Input + Tire Forces'!$L$5*$B$2*$B$3)/(PI()*$B$4^2))*(1/L62))-($I$2*$I$4^2)</f>
        <v>22.837528279972446</v>
      </c>
      <c r="X62" s="97">
        <f>(((360*'Input + Tire Forces'!$L$5*$B$2*$B$3)/(PI()*$B$5^2))*(1/M62))-($I$3*$I$5^2)</f>
        <v>10.337528279972446</v>
      </c>
      <c r="Y62" s="101"/>
      <c r="Z62" s="111">
        <f t="shared" si="3"/>
        <v>91.350113119889784</v>
      </c>
      <c r="AA62" s="111">
        <f t="shared" si="4"/>
        <v>41.350113119889784</v>
      </c>
      <c r="AB62" s="111">
        <f t="shared" si="5"/>
        <v>91.350113119889784</v>
      </c>
      <c r="AC62" s="111">
        <f t="shared" si="6"/>
        <v>41.350113119889784</v>
      </c>
    </row>
    <row r="63" spans="12:29" x14ac:dyDescent="0.3">
      <c r="L63" s="97">
        <f t="shared" si="12"/>
        <v>6.0999999999999943</v>
      </c>
      <c r="M63" s="97">
        <f t="shared" si="12"/>
        <v>6.0999999999999943</v>
      </c>
      <c r="N63" s="97">
        <f t="shared" si="7"/>
        <v>847.33967213114829</v>
      </c>
      <c r="O63" s="97">
        <f t="shared" si="7"/>
        <v>847.33967213114829</v>
      </c>
      <c r="P63" s="97">
        <f t="shared" si="8"/>
        <v>101.18499598638107</v>
      </c>
      <c r="Q63" s="97">
        <f t="shared" si="0"/>
        <v>336.54781805466553</v>
      </c>
      <c r="R63" s="97">
        <f t="shared" si="1"/>
        <v>53.628047872781963</v>
      </c>
      <c r="S63" s="97">
        <f t="shared" si="2"/>
        <v>158.17747448569281</v>
      </c>
      <c r="T63" s="101"/>
      <c r="U63" s="97">
        <f>(((360*'Input + Tire Forces'!$L$4*$B$2*$B$3)/(PI()*$B$4^2))*(1/L63))-($I$2*$I$4^2)</f>
        <v>21.643470439317156</v>
      </c>
      <c r="V63" s="97">
        <f>(((360*'Input + Tire Forces'!$L$4*$B$2*$B$3)/(PI()*$B$5^2))*(1/M63))-($I$3*$I$5^2)</f>
        <v>9.1434704393171558</v>
      </c>
      <c r="W63" s="97">
        <f>(((360*'Input + Tire Forces'!$L$5*$B$2*$B$3)/(PI()*$B$4^2))*(1/L63))-($I$2*$I$4^2)</f>
        <v>21.643470439317156</v>
      </c>
      <c r="X63" s="97">
        <f>(((360*'Input + Tire Forces'!$L$5*$B$2*$B$3)/(PI()*$B$5^2))*(1/M63))-($I$3*$I$5^2)</f>
        <v>9.1434704393171558</v>
      </c>
      <c r="Y63" s="101"/>
      <c r="Z63" s="111">
        <f t="shared" si="3"/>
        <v>86.573881757268623</v>
      </c>
      <c r="AA63" s="111">
        <f t="shared" si="4"/>
        <v>36.573881757268623</v>
      </c>
      <c r="AB63" s="111">
        <f t="shared" si="5"/>
        <v>86.573881757268623</v>
      </c>
      <c r="AC63" s="111">
        <f t="shared" si="6"/>
        <v>36.573881757268623</v>
      </c>
    </row>
    <row r="64" spans="12:29" x14ac:dyDescent="0.3">
      <c r="L64" s="97">
        <f t="shared" si="12"/>
        <v>6.199999999999994</v>
      </c>
      <c r="M64" s="97">
        <f t="shared" si="12"/>
        <v>6.199999999999994</v>
      </c>
      <c r="N64" s="97">
        <f t="shared" si="7"/>
        <v>833.6729032258072</v>
      </c>
      <c r="O64" s="97">
        <f t="shared" si="7"/>
        <v>833.6729032258072</v>
      </c>
      <c r="P64" s="97">
        <f t="shared" si="8"/>
        <v>116.72811667071687</v>
      </c>
      <c r="Q64" s="97">
        <f t="shared" si="0"/>
        <v>352.63980568846728</v>
      </c>
      <c r="R64" s="97">
        <f t="shared" si="1"/>
        <v>61.865901835479946</v>
      </c>
      <c r="S64" s="97">
        <f t="shared" si="2"/>
        <v>165.7407086735796</v>
      </c>
      <c r="T64" s="101"/>
      <c r="U64" s="97">
        <f>(((360*'Input + Tire Forces'!$L$4*$B$2*$B$3)/(PI()*$B$4^2))*(1/L64))-($I$2*$I$4^2)</f>
        <v>20.487930593521725</v>
      </c>
      <c r="V64" s="97">
        <f>(((360*'Input + Tire Forces'!$L$4*$B$2*$B$3)/(PI()*$B$5^2))*(1/M64))-($I$3*$I$5^2)</f>
        <v>7.9879305935217246</v>
      </c>
      <c r="W64" s="97">
        <f>(((360*'Input + Tire Forces'!$L$5*$B$2*$B$3)/(PI()*$B$4^2))*(1/L64))-($I$2*$I$4^2)</f>
        <v>20.487930593521725</v>
      </c>
      <c r="X64" s="97">
        <f>(((360*'Input + Tire Forces'!$L$5*$B$2*$B$3)/(PI()*$B$5^2))*(1/M64))-($I$3*$I$5^2)</f>
        <v>7.9879305935217246</v>
      </c>
      <c r="Y64" s="101"/>
      <c r="Z64" s="111">
        <f t="shared" si="3"/>
        <v>81.951722374086899</v>
      </c>
      <c r="AA64" s="111">
        <f t="shared" si="4"/>
        <v>31.951722374086899</v>
      </c>
      <c r="AB64" s="111">
        <f t="shared" si="5"/>
        <v>81.951722374086899</v>
      </c>
      <c r="AC64" s="111">
        <f t="shared" si="6"/>
        <v>31.951722374086899</v>
      </c>
    </row>
    <row r="65" spans="12:29" x14ac:dyDescent="0.3">
      <c r="L65" s="97">
        <f t="shared" si="12"/>
        <v>6.2999999999999936</v>
      </c>
      <c r="M65" s="97">
        <f t="shared" si="12"/>
        <v>6.2999999999999936</v>
      </c>
      <c r="N65" s="97">
        <f t="shared" si="7"/>
        <v>820.44000000000085</v>
      </c>
      <c r="O65" s="97">
        <f t="shared" si="7"/>
        <v>820.44000000000085</v>
      </c>
      <c r="P65" s="97">
        <f t="shared" si="8"/>
        <v>131.74585502139246</v>
      </c>
      <c r="Q65" s="97">
        <f t="shared" si="0"/>
        <v>368.17858405588413</v>
      </c>
      <c r="R65" s="97">
        <f t="shared" si="1"/>
        <v>69.825303161338013</v>
      </c>
      <c r="S65" s="97">
        <f t="shared" si="2"/>
        <v>173.04393450626554</v>
      </c>
      <c r="T65" s="101"/>
      <c r="U65" s="97">
        <f>(((360*'Input + Tire Forces'!$L$4*$B$2*$B$3)/(PI()*$B$4^2))*(1/L65))-($I$2*$I$4^2)</f>
        <v>19.369074552354704</v>
      </c>
      <c r="V65" s="97">
        <f>(((360*'Input + Tire Forces'!$L$4*$B$2*$B$3)/(PI()*$B$5^2))*(1/M65))-($I$3*$I$5^2)</f>
        <v>6.8690745523547037</v>
      </c>
      <c r="W65" s="97">
        <f>(((360*'Input + Tire Forces'!$L$5*$B$2*$B$3)/(PI()*$B$4^2))*(1/L65))-($I$2*$I$4^2)</f>
        <v>19.369074552354704</v>
      </c>
      <c r="X65" s="97">
        <f>(((360*'Input + Tire Forces'!$L$5*$B$2*$B$3)/(PI()*$B$5^2))*(1/M65))-($I$3*$I$5^2)</f>
        <v>6.8690745523547037</v>
      </c>
      <c r="Y65" s="101"/>
      <c r="Z65" s="111">
        <f t="shared" si="3"/>
        <v>77.476298209418815</v>
      </c>
      <c r="AA65" s="111">
        <f t="shared" si="4"/>
        <v>27.476298209418815</v>
      </c>
      <c r="AB65" s="111">
        <f t="shared" si="5"/>
        <v>77.476298209418815</v>
      </c>
      <c r="AC65" s="111">
        <f t="shared" si="6"/>
        <v>27.476298209418815</v>
      </c>
    </row>
    <row r="66" spans="12:29" x14ac:dyDescent="0.3">
      <c r="L66" s="97">
        <f t="shared" si="12"/>
        <v>6.3999999999999932</v>
      </c>
      <c r="M66" s="97">
        <f t="shared" si="12"/>
        <v>6.3999999999999932</v>
      </c>
      <c r="N66" s="97">
        <f t="shared" si="7"/>
        <v>807.62062500000081</v>
      </c>
      <c r="O66" s="97">
        <f t="shared" si="7"/>
        <v>807.62062500000081</v>
      </c>
      <c r="P66" s="97">
        <f t="shared" si="8"/>
        <v>146.26440645935077</v>
      </c>
      <c r="Q66" s="97">
        <f t="shared" si="0"/>
        <v>383.19219837492506</v>
      </c>
      <c r="R66" s="97">
        <f t="shared" si="1"/>
        <v>77.520135423455898</v>
      </c>
      <c r="S66" s="97">
        <f t="shared" si="2"/>
        <v>180.10033323621479</v>
      </c>
      <c r="T66" s="101"/>
      <c r="U66" s="97">
        <f>(((360*'Input + Tire Forces'!$L$4*$B$2*$B$3)/(PI()*$B$4^2))*(1/L66))-($I$2*$I$4^2)</f>
        <v>18.285182762474165</v>
      </c>
      <c r="V66" s="97">
        <f>(((360*'Input + Tire Forces'!$L$4*$B$2*$B$3)/(PI()*$B$5^2))*(1/M66))-($I$3*$I$5^2)</f>
        <v>5.7851827624741645</v>
      </c>
      <c r="W66" s="97">
        <f>(((360*'Input + Tire Forces'!$L$5*$B$2*$B$3)/(PI()*$B$4^2))*(1/L66))-($I$2*$I$4^2)</f>
        <v>18.285182762474165</v>
      </c>
      <c r="X66" s="97">
        <f>(((360*'Input + Tire Forces'!$L$5*$B$2*$B$3)/(PI()*$B$5^2))*(1/M66))-($I$3*$I$5^2)</f>
        <v>5.7851827624741645</v>
      </c>
      <c r="Y66" s="101"/>
      <c r="Z66" s="111">
        <f t="shared" si="3"/>
        <v>73.140731049896658</v>
      </c>
      <c r="AA66" s="111">
        <f t="shared" si="4"/>
        <v>23.140731049896658</v>
      </c>
      <c r="AB66" s="111">
        <f t="shared" si="5"/>
        <v>73.140731049896658</v>
      </c>
      <c r="AC66" s="111">
        <f t="shared" si="6"/>
        <v>23.140731049896658</v>
      </c>
    </row>
    <row r="67" spans="12:29" x14ac:dyDescent="0.3">
      <c r="L67" s="97">
        <f t="shared" si="12"/>
        <v>6.4999999999999929</v>
      </c>
      <c r="M67" s="97">
        <f t="shared" si="12"/>
        <v>6.4999999999999929</v>
      </c>
      <c r="N67" s="97">
        <f t="shared" si="7"/>
        <v>795.19569230769321</v>
      </c>
      <c r="O67" s="97">
        <f t="shared" si="7"/>
        <v>795.19569230769321</v>
      </c>
      <c r="P67" s="97">
        <f t="shared" ref="P67:P72" si="13">ABS((((PI()/180)*((N67*$E$2*($B$4^2/2))/(($E$2*($B$4^2/2)*(PI()/180))-N67)))-((PI()*($I$2*$I$4^2)*($B$4^2/2))/180)))</f>
        <v>160.30825341318223</v>
      </c>
      <c r="Q67" s="97">
        <f t="shared" ref="Q67:Q72" si="14">ABS((((PI()/180)*((O67*$E$3*($B$5^2/2))/(($E$3*($B$5^2/2)*(PI()/180))-O67)))-((PI()*($I$3*$I$5^2)*($B$5^2/2))/180)))</f>
        <v>397.70682967724213</v>
      </c>
      <c r="R67" s="97">
        <f t="shared" ref="R67:R72" si="15">(P67*$A$8*1)/100</f>
        <v>84.963374308986587</v>
      </c>
      <c r="S67" s="97">
        <f t="shared" ref="S67:S72" si="16">(Q67*(100-$A$8))/100</f>
        <v>186.92220994830379</v>
      </c>
      <c r="T67" s="101"/>
      <c r="U67" s="97">
        <f>(((360*'Input + Tire Forces'!$L$4*$B$2*$B$3)/(PI()*$B$4^2))*(1/L67))-($I$2*$I$4^2)</f>
        <v>17.234641489205345</v>
      </c>
      <c r="V67" s="97">
        <f>(((360*'Input + Tire Forces'!$L$4*$B$2*$B$3)/(PI()*$B$5^2))*(1/M67))-($I$3*$I$5^2)</f>
        <v>4.7346414892053446</v>
      </c>
      <c r="W67" s="97">
        <f>(((360*'Input + Tire Forces'!$L$5*$B$2*$B$3)/(PI()*$B$4^2))*(1/L67))-($I$2*$I$4^2)</f>
        <v>17.234641489205345</v>
      </c>
      <c r="X67" s="97">
        <f>(((360*'Input + Tire Forces'!$L$5*$B$2*$B$3)/(PI()*$B$5^2))*(1/M67))-($I$3*$I$5^2)</f>
        <v>4.7346414892053446</v>
      </c>
      <c r="Y67" s="101"/>
      <c r="Z67" s="111">
        <f t="shared" ref="Z67:Z72" si="17">U67/$J$12^2</f>
        <v>68.938565956821378</v>
      </c>
      <c r="AA67" s="111">
        <f t="shared" ref="AA67:AA72" si="18">V67/$J$14^2</f>
        <v>18.938565956821378</v>
      </c>
      <c r="AB67" s="111">
        <f t="shared" ref="AB67:AB72" si="19">W67/$J$12^2</f>
        <v>68.938565956821378</v>
      </c>
      <c r="AC67" s="111">
        <f t="shared" ref="AC67:AC72" si="20">X67/$J$14^2</f>
        <v>18.938565956821378</v>
      </c>
    </row>
    <row r="68" spans="12:29" x14ac:dyDescent="0.3">
      <c r="L68" s="97">
        <f t="shared" si="12"/>
        <v>6.5999999999999925</v>
      </c>
      <c r="M68" s="97">
        <f t="shared" si="12"/>
        <v>6.5999999999999925</v>
      </c>
      <c r="N68" s="97">
        <f t="shared" ref="N68:O72" si="21">($B$2*$B$3)/L68</f>
        <v>783.14727272727362</v>
      </c>
      <c r="O68" s="97">
        <f t="shared" si="21"/>
        <v>783.14727272727362</v>
      </c>
      <c r="P68" s="97">
        <f t="shared" si="13"/>
        <v>173.90030308858695</v>
      </c>
      <c r="Q68" s="97">
        <f t="shared" si="14"/>
        <v>411.74694716855856</v>
      </c>
      <c r="R68" s="97">
        <f t="shared" si="15"/>
        <v>92.167160636951081</v>
      </c>
      <c r="S68" s="97">
        <f t="shared" si="16"/>
        <v>193.52106516922254</v>
      </c>
      <c r="T68" s="101"/>
      <c r="U68" s="97">
        <f>(((360*'Input + Tire Forces'!$L$4*$B$2*$B$3)/(PI()*$B$4^2))*(1/L68))-($I$2*$I$4^2)</f>
        <v>16.21593479997496</v>
      </c>
      <c r="V68" s="97">
        <f>(((360*'Input + Tire Forces'!$L$4*$B$2*$B$3)/(PI()*$B$5^2))*(1/M68))-($I$3*$I$5^2)</f>
        <v>3.7159347999749599</v>
      </c>
      <c r="W68" s="97">
        <f>(((360*'Input + Tire Forces'!$L$5*$B$2*$B$3)/(PI()*$B$4^2))*(1/L68))-($I$2*$I$4^2)</f>
        <v>16.21593479997496</v>
      </c>
      <c r="X68" s="97">
        <f>(((360*'Input + Tire Forces'!$L$5*$B$2*$B$3)/(PI()*$B$5^2))*(1/M68))-($I$3*$I$5^2)</f>
        <v>3.7159347999749599</v>
      </c>
      <c r="Y68" s="101"/>
      <c r="Z68" s="111">
        <f t="shared" si="17"/>
        <v>64.86373919989984</v>
      </c>
      <c r="AA68" s="111">
        <f t="shared" si="18"/>
        <v>14.86373919989984</v>
      </c>
      <c r="AB68" s="111">
        <f t="shared" si="19"/>
        <v>64.86373919989984</v>
      </c>
      <c r="AC68" s="111">
        <f t="shared" si="20"/>
        <v>14.86373919989984</v>
      </c>
    </row>
    <row r="69" spans="12:29" x14ac:dyDescent="0.3">
      <c r="L69" s="97">
        <f t="shared" ref="L69:M72" si="22">L68+0.1</f>
        <v>6.6999999999999922</v>
      </c>
      <c r="M69" s="97">
        <f t="shared" si="22"/>
        <v>6.6999999999999922</v>
      </c>
      <c r="N69" s="97">
        <f t="shared" si="21"/>
        <v>771.45850746268741</v>
      </c>
      <c r="O69" s="97">
        <f t="shared" si="21"/>
        <v>771.45850746268741</v>
      </c>
      <c r="P69" s="97">
        <f t="shared" si="13"/>
        <v>187.06201215199178</v>
      </c>
      <c r="Q69" s="97">
        <f t="shared" si="14"/>
        <v>425.33544588647874</v>
      </c>
      <c r="R69" s="97">
        <f t="shared" si="15"/>
        <v>99.14286644055565</v>
      </c>
      <c r="S69" s="97">
        <f t="shared" si="16"/>
        <v>199.90765956664501</v>
      </c>
      <c r="T69" s="101"/>
      <c r="U69" s="97">
        <f>(((360*'Input + Tire Forces'!$L$4*$B$2*$B$3)/(PI()*$B$4^2))*(1/L69))-($I$2*$I$4^2)</f>
        <v>15.227637265646976</v>
      </c>
      <c r="V69" s="97">
        <f>(((360*'Input + Tire Forces'!$L$4*$B$2*$B$3)/(PI()*$B$5^2))*(1/M69))-($I$3*$I$5^2)</f>
        <v>2.7276372656469761</v>
      </c>
      <c r="W69" s="97">
        <f>(((360*'Input + Tire Forces'!$L$5*$B$2*$B$3)/(PI()*$B$4^2))*(1/L69))-($I$2*$I$4^2)</f>
        <v>15.227637265646976</v>
      </c>
      <c r="X69" s="97">
        <f>(((360*'Input + Tire Forces'!$L$5*$B$2*$B$3)/(PI()*$B$5^2))*(1/M69))-($I$3*$I$5^2)</f>
        <v>2.7276372656469761</v>
      </c>
      <c r="Y69" s="101"/>
      <c r="Z69" s="111">
        <f t="shared" si="17"/>
        <v>60.910549062587904</v>
      </c>
      <c r="AA69" s="111">
        <f t="shared" si="18"/>
        <v>10.910549062587904</v>
      </c>
      <c r="AB69" s="111">
        <f t="shared" si="19"/>
        <v>60.910549062587904</v>
      </c>
      <c r="AC69" s="111">
        <f t="shared" si="20"/>
        <v>10.910549062587904</v>
      </c>
    </row>
    <row r="70" spans="12:29" x14ac:dyDescent="0.3">
      <c r="L70" s="97">
        <f t="shared" si="22"/>
        <v>6.7999999999999918</v>
      </c>
      <c r="M70" s="97">
        <f t="shared" si="22"/>
        <v>6.7999999999999918</v>
      </c>
      <c r="N70" s="97">
        <f t="shared" si="21"/>
        <v>760.11352941176563</v>
      </c>
      <c r="O70" s="97">
        <f t="shared" si="21"/>
        <v>760.11352941176563</v>
      </c>
      <c r="P70" s="97">
        <f t="shared" si="13"/>
        <v>199.813499755831</v>
      </c>
      <c r="Q70" s="97">
        <f t="shared" si="14"/>
        <v>438.49377128472827</v>
      </c>
      <c r="R70" s="97">
        <f t="shared" si="15"/>
        <v>105.90115487059043</v>
      </c>
      <c r="S70" s="97">
        <f t="shared" si="16"/>
        <v>206.09207250382227</v>
      </c>
      <c r="T70" s="101"/>
      <c r="U70" s="97">
        <f>(((360*'Input + Tire Forces'!$L$4*$B$2*$B$3)/(PI()*$B$4^2))*(1/L70))-($I$2*$I$4^2)</f>
        <v>14.268407305858048</v>
      </c>
      <c r="V70" s="97">
        <f>(((360*'Input + Tire Forces'!$L$4*$B$2*$B$3)/(PI()*$B$5^2))*(1/M70))-($I$3*$I$5^2)</f>
        <v>1.7684073058580481</v>
      </c>
      <c r="W70" s="97">
        <f>(((360*'Input + Tire Forces'!$L$5*$B$2*$B$3)/(PI()*$B$4^2))*(1/L70))-($I$2*$I$4^2)</f>
        <v>14.268407305858048</v>
      </c>
      <c r="X70" s="97">
        <f>(((360*'Input + Tire Forces'!$L$5*$B$2*$B$3)/(PI()*$B$5^2))*(1/M70))-($I$3*$I$5^2)</f>
        <v>1.7684073058580481</v>
      </c>
      <c r="Y70" s="101"/>
      <c r="Z70" s="111">
        <f t="shared" si="17"/>
        <v>57.073629223432192</v>
      </c>
      <c r="AA70" s="111">
        <f t="shared" si="18"/>
        <v>7.0736292234321922</v>
      </c>
      <c r="AB70" s="111">
        <f t="shared" si="19"/>
        <v>57.073629223432192</v>
      </c>
      <c r="AC70" s="111">
        <f t="shared" si="20"/>
        <v>7.0736292234321922</v>
      </c>
    </row>
    <row r="71" spans="12:29" x14ac:dyDescent="0.3">
      <c r="L71" s="97">
        <f t="shared" si="22"/>
        <v>6.8999999999999915</v>
      </c>
      <c r="M71" s="97">
        <f t="shared" si="22"/>
        <v>6.8999999999999915</v>
      </c>
      <c r="N71" s="97">
        <f t="shared" si="21"/>
        <v>749.09739130434878</v>
      </c>
      <c r="O71" s="97">
        <f t="shared" si="21"/>
        <v>749.09739130434878</v>
      </c>
      <c r="P71" s="97">
        <f t="shared" si="13"/>
        <v>212.17365015774703</v>
      </c>
      <c r="Q71" s="97">
        <f t="shared" si="14"/>
        <v>451.24203216981232</v>
      </c>
      <c r="R71" s="97">
        <f t="shared" si="15"/>
        <v>112.45203458360592</v>
      </c>
      <c r="S71" s="97">
        <f t="shared" si="16"/>
        <v>212.0837551198118</v>
      </c>
      <c r="T71" s="101"/>
      <c r="U71" s="97">
        <f>(((360*'Input + Tire Forces'!$L$4*$B$2*$B$3)/(PI()*$B$4^2))*(1/L71))-($I$2*$I$4^2)</f>
        <v>13.336981113019526</v>
      </c>
      <c r="V71" s="97">
        <f>(((360*'Input + Tire Forces'!$L$4*$B$2*$B$3)/(PI()*$B$5^2))*(1/M71))-($I$3*$I$5^2)</f>
        <v>0.83698111301952594</v>
      </c>
      <c r="W71" s="97">
        <f>(((360*'Input + Tire Forces'!$L$5*$B$2*$B$3)/(PI()*$B$4^2))*(1/L71))-($I$2*$I$4^2)</f>
        <v>13.336981113019526</v>
      </c>
      <c r="X71" s="97">
        <f>(((360*'Input + Tire Forces'!$L$5*$B$2*$B$3)/(PI()*$B$5^2))*(1/M71))-($I$3*$I$5^2)</f>
        <v>0.83698111301952594</v>
      </c>
      <c r="Y71" s="101"/>
      <c r="Z71" s="111">
        <f t="shared" si="17"/>
        <v>53.347924452078104</v>
      </c>
      <c r="AA71" s="111">
        <f t="shared" si="18"/>
        <v>3.3479244520781037</v>
      </c>
      <c r="AB71" s="111">
        <f t="shared" si="19"/>
        <v>53.347924452078104</v>
      </c>
      <c r="AC71" s="111">
        <f t="shared" si="20"/>
        <v>3.3479244520781037</v>
      </c>
    </row>
    <row r="72" spans="12:29" x14ac:dyDescent="0.3">
      <c r="L72" s="97">
        <f t="shared" si="22"/>
        <v>6.9999999999999911</v>
      </c>
      <c r="M72" s="97">
        <f t="shared" si="22"/>
        <v>6.9999999999999911</v>
      </c>
      <c r="N72" s="97">
        <f t="shared" si="21"/>
        <v>738.39600000000098</v>
      </c>
      <c r="O72" s="97">
        <f t="shared" si="21"/>
        <v>738.39600000000098</v>
      </c>
      <c r="P72" s="97">
        <f t="shared" si="13"/>
        <v>224.16020603457048</v>
      </c>
      <c r="Q72" s="97">
        <f t="shared" si="14"/>
        <v>463.59910324103578</v>
      </c>
      <c r="R72" s="97">
        <f t="shared" si="15"/>
        <v>118.80490919832235</v>
      </c>
      <c r="S72" s="97">
        <f t="shared" si="16"/>
        <v>217.8915785232868</v>
      </c>
      <c r="T72" s="101"/>
      <c r="U72" s="97">
        <f>(((360*'Input + Tire Forces'!$L$4*$B$2*$B$3)/(PI()*$B$4^2))*(1/L72))-($I$2*$I$4^2)</f>
        <v>12.432167097119255</v>
      </c>
      <c r="V72" s="97">
        <f>(((360*'Input + Tire Forces'!$L$4*$B$2*$B$3)/(PI()*$B$5^2))*(1/M72))-($I$3*$I$5^2)</f>
        <v>-6.7832902880745394E-2</v>
      </c>
      <c r="W72" s="97">
        <f>(((360*'Input + Tire Forces'!$L$5*$B$2*$B$3)/(PI()*$B$4^2))*(1/L72))-($I$2*$I$4^2)</f>
        <v>12.432167097119255</v>
      </c>
      <c r="X72" s="97">
        <f>(((360*'Input + Tire Forces'!$L$5*$B$2*$B$3)/(PI()*$B$5^2))*(1/M72))-($I$3*$I$5^2)</f>
        <v>-6.7832902880745394E-2</v>
      </c>
      <c r="Y72" s="101"/>
      <c r="Z72" s="111">
        <f t="shared" si="17"/>
        <v>49.728668388477018</v>
      </c>
      <c r="AA72" s="111">
        <f t="shared" si="18"/>
        <v>-0.27133161152298158</v>
      </c>
      <c r="AB72" s="111">
        <f t="shared" si="19"/>
        <v>49.728668388477018</v>
      </c>
      <c r="AC72" s="111">
        <f t="shared" si="20"/>
        <v>-0.27133161152298158</v>
      </c>
    </row>
  </sheetData>
  <mergeCells count="2">
    <mergeCell ref="A7:B7"/>
    <mergeCell ref="A8:B8"/>
  </mergeCells>
  <pageMargins left="0.7" right="0.7" top="0.75" bottom="0.75" header="0.3" footer="0.3"/>
  <ignoredErrors>
    <ignoredError sqref="AA2:AB2 AA3:AA72 AB3:AB72" formula="1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FE1C-783B-48D3-93C7-C7F411355DE8}">
  <dimension ref="A1:AM300"/>
  <sheetViews>
    <sheetView topLeftCell="P1" workbookViewId="0">
      <selection activeCell="F7" sqref="F7"/>
    </sheetView>
  </sheetViews>
  <sheetFormatPr defaultRowHeight="14.4" x14ac:dyDescent="0.3"/>
  <cols>
    <col min="1" max="1" width="33.109375" customWidth="1"/>
    <col min="4" max="4" width="9.6640625" customWidth="1"/>
    <col min="6" max="6" width="14.21875" customWidth="1"/>
    <col min="7" max="7" width="19.109375" customWidth="1"/>
    <col min="8" max="8" width="18.5546875" customWidth="1"/>
    <col min="9" max="9" width="15.5546875" customWidth="1"/>
    <col min="10" max="10" width="17.77734375" customWidth="1"/>
    <col min="15" max="15" width="13.44140625" customWidth="1"/>
    <col min="16" max="16" width="12.88671875" customWidth="1"/>
    <col min="34" max="34" width="23.21875" customWidth="1"/>
    <col min="38" max="38" width="14.77734375" customWidth="1"/>
  </cols>
  <sheetData>
    <row r="1" spans="1:39" x14ac:dyDescent="0.3">
      <c r="A1" t="s">
        <v>151</v>
      </c>
      <c r="D1" s="25" t="s">
        <v>168</v>
      </c>
      <c r="E1" s="25">
        <v>0.5</v>
      </c>
      <c r="F1" s="1" t="s">
        <v>325</v>
      </c>
      <c r="G1" s="1" t="s">
        <v>182</v>
      </c>
      <c r="H1" s="1" t="s">
        <v>183</v>
      </c>
      <c r="I1" s="1" t="s">
        <v>317</v>
      </c>
      <c r="J1" s="1" t="s">
        <v>318</v>
      </c>
      <c r="K1" s="1" t="s">
        <v>175</v>
      </c>
      <c r="L1" s="1" t="s">
        <v>319</v>
      </c>
      <c r="M1" s="1" t="s">
        <v>178</v>
      </c>
      <c r="N1" s="1" t="s">
        <v>179</v>
      </c>
      <c r="O1" s="1" t="s">
        <v>320</v>
      </c>
      <c r="P1" s="1" t="s">
        <v>321</v>
      </c>
      <c r="AH1" s="121"/>
      <c r="AI1" s="121"/>
      <c r="AJ1" s="121"/>
      <c r="AL1" s="121"/>
      <c r="AM1" s="121"/>
    </row>
    <row r="2" spans="1:39" x14ac:dyDescent="0.3">
      <c r="A2" t="s">
        <v>152</v>
      </c>
      <c r="B2">
        <f>'Input + Tire Forces'!B2</f>
        <v>700</v>
      </c>
      <c r="F2">
        <v>0</v>
      </c>
      <c r="G2">
        <f t="shared" ref="G2:G42" si="0">(2*F2*$B$30)*($B$13*$B$14/$B$26)*($B$15/$B$3)*($B$28/(2*$B$6))*$E$1</f>
        <v>0</v>
      </c>
      <c r="H2">
        <f t="shared" ref="H2:H42" si="1">(2*$B$30*F2)*($B$20*$B$22/$B$26)*($B$21/$B$3)*($B$28/(2*$B$6))*(1-$E$1)</f>
        <v>0</v>
      </c>
      <c r="I2">
        <f>(G2+H2)/$B$2</f>
        <v>0</v>
      </c>
      <c r="J2">
        <f>I2*(($B$2*$B$4)/$B$5)</f>
        <v>0</v>
      </c>
      <c r="K2">
        <f>$B$2*I2</f>
        <v>0</v>
      </c>
      <c r="L2">
        <f>$B$2</f>
        <v>700</v>
      </c>
      <c r="M2">
        <f>'Input + Tire Forces'!$L$15+J2</f>
        <v>336</v>
      </c>
      <c r="N2">
        <f>'Input + Tire Forces'!$L$16-J2</f>
        <v>364</v>
      </c>
      <c r="O2">
        <f>G2/M2</f>
        <v>0</v>
      </c>
      <c r="P2">
        <f>H2/N2</f>
        <v>0</v>
      </c>
    </row>
    <row r="3" spans="1:39" x14ac:dyDescent="0.3">
      <c r="A3" t="s">
        <v>153</v>
      </c>
      <c r="B3">
        <f>'Input + Tire Forces'!L2</f>
        <v>1.7</v>
      </c>
      <c r="F3">
        <f>F2+5</f>
        <v>5</v>
      </c>
      <c r="G3">
        <f t="shared" si="0"/>
        <v>25.711567198501839</v>
      </c>
      <c r="H3">
        <f t="shared" si="1"/>
        <v>6.4496383442265808</v>
      </c>
      <c r="I3">
        <f t="shared" ref="I3:I42" si="2">(G3+H3)/$B$2</f>
        <v>4.5944579346754881E-2</v>
      </c>
      <c r="J3">
        <f t="shared" ref="J3:J42" si="3">I3*(($B$2*$B$4)/$B$5)</f>
        <v>5.1879715170565186</v>
      </c>
      <c r="K3">
        <f t="shared" ref="K3:K42" si="4">$B$2*I3</f>
        <v>32.161205542728418</v>
      </c>
      <c r="L3">
        <f t="shared" ref="L3:L42" si="5">$B$2</f>
        <v>700</v>
      </c>
      <c r="M3">
        <f>'Input + Tire Forces'!$L$15+J3</f>
        <v>341.1879715170565</v>
      </c>
      <c r="N3">
        <f>'Input + Tire Forces'!$L$16-J3</f>
        <v>358.8120284829435</v>
      </c>
      <c r="O3">
        <f t="shared" ref="O3:O42" si="6">G3/M3</f>
        <v>7.5358949743093387E-2</v>
      </c>
      <c r="P3">
        <f t="shared" ref="P3:P42" si="7">H3/N3</f>
        <v>1.7974978072768738E-2</v>
      </c>
    </row>
    <row r="4" spans="1:39" x14ac:dyDescent="0.3">
      <c r="A4" t="s">
        <v>4</v>
      </c>
      <c r="B4">
        <f>'Input + Tire Forces'!B8</f>
        <v>9.84</v>
      </c>
      <c r="F4">
        <f t="shared" ref="F4:F42" si="8">F3+5</f>
        <v>10</v>
      </c>
      <c r="G4">
        <f t="shared" si="0"/>
        <v>51.423134397003679</v>
      </c>
      <c r="H4">
        <f t="shared" si="1"/>
        <v>12.899276688453162</v>
      </c>
      <c r="I4">
        <f t="shared" si="2"/>
        <v>9.1889158693509762E-2</v>
      </c>
      <c r="J4">
        <f t="shared" si="3"/>
        <v>10.375943034113037</v>
      </c>
      <c r="K4">
        <f t="shared" si="4"/>
        <v>64.322411085456835</v>
      </c>
      <c r="L4">
        <f t="shared" si="5"/>
        <v>700</v>
      </c>
      <c r="M4">
        <f>'Input + Tire Forces'!$L$15+J4</f>
        <v>346.37594303411305</v>
      </c>
      <c r="N4">
        <f>'Input + Tire Forces'!$L$16-J4</f>
        <v>353.62405696588695</v>
      </c>
      <c r="O4">
        <f t="shared" si="6"/>
        <v>0.14846046739435145</v>
      </c>
      <c r="P4">
        <f t="shared" si="7"/>
        <v>3.6477373171750913E-2</v>
      </c>
    </row>
    <row r="5" spans="1:39" x14ac:dyDescent="0.3">
      <c r="A5" t="s">
        <v>3</v>
      </c>
      <c r="B5">
        <f>'Input + Tire Forces'!B5</f>
        <v>61</v>
      </c>
      <c r="D5" t="s">
        <v>324</v>
      </c>
      <c r="F5">
        <f t="shared" si="8"/>
        <v>15</v>
      </c>
      <c r="G5">
        <f t="shared" si="0"/>
        <v>77.134701595505518</v>
      </c>
      <c r="H5">
        <f t="shared" si="1"/>
        <v>19.348915032679738</v>
      </c>
      <c r="I5">
        <f t="shared" si="2"/>
        <v>0.13783373804026466</v>
      </c>
      <c r="J5">
        <f t="shared" si="3"/>
        <v>15.563914551169558</v>
      </c>
      <c r="K5">
        <f t="shared" si="4"/>
        <v>96.48361662818526</v>
      </c>
      <c r="L5">
        <f t="shared" si="5"/>
        <v>700</v>
      </c>
      <c r="M5">
        <f>'Input + Tire Forces'!$L$15+J5</f>
        <v>351.56391455116955</v>
      </c>
      <c r="N5">
        <f>'Input + Tire Forces'!$L$16-J5</f>
        <v>348.43608544883045</v>
      </c>
      <c r="O5">
        <f t="shared" si="6"/>
        <v>0.21940449062862705</v>
      </c>
      <c r="P5">
        <f t="shared" si="7"/>
        <v>5.5530743917513163E-2</v>
      </c>
    </row>
    <row r="6" spans="1:39" x14ac:dyDescent="0.3">
      <c r="A6" t="s">
        <v>154</v>
      </c>
      <c r="B6">
        <f>'Input + Tire Forces'!B9</f>
        <v>9</v>
      </c>
      <c r="D6" t="s">
        <v>323</v>
      </c>
      <c r="F6">
        <f t="shared" si="8"/>
        <v>20</v>
      </c>
      <c r="G6">
        <f t="shared" si="0"/>
        <v>102.84626879400736</v>
      </c>
      <c r="H6">
        <f t="shared" si="1"/>
        <v>25.798553376906323</v>
      </c>
      <c r="I6">
        <f t="shared" si="2"/>
        <v>0.18377831738701952</v>
      </c>
      <c r="J6">
        <f t="shared" si="3"/>
        <v>20.751886068226074</v>
      </c>
      <c r="K6">
        <f t="shared" si="4"/>
        <v>128.64482217091367</v>
      </c>
      <c r="L6">
        <f t="shared" si="5"/>
        <v>700</v>
      </c>
      <c r="M6">
        <f>'Input + Tire Forces'!$L$15+J6</f>
        <v>356.7518860682261</v>
      </c>
      <c r="N6">
        <f>'Input + Tire Forces'!$L$16-J6</f>
        <v>343.2481139317739</v>
      </c>
      <c r="O6">
        <f t="shared" si="6"/>
        <v>0.28828514385019616</v>
      </c>
      <c r="P6">
        <f t="shared" si="7"/>
        <v>7.5160073223400736E-2</v>
      </c>
    </row>
    <row r="7" spans="1:39" x14ac:dyDescent="0.3">
      <c r="A7" t="s">
        <v>88</v>
      </c>
      <c r="B7">
        <f>'Input + Tire Forces'!B11</f>
        <v>29.279999999999998</v>
      </c>
      <c r="F7">
        <f t="shared" si="8"/>
        <v>25</v>
      </c>
      <c r="G7">
        <f t="shared" si="0"/>
        <v>128.55783599250921</v>
      </c>
      <c r="H7">
        <f t="shared" si="1"/>
        <v>32.248191721132905</v>
      </c>
      <c r="I7">
        <f t="shared" si="2"/>
        <v>0.22972289673377447</v>
      </c>
      <c r="J7">
        <f t="shared" si="3"/>
        <v>25.939857585282599</v>
      </c>
      <c r="K7">
        <f t="shared" si="4"/>
        <v>160.80602771364212</v>
      </c>
      <c r="L7">
        <f t="shared" si="5"/>
        <v>700</v>
      </c>
      <c r="M7">
        <f>'Input + Tire Forces'!$L$15+J7</f>
        <v>361.9398575852826</v>
      </c>
      <c r="N7">
        <f>'Input + Tire Forces'!$L$16-J7</f>
        <v>338.0601424147174</v>
      </c>
      <c r="O7">
        <f t="shared" si="6"/>
        <v>0.35519115482388558</v>
      </c>
      <c r="P7">
        <f t="shared" si="7"/>
        <v>9.5391877583640816E-2</v>
      </c>
    </row>
    <row r="8" spans="1:39" x14ac:dyDescent="0.3">
      <c r="A8" t="s">
        <v>85</v>
      </c>
      <c r="B8">
        <f>'Input + Tire Forces'!B10</f>
        <v>31.720000000000002</v>
      </c>
      <c r="F8">
        <f t="shared" si="8"/>
        <v>30</v>
      </c>
      <c r="G8">
        <f t="shared" si="0"/>
        <v>154.26940319101104</v>
      </c>
      <c r="H8">
        <f t="shared" si="1"/>
        <v>38.697830065359476</v>
      </c>
      <c r="I8">
        <f t="shared" si="2"/>
        <v>0.27566747608052933</v>
      </c>
      <c r="J8">
        <f t="shared" si="3"/>
        <v>31.127829102339117</v>
      </c>
      <c r="K8">
        <f t="shared" si="4"/>
        <v>192.96723325637052</v>
      </c>
      <c r="L8">
        <f t="shared" si="5"/>
        <v>700</v>
      </c>
      <c r="M8">
        <f>'Input + Tire Forces'!$L$15+J8</f>
        <v>367.12782910233909</v>
      </c>
      <c r="N8">
        <f>'Input + Tire Forces'!$L$16-J8</f>
        <v>332.87217089766091</v>
      </c>
      <c r="O8">
        <f t="shared" si="6"/>
        <v>0.42020623598111251</v>
      </c>
      <c r="P8">
        <f t="shared" si="7"/>
        <v>0.11625432658128948</v>
      </c>
    </row>
    <row r="9" spans="1:39" x14ac:dyDescent="0.3">
      <c r="F9">
        <f t="shared" si="8"/>
        <v>35</v>
      </c>
      <c r="G9">
        <f t="shared" si="0"/>
        <v>179.98097038951283</v>
      </c>
      <c r="H9">
        <f t="shared" si="1"/>
        <v>45.147468409586054</v>
      </c>
      <c r="I9">
        <f t="shared" si="2"/>
        <v>0.3216120554272841</v>
      </c>
      <c r="J9">
        <f t="shared" si="3"/>
        <v>36.315800619395624</v>
      </c>
      <c r="K9">
        <f t="shared" si="4"/>
        <v>225.12843879909889</v>
      </c>
      <c r="L9">
        <f t="shared" si="5"/>
        <v>700</v>
      </c>
      <c r="M9">
        <f>'Input + Tire Forces'!$L$15+J9</f>
        <v>372.31580061939565</v>
      </c>
      <c r="N9">
        <f>'Input + Tire Forces'!$L$16-J9</f>
        <v>327.68419938060435</v>
      </c>
      <c r="O9">
        <f t="shared" si="6"/>
        <v>0.48340943384645813</v>
      </c>
      <c r="P9">
        <f t="shared" si="7"/>
        <v>0.13777737374864202</v>
      </c>
    </row>
    <row r="10" spans="1:39" x14ac:dyDescent="0.3">
      <c r="A10" t="str">
        <f>'Braking + Initial DF Sim'!A10</f>
        <v>Front Calipers (CP4227-2S0)</v>
      </c>
      <c r="F10">
        <f t="shared" si="8"/>
        <v>40</v>
      </c>
      <c r="G10">
        <f t="shared" si="0"/>
        <v>205.69253758801472</v>
      </c>
      <c r="H10">
        <f t="shared" si="1"/>
        <v>51.597106753812646</v>
      </c>
      <c r="I10">
        <f t="shared" si="2"/>
        <v>0.36755663477403905</v>
      </c>
      <c r="J10">
        <f t="shared" si="3"/>
        <v>41.503772136452149</v>
      </c>
      <c r="K10">
        <f t="shared" si="4"/>
        <v>257.28964434182734</v>
      </c>
      <c r="L10">
        <f t="shared" si="5"/>
        <v>700</v>
      </c>
      <c r="M10">
        <f>'Input + Tire Forces'!$L$15+J10</f>
        <v>377.50377213645214</v>
      </c>
      <c r="N10">
        <f>'Input + Tire Forces'!$L$16-J10</f>
        <v>322.49622786354786</v>
      </c>
      <c r="O10">
        <f t="shared" si="6"/>
        <v>0.54487544965157408</v>
      </c>
      <c r="P10">
        <f t="shared" si="7"/>
        <v>0.15999290005849004</v>
      </c>
    </row>
    <row r="11" spans="1:39" x14ac:dyDescent="0.3">
      <c r="A11" t="str">
        <f>'Braking + Initial DF Sim'!A11</f>
        <v>Area of brake pad (in^2)</v>
      </c>
      <c r="B11">
        <f>'Braking + Initial DF Sim'!B11</f>
        <v>1.45</v>
      </c>
      <c r="F11">
        <f t="shared" si="8"/>
        <v>45</v>
      </c>
      <c r="G11">
        <f t="shared" si="0"/>
        <v>231.40410478651657</v>
      </c>
      <c r="H11">
        <f t="shared" si="1"/>
        <v>58.046745098039217</v>
      </c>
      <c r="I11">
        <f t="shared" si="2"/>
        <v>0.41350121412079399</v>
      </c>
      <c r="J11">
        <f t="shared" si="3"/>
        <v>46.691743653508674</v>
      </c>
      <c r="K11">
        <f t="shared" si="4"/>
        <v>289.45084988455579</v>
      </c>
      <c r="L11">
        <f t="shared" si="5"/>
        <v>700</v>
      </c>
      <c r="M11">
        <f>'Input + Tire Forces'!$L$15+J11</f>
        <v>382.69174365350869</v>
      </c>
      <c r="N11">
        <f>'Input + Tire Forces'!$L$16-J11</f>
        <v>317.30825634649131</v>
      </c>
      <c r="O11">
        <f t="shared" si="6"/>
        <v>0.60467493387061721</v>
      </c>
      <c r="P11">
        <f t="shared" si="7"/>
        <v>0.18293487149182111</v>
      </c>
    </row>
    <row r="12" spans="1:39" x14ac:dyDescent="0.3">
      <c r="A12" t="str">
        <f>'Braking + Initial DF Sim'!A12</f>
        <v>Piston Diameter (in)</v>
      </c>
      <c r="B12">
        <f>'Braking + Initial DF Sim'!B12</f>
        <v>1</v>
      </c>
      <c r="F12">
        <f t="shared" si="8"/>
        <v>50</v>
      </c>
      <c r="G12">
        <f t="shared" si="0"/>
        <v>257.11567198501842</v>
      </c>
      <c r="H12">
        <f t="shared" si="1"/>
        <v>64.49638344226581</v>
      </c>
      <c r="I12">
        <f t="shared" si="2"/>
        <v>0.45944579346754894</v>
      </c>
      <c r="J12">
        <f t="shared" si="3"/>
        <v>51.879715170565198</v>
      </c>
      <c r="K12">
        <f t="shared" si="4"/>
        <v>321.61205542728425</v>
      </c>
      <c r="L12">
        <f t="shared" si="5"/>
        <v>700</v>
      </c>
      <c r="M12">
        <f>'Input + Tire Forces'!$L$15+J12</f>
        <v>387.87971517056519</v>
      </c>
      <c r="N12">
        <f>'Input + Tire Forces'!$L$16-J12</f>
        <v>312.12028482943481</v>
      </c>
      <c r="O12">
        <f t="shared" si="6"/>
        <v>0.66287475711885335</v>
      </c>
      <c r="P12">
        <f t="shared" si="7"/>
        <v>0.20663951231978184</v>
      </c>
    </row>
    <row r="13" spans="1:39" x14ac:dyDescent="0.3">
      <c r="A13" t="str">
        <f>'Braking + Initial DF Sim'!A13</f>
        <v>Piston Area (in^2)</v>
      </c>
      <c r="B13">
        <f>'Braking + Initial DF Sim'!B13</f>
        <v>3.1309999999999998</v>
      </c>
      <c r="F13">
        <f t="shared" si="8"/>
        <v>55</v>
      </c>
      <c r="G13">
        <f t="shared" si="0"/>
        <v>282.82723918352025</v>
      </c>
      <c r="H13">
        <f t="shared" si="1"/>
        <v>70.946021786492381</v>
      </c>
      <c r="I13">
        <f t="shared" si="2"/>
        <v>0.50539037281430377</v>
      </c>
      <c r="J13">
        <f t="shared" si="3"/>
        <v>57.067686687621709</v>
      </c>
      <c r="K13">
        <f t="shared" si="4"/>
        <v>353.77326097001264</v>
      </c>
      <c r="L13">
        <f t="shared" si="5"/>
        <v>700</v>
      </c>
      <c r="M13">
        <f>'Input + Tire Forces'!$L$15+J13</f>
        <v>393.06768668762169</v>
      </c>
      <c r="N13">
        <f>'Input + Tire Forces'!$L$16-J13</f>
        <v>306.93231331237831</v>
      </c>
      <c r="O13">
        <f t="shared" si="6"/>
        <v>0.71953825959824669</v>
      </c>
      <c r="P13">
        <f t="shared" si="7"/>
        <v>0.2311454959591939</v>
      </c>
    </row>
    <row r="14" spans="1:39" x14ac:dyDescent="0.3">
      <c r="A14" t="str">
        <f>'Braking + Initial DF Sim'!A14</f>
        <v>Pad COF</v>
      </c>
      <c r="B14">
        <f>'Braking + Initial DF Sim'!B14</f>
        <v>0.3</v>
      </c>
      <c r="F14">
        <f t="shared" si="8"/>
        <v>60</v>
      </c>
      <c r="G14">
        <f t="shared" si="0"/>
        <v>308.53880638202207</v>
      </c>
      <c r="H14">
        <f t="shared" si="1"/>
        <v>77.395660130718952</v>
      </c>
      <c r="I14">
        <f t="shared" si="2"/>
        <v>0.55133495216105866</v>
      </c>
      <c r="J14">
        <f t="shared" si="3"/>
        <v>62.255658204678234</v>
      </c>
      <c r="K14">
        <f t="shared" si="4"/>
        <v>385.93446651274104</v>
      </c>
      <c r="L14">
        <f t="shared" si="5"/>
        <v>700</v>
      </c>
      <c r="M14">
        <f>'Input + Tire Forces'!$L$15+J14</f>
        <v>398.25565820467824</v>
      </c>
      <c r="N14">
        <f>'Input + Tire Forces'!$L$16-J14</f>
        <v>301.74434179532176</v>
      </c>
      <c r="O14">
        <f t="shared" si="6"/>
        <v>0.77472548104627958</v>
      </c>
      <c r="P14">
        <f t="shared" si="7"/>
        <v>0.25649415551665167</v>
      </c>
    </row>
    <row r="15" spans="1:39" x14ac:dyDescent="0.3">
      <c r="A15" t="str">
        <f>'Braking + Initial DF Sim'!A15</f>
        <v># of Pistons</v>
      </c>
      <c r="B15">
        <f>'Braking + Initial DF Sim'!B15</f>
        <v>4</v>
      </c>
      <c r="F15">
        <f t="shared" si="8"/>
        <v>65</v>
      </c>
      <c r="G15">
        <f t="shared" si="0"/>
        <v>334.25037358052396</v>
      </c>
      <c r="H15">
        <f t="shared" si="1"/>
        <v>83.845298474945537</v>
      </c>
      <c r="I15">
        <f t="shared" si="2"/>
        <v>0.59727953150781354</v>
      </c>
      <c r="J15">
        <f t="shared" si="3"/>
        <v>67.443629721734752</v>
      </c>
      <c r="K15">
        <f t="shared" si="4"/>
        <v>418.09567205546949</v>
      </c>
      <c r="L15">
        <f t="shared" si="5"/>
        <v>700</v>
      </c>
      <c r="M15">
        <f>'Input + Tire Forces'!$L$15+J15</f>
        <v>403.44362972173474</v>
      </c>
      <c r="N15">
        <f>'Input + Tire Forces'!$L$16-J15</f>
        <v>296.55637027826526</v>
      </c>
      <c r="O15">
        <f t="shared" si="6"/>
        <v>0.82849337294299297</v>
      </c>
      <c r="P15">
        <f t="shared" si="7"/>
        <v>0.28272971643223066</v>
      </c>
    </row>
    <row r="16" spans="1:39" x14ac:dyDescent="0.3">
      <c r="F16">
        <f t="shared" si="8"/>
        <v>70</v>
      </c>
      <c r="G16">
        <f t="shared" si="0"/>
        <v>359.96194077902567</v>
      </c>
      <c r="H16">
        <f t="shared" si="1"/>
        <v>90.294936819172108</v>
      </c>
      <c r="I16">
        <f t="shared" si="2"/>
        <v>0.64322411085456821</v>
      </c>
      <c r="J16">
        <f t="shared" si="3"/>
        <v>72.631601238791248</v>
      </c>
      <c r="K16">
        <f t="shared" si="4"/>
        <v>450.25687759819778</v>
      </c>
      <c r="L16">
        <f t="shared" si="5"/>
        <v>700</v>
      </c>
      <c r="M16">
        <f>'Input + Tire Forces'!$L$15+J16</f>
        <v>408.63160123879123</v>
      </c>
      <c r="N16">
        <f>'Input + Tire Forces'!$L$16-J16</f>
        <v>291.36839876120877</v>
      </c>
      <c r="O16">
        <f t="shared" si="6"/>
        <v>0.88089599455298961</v>
      </c>
      <c r="P16">
        <f t="shared" si="7"/>
        <v>0.30989955397727742</v>
      </c>
    </row>
    <row r="17" spans="1:16" x14ac:dyDescent="0.3">
      <c r="A17" t="str">
        <f>'Braking + Initial DF Sim'!A17</f>
        <v>Rear Calipers (CP4226-2S0)</v>
      </c>
      <c r="F17">
        <f t="shared" si="8"/>
        <v>75</v>
      </c>
      <c r="G17">
        <f t="shared" si="0"/>
        <v>385.67350797752761</v>
      </c>
      <c r="H17">
        <f t="shared" si="1"/>
        <v>96.744575163398707</v>
      </c>
      <c r="I17">
        <f t="shared" si="2"/>
        <v>0.68916869020132332</v>
      </c>
      <c r="J17">
        <f t="shared" si="3"/>
        <v>77.819572755847787</v>
      </c>
      <c r="K17">
        <f t="shared" si="4"/>
        <v>482.41808314092634</v>
      </c>
      <c r="L17">
        <f t="shared" si="5"/>
        <v>700</v>
      </c>
      <c r="M17">
        <f>'Input + Tire Forces'!$L$15+J17</f>
        <v>413.81957275584779</v>
      </c>
      <c r="N17">
        <f>'Input + Tire Forces'!$L$16-J17</f>
        <v>286.18042724415221</v>
      </c>
      <c r="O17">
        <f t="shared" si="6"/>
        <v>0.93198469422100949</v>
      </c>
      <c r="P17">
        <f t="shared" si="7"/>
        <v>0.33805447876021921</v>
      </c>
    </row>
    <row r="18" spans="1:16" x14ac:dyDescent="0.3">
      <c r="A18" t="str">
        <f>'Braking + Initial DF Sim'!A18</f>
        <v>Area of brake pad (in^2)</v>
      </c>
      <c r="B18">
        <f>'Braking + Initial DF Sim'!B18</f>
        <v>1.45</v>
      </c>
      <c r="F18">
        <f t="shared" si="8"/>
        <v>80</v>
      </c>
      <c r="G18">
        <f t="shared" si="0"/>
        <v>411.38507517602943</v>
      </c>
      <c r="H18">
        <f t="shared" si="1"/>
        <v>103.19421350762529</v>
      </c>
      <c r="I18">
        <f t="shared" si="2"/>
        <v>0.7351132695480781</v>
      </c>
      <c r="J18">
        <f t="shared" si="3"/>
        <v>83.007544272904298</v>
      </c>
      <c r="K18">
        <f t="shared" si="4"/>
        <v>514.57928868365468</v>
      </c>
      <c r="L18">
        <f t="shared" si="5"/>
        <v>700</v>
      </c>
      <c r="M18">
        <f>'Input + Tire Forces'!$L$15+J18</f>
        <v>419.00754427290428</v>
      </c>
      <c r="N18">
        <f>'Input + Tire Forces'!$L$16-J18</f>
        <v>280.99245572709572</v>
      </c>
      <c r="O18">
        <f t="shared" si="6"/>
        <v>0.98180827719915642</v>
      </c>
      <c r="P18">
        <f t="shared" si="7"/>
        <v>0.36724905386018308</v>
      </c>
    </row>
    <row r="19" spans="1:16" x14ac:dyDescent="0.3">
      <c r="A19" t="str">
        <f>'Braking + Initial DF Sim'!A19</f>
        <v>Piston Diameter (in)</v>
      </c>
      <c r="B19">
        <f>'Braking + Initial DF Sim'!B19</f>
        <v>1</v>
      </c>
      <c r="F19">
        <f t="shared" si="8"/>
        <v>85</v>
      </c>
      <c r="G19">
        <f t="shared" si="0"/>
        <v>437.09664237453131</v>
      </c>
      <c r="H19">
        <f t="shared" si="1"/>
        <v>109.64385185185185</v>
      </c>
      <c r="I19">
        <f t="shared" si="2"/>
        <v>0.7810578488948331</v>
      </c>
      <c r="J19">
        <f t="shared" si="3"/>
        <v>88.195515789960822</v>
      </c>
      <c r="K19">
        <f t="shared" si="4"/>
        <v>546.74049422638313</v>
      </c>
      <c r="L19">
        <f t="shared" si="5"/>
        <v>700</v>
      </c>
      <c r="M19">
        <f>'Input + Tire Forces'!$L$15+J19</f>
        <v>424.19551578996084</v>
      </c>
      <c r="N19">
        <f>'Input + Tire Forces'!$L$16-J19</f>
        <v>275.80448421003916</v>
      </c>
      <c r="O19">
        <f t="shared" si="6"/>
        <v>1.0304131611588239</v>
      </c>
      <c r="P19">
        <f t="shared" si="7"/>
        <v>0.39754194775293239</v>
      </c>
    </row>
    <row r="20" spans="1:16" x14ac:dyDescent="0.3">
      <c r="A20" t="str">
        <f>'Braking + Initial DF Sim'!A20</f>
        <v>Piston Area</v>
      </c>
      <c r="B20">
        <f>'Braking + Initial DF Sim'!B20</f>
        <v>1.5707963267948966</v>
      </c>
      <c r="F20">
        <f t="shared" si="8"/>
        <v>90</v>
      </c>
      <c r="G20">
        <f t="shared" si="0"/>
        <v>462.80820957303314</v>
      </c>
      <c r="H20">
        <f t="shared" si="1"/>
        <v>116.09349019607843</v>
      </c>
      <c r="I20">
        <f t="shared" si="2"/>
        <v>0.82700242824158798</v>
      </c>
      <c r="J20">
        <f t="shared" si="3"/>
        <v>93.383487307017347</v>
      </c>
      <c r="K20">
        <f t="shared" si="4"/>
        <v>578.90169976911159</v>
      </c>
      <c r="L20">
        <f t="shared" si="5"/>
        <v>700</v>
      </c>
      <c r="M20">
        <f>'Input + Tire Forces'!$L$15+J20</f>
        <v>429.38348730701733</v>
      </c>
      <c r="N20">
        <f>'Input + Tire Forces'!$L$16-J20</f>
        <v>270.61651269298267</v>
      </c>
      <c r="O20">
        <f t="shared" si="6"/>
        <v>1.0778435204288992</v>
      </c>
      <c r="P20">
        <f t="shared" si="7"/>
        <v>0.42899632783232167</v>
      </c>
    </row>
    <row r="21" spans="1:16" x14ac:dyDescent="0.3">
      <c r="A21" t="str">
        <f>'Braking + Initial DF Sim'!A21</f>
        <v>Pad COF</v>
      </c>
      <c r="B21">
        <f>'Braking + Initial DF Sim'!B21</f>
        <v>0.3</v>
      </c>
      <c r="F21">
        <f t="shared" si="8"/>
        <v>95</v>
      </c>
      <c r="G21">
        <f t="shared" si="0"/>
        <v>488.51977677153502</v>
      </c>
      <c r="H21">
        <f t="shared" si="1"/>
        <v>122.54312854030501</v>
      </c>
      <c r="I21">
        <f t="shared" si="2"/>
        <v>0.87294700758834287</v>
      </c>
      <c r="J21">
        <f t="shared" si="3"/>
        <v>98.571458824073872</v>
      </c>
      <c r="K21">
        <f t="shared" si="4"/>
        <v>611.06290531184004</v>
      </c>
      <c r="L21">
        <f t="shared" si="5"/>
        <v>700</v>
      </c>
      <c r="M21">
        <f>'Input + Tire Forces'!$L$15+J21</f>
        <v>434.57145882407389</v>
      </c>
      <c r="N21">
        <f>'Input + Tire Forces'!$L$16-J21</f>
        <v>265.42854117592611</v>
      </c>
      <c r="O21">
        <f t="shared" si="6"/>
        <v>1.1241414199023614</v>
      </c>
      <c r="P21">
        <f t="shared" si="7"/>
        <v>0.4616803000815326</v>
      </c>
    </row>
    <row r="22" spans="1:16" x14ac:dyDescent="0.3">
      <c r="A22" t="str">
        <f>'Braking + Initial DF Sim'!A22</f>
        <v># of Pistons</v>
      </c>
      <c r="B22">
        <f>'Braking + Initial DF Sim'!B22</f>
        <v>2</v>
      </c>
      <c r="F22">
        <f t="shared" si="8"/>
        <v>100</v>
      </c>
      <c r="G22">
        <f t="shared" si="0"/>
        <v>514.23134397003685</v>
      </c>
      <c r="H22">
        <f t="shared" si="1"/>
        <v>128.99276688453162</v>
      </c>
      <c r="I22">
        <f t="shared" si="2"/>
        <v>0.91889158693509787</v>
      </c>
      <c r="J22">
        <f t="shared" si="3"/>
        <v>103.7594303411304</v>
      </c>
      <c r="K22">
        <f t="shared" si="4"/>
        <v>643.22411085456849</v>
      </c>
      <c r="L22">
        <f t="shared" si="5"/>
        <v>700</v>
      </c>
      <c r="M22">
        <f>'Input + Tire Forces'!$L$15+J22</f>
        <v>439.75943034113038</v>
      </c>
      <c r="N22">
        <f>'Input + Tire Forces'!$L$16-J22</f>
        <v>260.24056965886962</v>
      </c>
      <c r="O22">
        <f t="shared" si="6"/>
        <v>1.1693469394644638</v>
      </c>
      <c r="P22">
        <f t="shared" si="7"/>
        <v>0.49566740133415338</v>
      </c>
    </row>
    <row r="23" spans="1:16" x14ac:dyDescent="0.3">
      <c r="F23">
        <f>F22+5</f>
        <v>105</v>
      </c>
      <c r="G23">
        <f t="shared" si="0"/>
        <v>539.94291116853856</v>
      </c>
      <c r="H23">
        <f t="shared" si="1"/>
        <v>135.44240522875816</v>
      </c>
      <c r="I23">
        <f t="shared" si="2"/>
        <v>0.96483616628185243</v>
      </c>
      <c r="J23">
        <f t="shared" si="3"/>
        <v>108.94740185818688</v>
      </c>
      <c r="K23">
        <f t="shared" si="4"/>
        <v>675.38531639729672</v>
      </c>
      <c r="L23">
        <f t="shared" si="5"/>
        <v>700</v>
      </c>
      <c r="M23">
        <f>'Input + Tire Forces'!$L$15+J23</f>
        <v>444.94740185818688</v>
      </c>
      <c r="N23">
        <f>'Input + Tire Forces'!$L$16-J23</f>
        <v>255.05259814181312</v>
      </c>
      <c r="O23">
        <f t="shared" si="6"/>
        <v>1.2134982897161146</v>
      </c>
      <c r="P23">
        <f t="shared" si="7"/>
        <v>0.53103715161313558</v>
      </c>
    </row>
    <row r="24" spans="1:16" x14ac:dyDescent="0.3">
      <c r="A24" t="str">
        <f>'Braking + Initial DF Sim'!A24</f>
        <v>Master Cylinder:</v>
      </c>
      <c r="F24">
        <f t="shared" si="8"/>
        <v>110</v>
      </c>
      <c r="G24">
        <f t="shared" si="0"/>
        <v>565.6544783670405</v>
      </c>
      <c r="H24">
        <f t="shared" si="1"/>
        <v>141.89204357298476</v>
      </c>
      <c r="I24">
        <f t="shared" si="2"/>
        <v>1.0107807456286075</v>
      </c>
      <c r="J24">
        <f t="shared" si="3"/>
        <v>114.13537337524342</v>
      </c>
      <c r="K24">
        <f t="shared" si="4"/>
        <v>707.54652194002529</v>
      </c>
      <c r="L24">
        <f t="shared" si="5"/>
        <v>700</v>
      </c>
      <c r="M24">
        <f>'Input + Tire Forces'!$L$15+J24</f>
        <v>450.13537337524343</v>
      </c>
      <c r="N24">
        <f>'Input + Tire Forces'!$L$16-J24</f>
        <v>249.86462662475657</v>
      </c>
      <c r="O24">
        <f t="shared" si="6"/>
        <v>1.2566319196947395</v>
      </c>
      <c r="P24">
        <f t="shared" si="7"/>
        <v>0.56787567527946392</v>
      </c>
    </row>
    <row r="25" spans="1:16" x14ac:dyDescent="0.3">
      <c r="A25" t="str">
        <f>'Braking + Initial DF Sim'!A25</f>
        <v>Bore (in)</v>
      </c>
      <c r="B25">
        <f>'Braking + Initial DF Sim'!B25</f>
        <v>0.9375</v>
      </c>
      <c r="F25">
        <f t="shared" si="8"/>
        <v>115</v>
      </c>
      <c r="G25">
        <f t="shared" si="0"/>
        <v>591.36604556554232</v>
      </c>
      <c r="H25">
        <f t="shared" si="1"/>
        <v>148.34168191721133</v>
      </c>
      <c r="I25">
        <f t="shared" si="2"/>
        <v>1.0567253249753623</v>
      </c>
      <c r="J25">
        <f t="shared" si="3"/>
        <v>119.32334489229993</v>
      </c>
      <c r="K25">
        <f t="shared" si="4"/>
        <v>739.70772748275363</v>
      </c>
      <c r="L25">
        <f t="shared" si="5"/>
        <v>700</v>
      </c>
      <c r="M25">
        <f>'Input + Tire Forces'!$L$15+J25</f>
        <v>455.32334489229993</v>
      </c>
      <c r="N25">
        <f>'Input + Tire Forces'!$L$16-J25</f>
        <v>244.67665510770007</v>
      </c>
      <c r="O25">
        <f t="shared" si="6"/>
        <v>1.2987826172308852</v>
      </c>
      <c r="P25">
        <f t="shared" si="7"/>
        <v>0.60627640120352033</v>
      </c>
    </row>
    <row r="26" spans="1:16" x14ac:dyDescent="0.3">
      <c r="A26" t="str">
        <f>'Braking + Initial DF Sim'!A26</f>
        <v>Area (in^2)</v>
      </c>
      <c r="B26">
        <f>'Braking + Initial DF Sim'!B26</f>
        <v>0.69029135454853852</v>
      </c>
      <c r="F26">
        <f t="shared" si="8"/>
        <v>120</v>
      </c>
      <c r="G26">
        <f t="shared" si="0"/>
        <v>617.07761276404415</v>
      </c>
      <c r="H26">
        <f t="shared" si="1"/>
        <v>154.7913202614379</v>
      </c>
      <c r="I26">
        <f t="shared" si="2"/>
        <v>1.1026699043221173</v>
      </c>
      <c r="J26">
        <f t="shared" si="3"/>
        <v>124.51131640935647</v>
      </c>
      <c r="K26">
        <f t="shared" si="4"/>
        <v>771.86893302548208</v>
      </c>
      <c r="L26">
        <f t="shared" si="5"/>
        <v>700</v>
      </c>
      <c r="M26">
        <f>'Input + Tire Forces'!$L$15+J26</f>
        <v>460.51131640935648</v>
      </c>
      <c r="N26">
        <f>'Input + Tire Forces'!$L$16-J26</f>
        <v>239.48868359064352</v>
      </c>
      <c r="O26">
        <f t="shared" si="6"/>
        <v>1.3399836025213183</v>
      </c>
      <c r="P26">
        <f t="shared" si="7"/>
        <v>0.64634085394206653</v>
      </c>
    </row>
    <row r="27" spans="1:16" x14ac:dyDescent="0.3">
      <c r="F27">
        <f t="shared" si="8"/>
        <v>125</v>
      </c>
      <c r="G27">
        <f t="shared" si="0"/>
        <v>642.78917996254597</v>
      </c>
      <c r="H27">
        <f t="shared" si="1"/>
        <v>161.2409586056645</v>
      </c>
      <c r="I27">
        <f t="shared" si="2"/>
        <v>1.1486144836688721</v>
      </c>
      <c r="J27">
        <f t="shared" si="3"/>
        <v>129.69928792641298</v>
      </c>
      <c r="K27">
        <f t="shared" si="4"/>
        <v>804.03013856821042</v>
      </c>
      <c r="L27">
        <f t="shared" si="5"/>
        <v>700</v>
      </c>
      <c r="M27">
        <f>'Input + Tire Forces'!$L$15+J27</f>
        <v>465.69928792641298</v>
      </c>
      <c r="N27">
        <f>'Input + Tire Forces'!$L$16-J27</f>
        <v>234.30071207358702</v>
      </c>
      <c r="O27">
        <f t="shared" si="6"/>
        <v>1.3802666154475969</v>
      </c>
      <c r="P27">
        <f t="shared" si="7"/>
        <v>0.68817955002639264</v>
      </c>
    </row>
    <row r="28" spans="1:16" x14ac:dyDescent="0.3">
      <c r="A28" t="str">
        <f>'Braking + Initial DF Sim'!A28</f>
        <v>Rotor Diameter (in):</v>
      </c>
      <c r="B28">
        <f>'Braking + Initial DF Sim'!B28</f>
        <v>7</v>
      </c>
      <c r="F28">
        <f t="shared" si="8"/>
        <v>130</v>
      </c>
      <c r="G28">
        <f t="shared" si="0"/>
        <v>668.50074716104791</v>
      </c>
      <c r="H28">
        <f t="shared" si="1"/>
        <v>167.69059694989107</v>
      </c>
      <c r="I28">
        <f t="shared" si="2"/>
        <v>1.1945590630156271</v>
      </c>
      <c r="J28">
        <f t="shared" si="3"/>
        <v>134.8872594434695</v>
      </c>
      <c r="K28">
        <f t="shared" si="4"/>
        <v>836.19134411093899</v>
      </c>
      <c r="L28">
        <f t="shared" si="5"/>
        <v>700</v>
      </c>
      <c r="M28">
        <f>'Input + Tire Forces'!$L$15+J28</f>
        <v>470.88725944346947</v>
      </c>
      <c r="N28">
        <f>'Input + Tire Forces'!$L$16-J28</f>
        <v>229.1127405565305</v>
      </c>
      <c r="O28">
        <f t="shared" si="6"/>
        <v>1.4196619971224813</v>
      </c>
      <c r="P28">
        <f t="shared" si="7"/>
        <v>0.73191301602241399</v>
      </c>
    </row>
    <row r="29" spans="1:16" x14ac:dyDescent="0.3">
      <c r="F29">
        <f t="shared" si="8"/>
        <v>135</v>
      </c>
      <c r="G29">
        <f t="shared" si="0"/>
        <v>694.21231435954962</v>
      </c>
      <c r="H29">
        <f t="shared" si="1"/>
        <v>174.14023529411764</v>
      </c>
      <c r="I29">
        <f t="shared" si="2"/>
        <v>1.2405036423623816</v>
      </c>
      <c r="J29">
        <f t="shared" si="3"/>
        <v>140.07523096052597</v>
      </c>
      <c r="K29">
        <f t="shared" si="4"/>
        <v>868.3525496536671</v>
      </c>
      <c r="L29">
        <f t="shared" si="5"/>
        <v>700</v>
      </c>
      <c r="M29">
        <f>'Input + Tire Forces'!$L$15+J29</f>
        <v>476.07523096052597</v>
      </c>
      <c r="N29">
        <f>'Input + Tire Forces'!$L$16-J29</f>
        <v>223.92476903947403</v>
      </c>
      <c r="O29">
        <f t="shared" si="6"/>
        <v>1.4581987661044911</v>
      </c>
      <c r="P29">
        <f t="shared" si="7"/>
        <v>0.777672948111514</v>
      </c>
    </row>
    <row r="30" spans="1:16" x14ac:dyDescent="0.3">
      <c r="A30" t="str">
        <f>'Braking + Initial DF Sim'!A30</f>
        <v>Brake Pedal Ratio</v>
      </c>
      <c r="B30">
        <f>'Braking + Initial DF Sim'!B30</f>
        <v>4.13</v>
      </c>
      <c r="F30">
        <f t="shared" si="8"/>
        <v>140</v>
      </c>
      <c r="G30">
        <f t="shared" si="0"/>
        <v>719.92388155805133</v>
      </c>
      <c r="H30">
        <f t="shared" si="1"/>
        <v>180.58987363834422</v>
      </c>
      <c r="I30">
        <f t="shared" si="2"/>
        <v>1.2864482217091364</v>
      </c>
      <c r="J30">
        <f t="shared" si="3"/>
        <v>145.2632024775825</v>
      </c>
      <c r="K30">
        <f t="shared" si="4"/>
        <v>900.51375519639555</v>
      </c>
      <c r="L30">
        <f t="shared" si="5"/>
        <v>700</v>
      </c>
      <c r="M30">
        <f>'Input + Tire Forces'!$L$15+J30</f>
        <v>481.26320247758247</v>
      </c>
      <c r="N30">
        <f>'Input + Tire Forces'!$L$16-J30</f>
        <v>218.7367975224175</v>
      </c>
      <c r="O30">
        <f t="shared" si="6"/>
        <v>1.4959046896829513</v>
      </c>
      <c r="P30">
        <f t="shared" si="7"/>
        <v>0.82560353668813424</v>
      </c>
    </row>
    <row r="31" spans="1:16" x14ac:dyDescent="0.3">
      <c r="F31">
        <f t="shared" si="8"/>
        <v>145</v>
      </c>
      <c r="G31">
        <f t="shared" si="0"/>
        <v>745.63544875655339</v>
      </c>
      <c r="H31">
        <f t="shared" si="1"/>
        <v>187.03951198257084</v>
      </c>
      <c r="I31">
        <f t="shared" si="2"/>
        <v>1.3323928010558919</v>
      </c>
      <c r="J31">
        <f t="shared" si="3"/>
        <v>150.45117399463908</v>
      </c>
      <c r="K31">
        <f t="shared" si="4"/>
        <v>932.67496073912434</v>
      </c>
      <c r="L31">
        <f t="shared" si="5"/>
        <v>700</v>
      </c>
      <c r="M31">
        <f>'Input + Tire Forces'!$L$15+J31</f>
        <v>486.45117399463908</v>
      </c>
      <c r="N31">
        <f>'Input + Tire Forces'!$L$16-J31</f>
        <v>213.54882600536092</v>
      </c>
      <c r="O31">
        <f t="shared" si="6"/>
        <v>1.5328063506015315</v>
      </c>
      <c r="P31">
        <f t="shared" si="7"/>
        <v>0.87586298403661278</v>
      </c>
    </row>
    <row r="32" spans="1:16" x14ac:dyDescent="0.3">
      <c r="F32">
        <f t="shared" si="8"/>
        <v>150</v>
      </c>
      <c r="G32">
        <f t="shared" si="0"/>
        <v>771.34701595505521</v>
      </c>
      <c r="H32">
        <f t="shared" si="1"/>
        <v>193.48915032679741</v>
      </c>
      <c r="I32">
        <f t="shared" si="2"/>
        <v>1.3783373804026466</v>
      </c>
      <c r="J32">
        <f t="shared" si="3"/>
        <v>155.63914551169557</v>
      </c>
      <c r="K32">
        <f t="shared" si="4"/>
        <v>964.83616628185268</v>
      </c>
      <c r="L32">
        <f t="shared" si="5"/>
        <v>700</v>
      </c>
      <c r="M32">
        <f>'Input + Tire Forces'!$L$15+J32</f>
        <v>491.63914551169557</v>
      </c>
      <c r="N32">
        <f>'Input + Tire Forces'!$L$16-J32</f>
        <v>208.36085448830443</v>
      </c>
      <c r="O32">
        <f t="shared" si="6"/>
        <v>1.5689292095572274</v>
      </c>
      <c r="P32">
        <f t="shared" si="7"/>
        <v>0.92862524873960051</v>
      </c>
    </row>
    <row r="33" spans="4:16" x14ac:dyDescent="0.3">
      <c r="F33">
        <f>F32+5</f>
        <v>155</v>
      </c>
      <c r="G33">
        <f t="shared" si="0"/>
        <v>797.05858315355704</v>
      </c>
      <c r="H33">
        <f t="shared" si="1"/>
        <v>199.93878867102399</v>
      </c>
      <c r="I33">
        <f t="shared" si="2"/>
        <v>1.4242819597494014</v>
      </c>
      <c r="J33">
        <f t="shared" si="3"/>
        <v>160.8271170287521</v>
      </c>
      <c r="K33">
        <f t="shared" si="4"/>
        <v>996.99737182458102</v>
      </c>
      <c r="L33">
        <f t="shared" si="5"/>
        <v>700</v>
      </c>
      <c r="M33">
        <f>'Input + Tire Forces'!$L$15+J33</f>
        <v>496.82711702875213</v>
      </c>
      <c r="N33">
        <f>'Input + Tire Forces'!$L$16-J33</f>
        <v>203.1728829712479</v>
      </c>
      <c r="O33">
        <f t="shared" si="6"/>
        <v>1.6042976637835773</v>
      </c>
      <c r="P33">
        <f t="shared" si="7"/>
        <v>0.98408205734482002</v>
      </c>
    </row>
    <row r="34" spans="4:16" x14ac:dyDescent="0.3">
      <c r="F34">
        <f t="shared" si="8"/>
        <v>160</v>
      </c>
      <c r="G34">
        <f t="shared" si="0"/>
        <v>822.77015035205886</v>
      </c>
      <c r="H34">
        <f t="shared" si="1"/>
        <v>206.38842701525058</v>
      </c>
      <c r="I34">
        <f t="shared" si="2"/>
        <v>1.4702265390961562</v>
      </c>
      <c r="J34">
        <f t="shared" si="3"/>
        <v>166.0150885458086</v>
      </c>
      <c r="K34">
        <f t="shared" si="4"/>
        <v>1029.1585773673094</v>
      </c>
      <c r="L34">
        <f t="shared" si="5"/>
        <v>700</v>
      </c>
      <c r="M34">
        <f>'Input + Tire Forces'!$L$15+J34</f>
        <v>502.01508854580857</v>
      </c>
      <c r="N34">
        <f>'Input + Tire Forces'!$L$16-J34</f>
        <v>197.9849114541914</v>
      </c>
      <c r="O34">
        <f t="shared" si="6"/>
        <v>1.6389351020013845</v>
      </c>
      <c r="P34">
        <f t="shared" si="7"/>
        <v>1.0424452323125823</v>
      </c>
    </row>
    <row r="35" spans="4:16" x14ac:dyDescent="0.3">
      <c r="F35">
        <f t="shared" si="8"/>
        <v>165</v>
      </c>
      <c r="G35">
        <f t="shared" si="0"/>
        <v>848.48171755056069</v>
      </c>
      <c r="H35">
        <f t="shared" si="1"/>
        <v>212.8380653594771</v>
      </c>
      <c r="I35">
        <f t="shared" si="2"/>
        <v>1.516171118442911</v>
      </c>
      <c r="J35">
        <f t="shared" si="3"/>
        <v>171.20306006286509</v>
      </c>
      <c r="K35">
        <f t="shared" si="4"/>
        <v>1061.3197829100377</v>
      </c>
      <c r="L35">
        <f t="shared" si="5"/>
        <v>700</v>
      </c>
      <c r="M35">
        <f>'Input + Tire Forces'!$L$15+J35</f>
        <v>507.20306006286512</v>
      </c>
      <c r="N35">
        <f>'Input + Tire Forces'!$L$16-J35</f>
        <v>192.79693993713491</v>
      </c>
      <c r="O35">
        <f t="shared" si="6"/>
        <v>1.672863955997024</v>
      </c>
      <c r="P35">
        <f t="shared" si="7"/>
        <v>1.1039493958196482</v>
      </c>
    </row>
    <row r="36" spans="4:16" x14ac:dyDescent="0.3">
      <c r="F36">
        <f t="shared" si="8"/>
        <v>170</v>
      </c>
      <c r="G36">
        <f t="shared" si="0"/>
        <v>874.19328474906263</v>
      </c>
      <c r="H36">
        <f t="shared" si="1"/>
        <v>219.2877037037037</v>
      </c>
      <c r="I36">
        <f t="shared" si="2"/>
        <v>1.5621156977896662</v>
      </c>
      <c r="J36">
        <f t="shared" si="3"/>
        <v>176.39103157992164</v>
      </c>
      <c r="K36">
        <f t="shared" si="4"/>
        <v>1093.4809884527663</v>
      </c>
      <c r="L36">
        <f t="shared" si="5"/>
        <v>700</v>
      </c>
      <c r="M36">
        <f>'Input + Tire Forces'!$L$15+J36</f>
        <v>512.39103157992167</v>
      </c>
      <c r="N36">
        <f>'Input + Tire Forces'!$L$16-J36</f>
        <v>187.60896842007836</v>
      </c>
      <c r="O36">
        <f t="shared" si="6"/>
        <v>1.7061057490673659</v>
      </c>
      <c r="P36">
        <f t="shared" si="7"/>
        <v>1.1688551221746124</v>
      </c>
    </row>
    <row r="37" spans="4:16" x14ac:dyDescent="0.3">
      <c r="F37">
        <f t="shared" si="8"/>
        <v>175</v>
      </c>
      <c r="G37">
        <f t="shared" si="0"/>
        <v>899.90485194756445</v>
      </c>
      <c r="H37">
        <f t="shared" si="1"/>
        <v>225.7373420479303</v>
      </c>
      <c r="I37">
        <f t="shared" si="2"/>
        <v>1.6080602771364212</v>
      </c>
      <c r="J37">
        <f t="shared" si="3"/>
        <v>181.5790030969782</v>
      </c>
      <c r="K37">
        <f t="shared" si="4"/>
        <v>1125.6421939954948</v>
      </c>
      <c r="L37">
        <f t="shared" si="5"/>
        <v>700</v>
      </c>
      <c r="M37">
        <f>'Input + Tire Forces'!$L$15+J37</f>
        <v>517.57900309697823</v>
      </c>
      <c r="N37">
        <f>'Input + Tire Forces'!$L$16-J37</f>
        <v>182.4209969030218</v>
      </c>
      <c r="O37">
        <f t="shared" si="6"/>
        <v>1.738681141551158</v>
      </c>
      <c r="P37">
        <f t="shared" si="7"/>
        <v>1.2374526281529763</v>
      </c>
    </row>
    <row r="38" spans="4:16" x14ac:dyDescent="0.3">
      <c r="F38">
        <f t="shared" si="8"/>
        <v>180</v>
      </c>
      <c r="G38">
        <f t="shared" si="0"/>
        <v>925.61641914606628</v>
      </c>
      <c r="H38">
        <f t="shared" si="1"/>
        <v>232.18698039215687</v>
      </c>
      <c r="I38">
        <f t="shared" si="2"/>
        <v>1.654004856483176</v>
      </c>
      <c r="J38">
        <f t="shared" si="3"/>
        <v>186.76697461403469</v>
      </c>
      <c r="K38">
        <f t="shared" si="4"/>
        <v>1157.8033995382232</v>
      </c>
      <c r="L38">
        <f t="shared" si="5"/>
        <v>700</v>
      </c>
      <c r="M38">
        <f>'Input + Tire Forces'!$L$15+J38</f>
        <v>522.76697461403467</v>
      </c>
      <c r="N38">
        <f>'Input + Tire Forces'!$L$16-J38</f>
        <v>177.23302538596531</v>
      </c>
      <c r="O38">
        <f t="shared" si="6"/>
        <v>1.7706099736492733</v>
      </c>
      <c r="P38">
        <f t="shared" si="7"/>
        <v>1.310066111473958</v>
      </c>
    </row>
    <row r="39" spans="4:16" x14ac:dyDescent="0.3">
      <c r="F39">
        <f t="shared" si="8"/>
        <v>185</v>
      </c>
      <c r="G39">
        <f t="shared" si="0"/>
        <v>951.32798634456799</v>
      </c>
      <c r="H39">
        <f t="shared" si="1"/>
        <v>238.63661873638347</v>
      </c>
      <c r="I39">
        <f t="shared" si="2"/>
        <v>1.6999494358299307</v>
      </c>
      <c r="J39">
        <f t="shared" si="3"/>
        <v>191.95494613109119</v>
      </c>
      <c r="K39">
        <f t="shared" si="4"/>
        <v>1189.9646050809515</v>
      </c>
      <c r="L39">
        <f t="shared" si="5"/>
        <v>700</v>
      </c>
      <c r="M39">
        <f>'Input + Tire Forces'!$L$15+J39</f>
        <v>527.95494613109122</v>
      </c>
      <c r="N39">
        <f>'Input + Tire Forces'!$L$16-J39</f>
        <v>172.04505386890881</v>
      </c>
      <c r="O39">
        <f t="shared" si="6"/>
        <v>1.8019113057203053</v>
      </c>
      <c r="P39">
        <f t="shared" si="7"/>
        <v>1.3870588742307852</v>
      </c>
    </row>
    <row r="40" spans="4:16" x14ac:dyDescent="0.3">
      <c r="F40">
        <f t="shared" si="8"/>
        <v>190</v>
      </c>
      <c r="G40">
        <f t="shared" si="0"/>
        <v>977.03955354307004</v>
      </c>
      <c r="H40">
        <f t="shared" si="1"/>
        <v>245.08625708061001</v>
      </c>
      <c r="I40">
        <f t="shared" si="2"/>
        <v>1.7458940151766857</v>
      </c>
      <c r="J40">
        <f t="shared" si="3"/>
        <v>197.14291764814774</v>
      </c>
      <c r="K40">
        <f t="shared" si="4"/>
        <v>1222.1258106236801</v>
      </c>
      <c r="L40">
        <f t="shared" si="5"/>
        <v>700</v>
      </c>
      <c r="M40">
        <f>'Input + Tire Forces'!$L$15+J40</f>
        <v>533.14291764814777</v>
      </c>
      <c r="N40">
        <f>'Input + Tire Forces'!$L$16-J40</f>
        <v>166.85708235185226</v>
      </c>
      <c r="O40">
        <f t="shared" si="6"/>
        <v>1.8326034562234881</v>
      </c>
      <c r="P40">
        <f t="shared" si="7"/>
        <v>1.4688394021165703</v>
      </c>
    </row>
    <row r="41" spans="4:16" x14ac:dyDescent="0.3">
      <c r="F41">
        <f t="shared" si="8"/>
        <v>195</v>
      </c>
      <c r="G41">
        <f t="shared" si="0"/>
        <v>1002.7511207415718</v>
      </c>
      <c r="H41">
        <f t="shared" si="1"/>
        <v>251.53589542483661</v>
      </c>
      <c r="I41">
        <f t="shared" si="2"/>
        <v>1.7918385945234405</v>
      </c>
      <c r="J41">
        <f t="shared" si="3"/>
        <v>202.33088916520424</v>
      </c>
      <c r="K41">
        <f t="shared" si="4"/>
        <v>1254.2870161664084</v>
      </c>
      <c r="L41">
        <f t="shared" si="5"/>
        <v>700</v>
      </c>
      <c r="M41">
        <f>'Input + Tire Forces'!$L$15+J41</f>
        <v>538.33088916520421</v>
      </c>
      <c r="N41">
        <f>'Input + Tire Forces'!$L$16-J41</f>
        <v>161.66911083479576</v>
      </c>
      <c r="O41">
        <f t="shared" si="6"/>
        <v>1.8627040374676422</v>
      </c>
      <c r="P41">
        <f t="shared" si="7"/>
        <v>1.5558686141465372</v>
      </c>
    </row>
    <row r="42" spans="4:16" x14ac:dyDescent="0.3">
      <c r="F42">
        <f t="shared" si="8"/>
        <v>200</v>
      </c>
      <c r="G42">
        <f t="shared" si="0"/>
        <v>1028.4626879400737</v>
      </c>
      <c r="H42">
        <f t="shared" si="1"/>
        <v>257.98553376906324</v>
      </c>
      <c r="I42">
        <f t="shared" si="2"/>
        <v>1.8377831738701957</v>
      </c>
      <c r="J42">
        <f t="shared" si="3"/>
        <v>207.51886068226079</v>
      </c>
      <c r="K42">
        <f t="shared" si="4"/>
        <v>1286.448221709137</v>
      </c>
      <c r="L42">
        <f t="shared" si="5"/>
        <v>700</v>
      </c>
      <c r="M42">
        <f>'Input + Tire Forces'!$L$15+J42</f>
        <v>543.51886068226077</v>
      </c>
      <c r="N42">
        <f>'Input + Tire Forces'!$L$16-J42</f>
        <v>156.48113931773921</v>
      </c>
      <c r="O42">
        <f t="shared" si="6"/>
        <v>1.8922299893127525</v>
      </c>
      <c r="P42">
        <f t="shared" si="7"/>
        <v>1.6486685545228337</v>
      </c>
    </row>
    <row r="44" spans="4:16" x14ac:dyDescent="0.3">
      <c r="D44" s="25" t="s">
        <v>168</v>
      </c>
      <c r="E44" s="25">
        <v>0.55000000000000004</v>
      </c>
      <c r="F44" s="1" t="s">
        <v>173</v>
      </c>
      <c r="G44" s="1" t="s">
        <v>182</v>
      </c>
      <c r="H44" s="1" t="s">
        <v>183</v>
      </c>
      <c r="I44" s="1" t="s">
        <v>317</v>
      </c>
      <c r="J44" s="1" t="s">
        <v>318</v>
      </c>
      <c r="K44" s="1" t="s">
        <v>175</v>
      </c>
      <c r="L44" s="1" t="s">
        <v>319</v>
      </c>
      <c r="M44" s="1" t="s">
        <v>178</v>
      </c>
      <c r="N44" s="1" t="s">
        <v>179</v>
      </c>
      <c r="O44" s="1" t="s">
        <v>320</v>
      </c>
      <c r="P44" s="1" t="s">
        <v>321</v>
      </c>
    </row>
    <row r="45" spans="4:16" x14ac:dyDescent="0.3">
      <c r="F45">
        <v>0</v>
      </c>
      <c r="G45">
        <f t="shared" ref="G45:G85" si="9">(2*F45*$B$30)*($B$13*$B$14/$B$26)*($B$15/$B$3)*($B$28/(2*$B$6))*$E$44</f>
        <v>0</v>
      </c>
      <c r="H45">
        <f t="shared" ref="H45:H85" si="10">(2*$B$30*F45)*($B$20*$B$22/$B$26)*($B$21/$B$3)*($B$28/(2*$B$6))*(1-$E$44)</f>
        <v>0</v>
      </c>
      <c r="I45">
        <f>(G45+H45)/$B$2</f>
        <v>0</v>
      </c>
      <c r="J45">
        <f>I45*(($B$2*$B$4)/$B$5)</f>
        <v>0</v>
      </c>
      <c r="K45">
        <f>$B$2*I45</f>
        <v>0</v>
      </c>
      <c r="L45">
        <f>$B$2</f>
        <v>700</v>
      </c>
      <c r="M45">
        <f>'Input + Tire Forces'!$L$15+J45</f>
        <v>336</v>
      </c>
      <c r="N45">
        <f>'Input + Tire Forces'!$L$16-J45</f>
        <v>364</v>
      </c>
      <c r="O45">
        <f>G45/M45</f>
        <v>0</v>
      </c>
      <c r="P45">
        <f>H45/N45</f>
        <v>0</v>
      </c>
    </row>
    <row r="46" spans="4:16" x14ac:dyDescent="0.3">
      <c r="F46">
        <f>F45+5</f>
        <v>5</v>
      </c>
      <c r="G46">
        <f t="shared" si="9"/>
        <v>28.282723918352026</v>
      </c>
      <c r="H46">
        <f t="shared" si="10"/>
        <v>5.8046745098039221</v>
      </c>
      <c r="I46">
        <f t="shared" ref="I46:I85" si="11">(G46+H46)/$B$2</f>
        <v>4.8696283468794212E-2</v>
      </c>
      <c r="J46">
        <f t="shared" ref="J46:J85" si="12">I46*(($B$2*$B$4)/$B$5)</f>
        <v>5.498688533328763</v>
      </c>
      <c r="K46">
        <f t="shared" ref="K46:K85" si="13">$B$2*I46</f>
        <v>34.08739842815595</v>
      </c>
      <c r="L46">
        <f t="shared" ref="L46:L85" si="14">$B$2</f>
        <v>700</v>
      </c>
      <c r="M46">
        <f>'Input + Tire Forces'!$L$15+J46</f>
        <v>341.49868853332879</v>
      </c>
      <c r="N46">
        <f>'Input + Tire Forces'!$L$16-J46</f>
        <v>358.50131146667121</v>
      </c>
      <c r="O46">
        <f t="shared" ref="O46:O85" si="15">G46/M46</f>
        <v>8.2819421766510692E-2</v>
      </c>
      <c r="P46">
        <f t="shared" ref="P46:P85" si="16">H46/N46</f>
        <v>1.6191501464963443E-2</v>
      </c>
    </row>
    <row r="47" spans="4:16" x14ac:dyDescent="0.3">
      <c r="F47">
        <f t="shared" ref="F47:F65" si="17">F46+5</f>
        <v>10</v>
      </c>
      <c r="G47">
        <f t="shared" si="9"/>
        <v>56.565447836704053</v>
      </c>
      <c r="H47">
        <f t="shared" si="10"/>
        <v>11.609349019607844</v>
      </c>
      <c r="I47">
        <f t="shared" si="11"/>
        <v>9.7392566937588423E-2</v>
      </c>
      <c r="J47">
        <f t="shared" si="12"/>
        <v>10.997377066657526</v>
      </c>
      <c r="K47">
        <f t="shared" si="13"/>
        <v>68.1747968563119</v>
      </c>
      <c r="L47">
        <f t="shared" si="14"/>
        <v>700</v>
      </c>
      <c r="M47">
        <f>'Input + Tire Forces'!$L$15+J47</f>
        <v>346.99737706665752</v>
      </c>
      <c r="N47">
        <f>'Input + Tire Forces'!$L$16-J47</f>
        <v>353.00262293334248</v>
      </c>
      <c r="O47">
        <f t="shared" si="15"/>
        <v>0.16301405017778547</v>
      </c>
      <c r="P47">
        <f t="shared" si="16"/>
        <v>3.2887429909550667E-2</v>
      </c>
    </row>
    <row r="48" spans="4:16" x14ac:dyDescent="0.3">
      <c r="F48">
        <f t="shared" si="17"/>
        <v>15</v>
      </c>
      <c r="G48">
        <f t="shared" si="9"/>
        <v>84.848171755056072</v>
      </c>
      <c r="H48">
        <f t="shared" si="10"/>
        <v>17.414023529411761</v>
      </c>
      <c r="I48">
        <f t="shared" si="11"/>
        <v>0.14608885040638261</v>
      </c>
      <c r="J48">
        <f t="shared" si="12"/>
        <v>16.496065599986288</v>
      </c>
      <c r="K48">
        <f t="shared" si="13"/>
        <v>102.26219528446784</v>
      </c>
      <c r="L48">
        <f t="shared" si="14"/>
        <v>700</v>
      </c>
      <c r="M48">
        <f>'Input + Tire Forces'!$L$15+J48</f>
        <v>352.49606559998631</v>
      </c>
      <c r="N48">
        <f>'Input + Tire Forces'!$L$16-J48</f>
        <v>347.50393440001369</v>
      </c>
      <c r="O48">
        <f t="shared" si="15"/>
        <v>0.24070671997610904</v>
      </c>
      <c r="P48">
        <f t="shared" si="16"/>
        <v>5.0111730560628363E-2</v>
      </c>
    </row>
    <row r="49" spans="6:16" x14ac:dyDescent="0.3">
      <c r="F49">
        <f t="shared" si="17"/>
        <v>20</v>
      </c>
      <c r="G49">
        <f t="shared" si="9"/>
        <v>113.13089567340811</v>
      </c>
      <c r="H49">
        <f t="shared" si="10"/>
        <v>23.218698039215688</v>
      </c>
      <c r="I49">
        <f t="shared" si="11"/>
        <v>0.19478513387517685</v>
      </c>
      <c r="J49">
        <f t="shared" si="12"/>
        <v>21.994754133315052</v>
      </c>
      <c r="K49">
        <f t="shared" si="13"/>
        <v>136.3495937126238</v>
      </c>
      <c r="L49">
        <f t="shared" si="14"/>
        <v>700</v>
      </c>
      <c r="M49">
        <f>'Input + Tire Forces'!$L$15+J49</f>
        <v>357.99475413331504</v>
      </c>
      <c r="N49">
        <f>'Input + Tire Forces'!$L$16-J49</f>
        <v>342.00524586668496</v>
      </c>
      <c r="O49">
        <f t="shared" si="15"/>
        <v>0.31601271908939443</v>
      </c>
      <c r="P49">
        <f t="shared" si="16"/>
        <v>6.788988859038271E-2</v>
      </c>
    </row>
    <row r="50" spans="6:16" x14ac:dyDescent="0.3">
      <c r="F50">
        <f t="shared" si="17"/>
        <v>25</v>
      </c>
      <c r="G50">
        <f t="shared" si="9"/>
        <v>141.41361959176015</v>
      </c>
      <c r="H50">
        <f t="shared" si="10"/>
        <v>29.023372549019612</v>
      </c>
      <c r="I50">
        <f t="shared" si="11"/>
        <v>0.24348141734397108</v>
      </c>
      <c r="J50">
        <f t="shared" si="12"/>
        <v>27.493442666643816</v>
      </c>
      <c r="K50">
        <f t="shared" si="13"/>
        <v>170.43699214077975</v>
      </c>
      <c r="L50">
        <f t="shared" si="14"/>
        <v>700</v>
      </c>
      <c r="M50">
        <f>'Input + Tire Forces'!$L$15+J50</f>
        <v>363.49344266664383</v>
      </c>
      <c r="N50">
        <f>'Input + Tire Forces'!$L$16-J50</f>
        <v>336.50655733335617</v>
      </c>
      <c r="O50">
        <f t="shared" si="15"/>
        <v>0.38904035944727938</v>
      </c>
      <c r="P50">
        <f t="shared" si="16"/>
        <v>8.6249054933773425E-2</v>
      </c>
    </row>
    <row r="51" spans="6:16" x14ac:dyDescent="0.3">
      <c r="F51">
        <f t="shared" si="17"/>
        <v>30</v>
      </c>
      <c r="G51">
        <f t="shared" si="9"/>
        <v>169.69634351011214</v>
      </c>
      <c r="H51">
        <f t="shared" si="10"/>
        <v>34.828047058823522</v>
      </c>
      <c r="I51">
        <f t="shared" si="11"/>
        <v>0.29217770081276523</v>
      </c>
      <c r="J51">
        <f t="shared" si="12"/>
        <v>32.992131199972576</v>
      </c>
      <c r="K51">
        <f t="shared" si="13"/>
        <v>204.52439056893567</v>
      </c>
      <c r="L51">
        <f t="shared" si="14"/>
        <v>700</v>
      </c>
      <c r="M51">
        <f>'Input + Tire Forces'!$L$15+J51</f>
        <v>368.99213119997256</v>
      </c>
      <c r="N51">
        <f>'Input + Tire Forces'!$L$16-J51</f>
        <v>331.00786880002744</v>
      </c>
      <c r="O51">
        <f t="shared" si="15"/>
        <v>0.45989149675971397</v>
      </c>
      <c r="P51">
        <f t="shared" si="16"/>
        <v>0.1052181846464329</v>
      </c>
    </row>
    <row r="52" spans="6:16" x14ac:dyDescent="0.3">
      <c r="F52">
        <f t="shared" si="17"/>
        <v>35</v>
      </c>
      <c r="G52">
        <f t="shared" si="9"/>
        <v>197.97906742846413</v>
      </c>
      <c r="H52">
        <f t="shared" si="10"/>
        <v>40.632721568627446</v>
      </c>
      <c r="I52">
        <f t="shared" si="11"/>
        <v>0.34087398428155941</v>
      </c>
      <c r="J52">
        <f t="shared" si="12"/>
        <v>38.490819733301329</v>
      </c>
      <c r="K52">
        <f t="shared" si="13"/>
        <v>238.61178899709159</v>
      </c>
      <c r="L52">
        <f t="shared" si="14"/>
        <v>700</v>
      </c>
      <c r="M52">
        <f>'Input + Tire Forces'!$L$15+J52</f>
        <v>374.49081973330135</v>
      </c>
      <c r="N52">
        <f>'Input + Tire Forces'!$L$16-J52</f>
        <v>325.50918026669865</v>
      </c>
      <c r="O52">
        <f t="shared" si="15"/>
        <v>0.52866200450376211</v>
      </c>
      <c r="P52">
        <f t="shared" si="16"/>
        <v>0.12482818928589337</v>
      </c>
    </row>
    <row r="53" spans="6:16" x14ac:dyDescent="0.3">
      <c r="F53">
        <f t="shared" si="17"/>
        <v>40</v>
      </c>
      <c r="G53">
        <f t="shared" si="9"/>
        <v>226.26179134681621</v>
      </c>
      <c r="H53">
        <f t="shared" si="10"/>
        <v>46.437396078431377</v>
      </c>
      <c r="I53">
        <f t="shared" si="11"/>
        <v>0.38957026775035369</v>
      </c>
      <c r="J53">
        <f t="shared" si="12"/>
        <v>43.989508266630104</v>
      </c>
      <c r="K53">
        <f t="shared" si="13"/>
        <v>272.6991874252476</v>
      </c>
      <c r="L53">
        <f t="shared" si="14"/>
        <v>700</v>
      </c>
      <c r="M53">
        <f>'Input + Tire Forces'!$L$15+J53</f>
        <v>379.98950826663008</v>
      </c>
      <c r="N53">
        <f>'Input + Tire Forces'!$L$16-J53</f>
        <v>320.01049173336992</v>
      </c>
      <c r="O53">
        <f t="shared" si="15"/>
        <v>0.59544220675707027</v>
      </c>
      <c r="P53">
        <f t="shared" si="16"/>
        <v>0.14511210500286542</v>
      </c>
    </row>
    <row r="54" spans="6:16" x14ac:dyDescent="0.3">
      <c r="F54">
        <f t="shared" si="17"/>
        <v>45</v>
      </c>
      <c r="G54">
        <f t="shared" si="9"/>
        <v>254.54451526516826</v>
      </c>
      <c r="H54">
        <f t="shared" si="10"/>
        <v>52.242070588235293</v>
      </c>
      <c r="I54">
        <f t="shared" si="11"/>
        <v>0.43826655121914793</v>
      </c>
      <c r="J54">
        <f t="shared" si="12"/>
        <v>49.488196799958871</v>
      </c>
      <c r="K54">
        <f t="shared" si="13"/>
        <v>306.78658585340355</v>
      </c>
      <c r="L54">
        <f t="shared" si="14"/>
        <v>700</v>
      </c>
      <c r="M54">
        <f>'Input + Tire Forces'!$L$15+J54</f>
        <v>385.48819679995887</v>
      </c>
      <c r="N54">
        <f>'Input + Tire Forces'!$L$16-J54</f>
        <v>314.51180320004113</v>
      </c>
      <c r="O54">
        <f t="shared" si="15"/>
        <v>0.66031727398714335</v>
      </c>
      <c r="P54">
        <f t="shared" si="16"/>
        <v>0.16610527826520841</v>
      </c>
    </row>
    <row r="55" spans="6:16" x14ac:dyDescent="0.3">
      <c r="F55">
        <f t="shared" si="17"/>
        <v>50</v>
      </c>
      <c r="G55">
        <f t="shared" si="9"/>
        <v>282.82723918352031</v>
      </c>
      <c r="H55">
        <f t="shared" si="10"/>
        <v>58.046745098039224</v>
      </c>
      <c r="I55">
        <f t="shared" si="11"/>
        <v>0.48696283468794216</v>
      </c>
      <c r="J55">
        <f t="shared" si="12"/>
        <v>54.986885333287631</v>
      </c>
      <c r="K55">
        <f t="shared" si="13"/>
        <v>340.8739842815595</v>
      </c>
      <c r="L55">
        <f t="shared" si="14"/>
        <v>700</v>
      </c>
      <c r="M55">
        <f>'Input + Tire Forces'!$L$15+J55</f>
        <v>390.98688533328766</v>
      </c>
      <c r="N55">
        <f>'Input + Tire Forces'!$L$16-J55</f>
        <v>309.01311466671234</v>
      </c>
      <c r="O55">
        <f t="shared" si="15"/>
        <v>0.72336758544325808</v>
      </c>
      <c r="P55">
        <f t="shared" si="16"/>
        <v>0.18784557141092809</v>
      </c>
    </row>
    <row r="56" spans="6:16" x14ac:dyDescent="0.3">
      <c r="F56">
        <f t="shared" si="17"/>
        <v>55</v>
      </c>
      <c r="G56">
        <f t="shared" si="9"/>
        <v>311.10996310187232</v>
      </c>
      <c r="H56">
        <f t="shared" si="10"/>
        <v>63.851419607843134</v>
      </c>
      <c r="I56">
        <f t="shared" si="11"/>
        <v>0.53565911815673639</v>
      </c>
      <c r="J56">
        <f t="shared" si="12"/>
        <v>60.485573866616399</v>
      </c>
      <c r="K56">
        <f t="shared" si="13"/>
        <v>374.96138270971545</v>
      </c>
      <c r="L56">
        <f t="shared" si="14"/>
        <v>700</v>
      </c>
      <c r="M56">
        <f>'Input + Tire Forces'!$L$15+J56</f>
        <v>396.48557386661639</v>
      </c>
      <c r="N56">
        <f>'Input + Tire Forces'!$L$16-J56</f>
        <v>303.51442613338361</v>
      </c>
      <c r="O56">
        <f t="shared" si="15"/>
        <v>0.78466906139322568</v>
      </c>
      <c r="P56">
        <f t="shared" si="16"/>
        <v>0.21037359054486177</v>
      </c>
    </row>
    <row r="57" spans="6:16" x14ac:dyDescent="0.3">
      <c r="F57">
        <f t="shared" si="17"/>
        <v>60</v>
      </c>
      <c r="G57">
        <f t="shared" si="9"/>
        <v>339.39268702022429</v>
      </c>
      <c r="H57">
        <f t="shared" si="10"/>
        <v>69.656094117647044</v>
      </c>
      <c r="I57">
        <f t="shared" si="11"/>
        <v>0.58435540162553046</v>
      </c>
      <c r="J57">
        <f t="shared" si="12"/>
        <v>65.984262399945152</v>
      </c>
      <c r="K57">
        <f t="shared" si="13"/>
        <v>409.04878113787134</v>
      </c>
      <c r="L57">
        <f t="shared" si="14"/>
        <v>700</v>
      </c>
      <c r="M57">
        <f>'Input + Tire Forces'!$L$15+J57</f>
        <v>401.98426239994512</v>
      </c>
      <c r="N57">
        <f>'Input + Tire Forces'!$L$16-J57</f>
        <v>298.01573760005488</v>
      </c>
      <c r="O57">
        <f t="shared" si="15"/>
        <v>0.84429346809242301</v>
      </c>
      <c r="P57">
        <f t="shared" si="16"/>
        <v>0.23373293866489492</v>
      </c>
    </row>
    <row r="58" spans="6:16" x14ac:dyDescent="0.3">
      <c r="F58">
        <f t="shared" si="17"/>
        <v>65</v>
      </c>
      <c r="G58">
        <f t="shared" si="9"/>
        <v>367.67541093857636</v>
      </c>
      <c r="H58">
        <f t="shared" si="10"/>
        <v>75.460768627450975</v>
      </c>
      <c r="I58">
        <f t="shared" si="11"/>
        <v>0.63305168509432475</v>
      </c>
      <c r="J58">
        <f t="shared" si="12"/>
        <v>71.482950933273912</v>
      </c>
      <c r="K58">
        <f t="shared" si="13"/>
        <v>443.13617956602729</v>
      </c>
      <c r="L58">
        <f t="shared" si="14"/>
        <v>700</v>
      </c>
      <c r="M58">
        <f>'Input + Tire Forces'!$L$15+J58</f>
        <v>407.48295093327391</v>
      </c>
      <c r="N58">
        <f>'Input + Tire Forces'!$L$16-J58</f>
        <v>292.51704906672609</v>
      </c>
      <c r="O58">
        <f t="shared" si="15"/>
        <v>0.90230869806080283</v>
      </c>
      <c r="P58">
        <f t="shared" si="16"/>
        <v>0.25797049733753336</v>
      </c>
    </row>
    <row r="59" spans="6:16" x14ac:dyDescent="0.3">
      <c r="F59">
        <f t="shared" si="17"/>
        <v>70</v>
      </c>
      <c r="G59">
        <f t="shared" si="9"/>
        <v>395.95813485692827</v>
      </c>
      <c r="H59">
        <f t="shared" si="10"/>
        <v>81.265443137254891</v>
      </c>
      <c r="I59">
        <f t="shared" si="11"/>
        <v>0.68174796856311881</v>
      </c>
      <c r="J59">
        <f t="shared" si="12"/>
        <v>76.981639466602658</v>
      </c>
      <c r="K59">
        <f t="shared" si="13"/>
        <v>477.22357799418319</v>
      </c>
      <c r="L59">
        <f t="shared" si="14"/>
        <v>700</v>
      </c>
      <c r="M59">
        <f>'Input + Tire Forces'!$L$15+J59</f>
        <v>412.98163946660264</v>
      </c>
      <c r="N59">
        <f>'Input + Tire Forces'!$L$16-J59</f>
        <v>287.01836053339736</v>
      </c>
      <c r="O59">
        <f t="shared" si="15"/>
        <v>0.95877902796922998</v>
      </c>
      <c r="P59">
        <f t="shared" si="16"/>
        <v>0.2831367407514645</v>
      </c>
    </row>
    <row r="60" spans="6:16" x14ac:dyDescent="0.3">
      <c r="F60">
        <f t="shared" si="17"/>
        <v>75</v>
      </c>
      <c r="G60">
        <f t="shared" si="9"/>
        <v>424.2408587752804</v>
      </c>
      <c r="H60">
        <f t="shared" si="10"/>
        <v>87.070117647058822</v>
      </c>
      <c r="I60">
        <f t="shared" si="11"/>
        <v>0.7304442520319131</v>
      </c>
      <c r="J60">
        <f t="shared" si="12"/>
        <v>82.480327999931433</v>
      </c>
      <c r="K60">
        <f t="shared" si="13"/>
        <v>511.31097642233919</v>
      </c>
      <c r="L60">
        <f t="shared" si="14"/>
        <v>700</v>
      </c>
      <c r="M60">
        <f>'Input + Tire Forces'!$L$15+J60</f>
        <v>418.48032799993143</v>
      </c>
      <c r="N60">
        <f>'Input + Tire Forces'!$L$16-J60</f>
        <v>281.51967200006857</v>
      </c>
      <c r="O60">
        <f t="shared" si="15"/>
        <v>1.0137653561945925</v>
      </c>
      <c r="P60">
        <f t="shared" si="16"/>
        <v>0.30928608657599466</v>
      </c>
    </row>
    <row r="61" spans="6:16" x14ac:dyDescent="0.3">
      <c r="F61">
        <f t="shared" si="17"/>
        <v>80</v>
      </c>
      <c r="G61">
        <f t="shared" si="9"/>
        <v>452.52358269363242</v>
      </c>
      <c r="H61">
        <f t="shared" si="10"/>
        <v>92.874792156862753</v>
      </c>
      <c r="I61">
        <f t="shared" si="11"/>
        <v>0.77914053550070739</v>
      </c>
      <c r="J61">
        <f t="shared" si="12"/>
        <v>87.979016533260207</v>
      </c>
      <c r="K61">
        <f t="shared" si="13"/>
        <v>545.3983748504952</v>
      </c>
      <c r="L61">
        <f t="shared" si="14"/>
        <v>700</v>
      </c>
      <c r="M61">
        <f>'Input + Tire Forces'!$L$15+J61</f>
        <v>423.97901653326022</v>
      </c>
      <c r="N61">
        <f>'Input + Tire Forces'!$L$16-J61</f>
        <v>276.02098346673978</v>
      </c>
      <c r="O61">
        <f t="shared" si="15"/>
        <v>1.0673254218894415</v>
      </c>
      <c r="P61">
        <f t="shared" si="16"/>
        <v>0.33647728875675881</v>
      </c>
    </row>
    <row r="62" spans="6:16" x14ac:dyDescent="0.3">
      <c r="F62">
        <f t="shared" si="17"/>
        <v>85</v>
      </c>
      <c r="G62">
        <f t="shared" si="9"/>
        <v>480.8063066119845</v>
      </c>
      <c r="H62">
        <f t="shared" si="10"/>
        <v>98.679466666666656</v>
      </c>
      <c r="I62">
        <f t="shared" si="11"/>
        <v>0.82783681896950156</v>
      </c>
      <c r="J62">
        <f t="shared" si="12"/>
        <v>93.477705066588967</v>
      </c>
      <c r="K62">
        <f t="shared" si="13"/>
        <v>579.4857732786511</v>
      </c>
      <c r="L62">
        <f t="shared" si="14"/>
        <v>700</v>
      </c>
      <c r="M62">
        <f>'Input + Tire Forces'!$L$15+J62</f>
        <v>429.47770506658895</v>
      </c>
      <c r="N62">
        <f>'Input + Tire Forces'!$L$16-J62</f>
        <v>270.52229493341105</v>
      </c>
      <c r="O62">
        <f t="shared" si="15"/>
        <v>1.1195140072228831</v>
      </c>
      <c r="P62">
        <f t="shared" si="16"/>
        <v>0.36477387821568114</v>
      </c>
    </row>
    <row r="63" spans="6:16" x14ac:dyDescent="0.3">
      <c r="F63">
        <f t="shared" si="17"/>
        <v>90</v>
      </c>
      <c r="G63">
        <f t="shared" si="9"/>
        <v>509.08903053033652</v>
      </c>
      <c r="H63">
        <f t="shared" si="10"/>
        <v>104.48414117647059</v>
      </c>
      <c r="I63">
        <f t="shared" si="11"/>
        <v>0.87653310243829585</v>
      </c>
      <c r="J63">
        <f t="shared" si="12"/>
        <v>98.976393599917742</v>
      </c>
      <c r="K63">
        <f t="shared" si="13"/>
        <v>613.5731717068071</v>
      </c>
      <c r="L63">
        <f t="shared" si="14"/>
        <v>700</v>
      </c>
      <c r="M63">
        <f>'Input + Tire Forces'!$L$15+J63</f>
        <v>434.97639359991774</v>
      </c>
      <c r="N63">
        <f>'Input + Tire Forces'!$L$16-J63</f>
        <v>265.02360640008226</v>
      </c>
      <c r="O63">
        <f t="shared" si="15"/>
        <v>1.1703831242818801</v>
      </c>
      <c r="P63">
        <f t="shared" si="16"/>
        <v>0.39424465841258038</v>
      </c>
    </row>
    <row r="64" spans="6:16" x14ac:dyDescent="0.3">
      <c r="F64">
        <f t="shared" si="17"/>
        <v>95</v>
      </c>
      <c r="G64">
        <f t="shared" si="9"/>
        <v>537.37175444868853</v>
      </c>
      <c r="H64">
        <f t="shared" si="10"/>
        <v>110.28881568627449</v>
      </c>
      <c r="I64">
        <f t="shared" si="11"/>
        <v>0.92522938590709003</v>
      </c>
      <c r="J64">
        <f t="shared" si="12"/>
        <v>104.4750821332465</v>
      </c>
      <c r="K64">
        <f t="shared" si="13"/>
        <v>647.660570134963</v>
      </c>
      <c r="L64">
        <f t="shared" si="14"/>
        <v>700</v>
      </c>
      <c r="M64">
        <f>'Input + Tire Forces'!$L$15+J64</f>
        <v>440.47508213324647</v>
      </c>
      <c r="N64">
        <f>'Input + Tire Forces'!$L$16-J64</f>
        <v>259.52491786675353</v>
      </c>
      <c r="O64">
        <f t="shared" si="15"/>
        <v>1.219982187973417</v>
      </c>
      <c r="P64">
        <f t="shared" si="16"/>
        <v>0.42496426390509245</v>
      </c>
    </row>
    <row r="65" spans="6:16" x14ac:dyDescent="0.3">
      <c r="F65">
        <f t="shared" si="17"/>
        <v>100</v>
      </c>
      <c r="G65">
        <f t="shared" si="9"/>
        <v>565.65447836704061</v>
      </c>
      <c r="H65">
        <f t="shared" si="10"/>
        <v>116.09349019607845</v>
      </c>
      <c r="I65">
        <f t="shared" si="11"/>
        <v>0.97392566937588432</v>
      </c>
      <c r="J65">
        <f t="shared" si="12"/>
        <v>109.97377066657526</v>
      </c>
      <c r="K65">
        <f t="shared" si="13"/>
        <v>681.747968563119</v>
      </c>
      <c r="L65">
        <f t="shared" si="14"/>
        <v>700</v>
      </c>
      <c r="M65">
        <f>'Input + Tire Forces'!$L$15+J65</f>
        <v>445.97377066657526</v>
      </c>
      <c r="N65">
        <f>'Input + Tire Forces'!$L$16-J65</f>
        <v>254.02622933342474</v>
      </c>
      <c r="O65">
        <f t="shared" si="15"/>
        <v>1.2683581761357499</v>
      </c>
      <c r="P65">
        <f t="shared" si="16"/>
        <v>0.45701379145260917</v>
      </c>
    </row>
    <row r="66" spans="6:16" x14ac:dyDescent="0.3">
      <c r="F66">
        <f>F65+5</f>
        <v>105</v>
      </c>
      <c r="G66">
        <f t="shared" si="9"/>
        <v>593.93720228539246</v>
      </c>
      <c r="H66">
        <f t="shared" si="10"/>
        <v>121.89816470588234</v>
      </c>
      <c r="I66">
        <f t="shared" si="11"/>
        <v>1.0226219528446783</v>
      </c>
      <c r="J66">
        <f t="shared" si="12"/>
        <v>115.47245919990401</v>
      </c>
      <c r="K66">
        <f t="shared" si="13"/>
        <v>715.83536699127478</v>
      </c>
      <c r="L66">
        <f t="shared" si="14"/>
        <v>700</v>
      </c>
      <c r="M66">
        <f>'Input + Tire Forces'!$L$15+J66</f>
        <v>451.47245919990399</v>
      </c>
      <c r="N66">
        <f>'Input + Tire Forces'!$L$16-J66</f>
        <v>248.52754080009601</v>
      </c>
      <c r="O66">
        <f t="shared" si="15"/>
        <v>1.3155557779492539</v>
      </c>
      <c r="P66">
        <f t="shared" si="16"/>
        <v>0.49048151489951591</v>
      </c>
    </row>
    <row r="67" spans="6:16" x14ac:dyDescent="0.3">
      <c r="F67">
        <f t="shared" ref="F67:F75" si="18">F66+5</f>
        <v>110</v>
      </c>
      <c r="G67">
        <f t="shared" si="9"/>
        <v>622.21992620374465</v>
      </c>
      <c r="H67">
        <f t="shared" si="10"/>
        <v>127.70283921568627</v>
      </c>
      <c r="I67">
        <f t="shared" si="11"/>
        <v>1.0713182363134728</v>
      </c>
      <c r="J67">
        <f t="shared" si="12"/>
        <v>120.9711477332328</v>
      </c>
      <c r="K67">
        <f t="shared" si="13"/>
        <v>749.9227654194309</v>
      </c>
      <c r="L67">
        <f t="shared" si="14"/>
        <v>700</v>
      </c>
      <c r="M67">
        <f>'Input + Tire Forces'!$L$15+J67</f>
        <v>456.97114773323278</v>
      </c>
      <c r="N67">
        <f>'Input + Tire Forces'!$L$16-J67</f>
        <v>243.02885226676722</v>
      </c>
      <c r="O67">
        <f t="shared" si="15"/>
        <v>1.36161753163239</v>
      </c>
      <c r="P67">
        <f t="shared" si="16"/>
        <v>0.52546369710667018</v>
      </c>
    </row>
    <row r="68" spans="6:16" x14ac:dyDescent="0.3">
      <c r="F68">
        <f t="shared" si="18"/>
        <v>115</v>
      </c>
      <c r="G68">
        <f t="shared" si="9"/>
        <v>650.50265012209661</v>
      </c>
      <c r="H68">
        <f t="shared" si="10"/>
        <v>133.50751372549018</v>
      </c>
      <c r="I68">
        <f t="shared" si="11"/>
        <v>1.1200145197822668</v>
      </c>
      <c r="J68">
        <f t="shared" si="12"/>
        <v>126.46983626656154</v>
      </c>
      <c r="K68">
        <f t="shared" si="13"/>
        <v>784.0101638475868</v>
      </c>
      <c r="L68">
        <f t="shared" si="14"/>
        <v>700</v>
      </c>
      <c r="M68">
        <f>'Input + Tire Forces'!$L$15+J68</f>
        <v>462.46983626656152</v>
      </c>
      <c r="N68">
        <f>'Input + Tire Forces'!$L$16-J68</f>
        <v>237.53016373343846</v>
      </c>
      <c r="O68">
        <f t="shared" si="15"/>
        <v>1.4065839523145796</v>
      </c>
      <c r="P68">
        <f t="shared" si="16"/>
        <v>0.56206551465739418</v>
      </c>
    </row>
    <row r="69" spans="6:16" x14ac:dyDescent="0.3">
      <c r="F69">
        <f t="shared" si="18"/>
        <v>120</v>
      </c>
      <c r="G69">
        <f t="shared" si="9"/>
        <v>678.78537404044857</v>
      </c>
      <c r="H69">
        <f t="shared" si="10"/>
        <v>139.31218823529409</v>
      </c>
      <c r="I69">
        <f t="shared" si="11"/>
        <v>1.1687108032510609</v>
      </c>
      <c r="J69">
        <f t="shared" si="12"/>
        <v>131.9685247998903</v>
      </c>
      <c r="K69">
        <f t="shared" si="13"/>
        <v>818.09756227574269</v>
      </c>
      <c r="L69">
        <f t="shared" si="14"/>
        <v>700</v>
      </c>
      <c r="M69">
        <f>'Input + Tire Forces'!$L$15+J69</f>
        <v>467.9685247998903</v>
      </c>
      <c r="N69">
        <f>'Input + Tire Forces'!$L$16-J69</f>
        <v>232.0314752001097</v>
      </c>
      <c r="O69">
        <f t="shared" si="15"/>
        <v>1.4504936508939494</v>
      </c>
      <c r="P69">
        <f t="shared" si="16"/>
        <v>0.60040211404572508</v>
      </c>
    </row>
    <row r="70" spans="6:16" x14ac:dyDescent="0.3">
      <c r="F70">
        <f t="shared" si="18"/>
        <v>125</v>
      </c>
      <c r="G70">
        <f t="shared" si="9"/>
        <v>707.06809795880065</v>
      </c>
      <c r="H70">
        <f t="shared" si="10"/>
        <v>145.11686274509805</v>
      </c>
      <c r="I70">
        <f t="shared" si="11"/>
        <v>1.2174070867198552</v>
      </c>
      <c r="J70">
        <f t="shared" si="12"/>
        <v>137.46721333321906</v>
      </c>
      <c r="K70">
        <f t="shared" si="13"/>
        <v>852.1849607038987</v>
      </c>
      <c r="L70">
        <f t="shared" si="14"/>
        <v>700</v>
      </c>
      <c r="M70">
        <f>'Input + Tire Forces'!$L$15+J70</f>
        <v>473.46721333321909</v>
      </c>
      <c r="N70">
        <f>'Input + Tire Forces'!$L$16-J70</f>
        <v>226.53278666678094</v>
      </c>
      <c r="O70">
        <f t="shared" si="15"/>
        <v>1.4933834446128307</v>
      </c>
      <c r="P70">
        <f t="shared" si="16"/>
        <v>0.6405998216874369</v>
      </c>
    </row>
    <row r="71" spans="6:16" x14ac:dyDescent="0.3">
      <c r="F71">
        <f t="shared" si="18"/>
        <v>130</v>
      </c>
      <c r="G71">
        <f t="shared" si="9"/>
        <v>735.35082187715273</v>
      </c>
      <c r="H71">
        <f t="shared" si="10"/>
        <v>150.92153725490195</v>
      </c>
      <c r="I71">
        <f t="shared" si="11"/>
        <v>1.2661033701886495</v>
      </c>
      <c r="J71">
        <f t="shared" si="12"/>
        <v>142.96590186654782</v>
      </c>
      <c r="K71">
        <f t="shared" si="13"/>
        <v>886.27235913205459</v>
      </c>
      <c r="L71">
        <f t="shared" si="14"/>
        <v>700</v>
      </c>
      <c r="M71">
        <f>'Input + Tire Forces'!$L$15+J71</f>
        <v>478.96590186654782</v>
      </c>
      <c r="N71">
        <f>'Input + Tire Forces'!$L$16-J71</f>
        <v>221.03409813345218</v>
      </c>
      <c r="O71">
        <f t="shared" si="15"/>
        <v>1.535288460016597</v>
      </c>
      <c r="P71">
        <f t="shared" si="16"/>
        <v>0.68279753454049041</v>
      </c>
    </row>
    <row r="72" spans="6:16" x14ac:dyDescent="0.3">
      <c r="F72">
        <f t="shared" si="18"/>
        <v>135</v>
      </c>
      <c r="G72">
        <f t="shared" si="9"/>
        <v>763.63354579550469</v>
      </c>
      <c r="H72">
        <f t="shared" si="10"/>
        <v>156.72621176470585</v>
      </c>
      <c r="I72">
        <f t="shared" si="11"/>
        <v>1.3147996536574436</v>
      </c>
      <c r="J72">
        <f t="shared" si="12"/>
        <v>148.46459039987658</v>
      </c>
      <c r="K72">
        <f t="shared" si="13"/>
        <v>920.35975756021048</v>
      </c>
      <c r="L72">
        <f t="shared" si="14"/>
        <v>700</v>
      </c>
      <c r="M72">
        <f>'Input + Tire Forces'!$L$15+J72</f>
        <v>484.46459039987656</v>
      </c>
      <c r="N72">
        <f>'Input + Tire Forces'!$L$16-J72</f>
        <v>215.53540960012342</v>
      </c>
      <c r="O72">
        <f t="shared" si="15"/>
        <v>1.5762422289009861</v>
      </c>
      <c r="P72">
        <f t="shared" si="16"/>
        <v>0.72714832358857151</v>
      </c>
    </row>
    <row r="73" spans="6:16" x14ac:dyDescent="0.3">
      <c r="F73">
        <f t="shared" si="18"/>
        <v>140</v>
      </c>
      <c r="G73">
        <f t="shared" si="9"/>
        <v>791.91626971385654</v>
      </c>
      <c r="H73">
        <f t="shared" si="10"/>
        <v>162.53088627450978</v>
      </c>
      <c r="I73">
        <f t="shared" si="11"/>
        <v>1.3634959371262376</v>
      </c>
      <c r="J73">
        <f t="shared" si="12"/>
        <v>153.96327893320532</v>
      </c>
      <c r="K73">
        <f t="shared" si="13"/>
        <v>954.44715598836638</v>
      </c>
      <c r="L73">
        <f t="shared" si="14"/>
        <v>700</v>
      </c>
      <c r="M73">
        <f>'Input + Tire Forces'!$L$15+J73</f>
        <v>489.96327893320529</v>
      </c>
      <c r="N73">
        <f>'Input + Tire Forces'!$L$16-J73</f>
        <v>210.03672106679468</v>
      </c>
      <c r="O73">
        <f t="shared" si="15"/>
        <v>1.6162767777987201</v>
      </c>
      <c r="P73">
        <f t="shared" si="16"/>
        <v>0.77382128919648596</v>
      </c>
    </row>
    <row r="74" spans="6:16" x14ac:dyDescent="0.3">
      <c r="F74">
        <f t="shared" si="18"/>
        <v>145</v>
      </c>
      <c r="G74">
        <f t="shared" si="9"/>
        <v>820.19899363220884</v>
      </c>
      <c r="H74">
        <f t="shared" si="10"/>
        <v>168.33556078431374</v>
      </c>
      <c r="I74">
        <f t="shared" si="11"/>
        <v>1.4121922205950324</v>
      </c>
      <c r="J74">
        <f t="shared" si="12"/>
        <v>159.46196746653416</v>
      </c>
      <c r="K74">
        <f t="shared" si="13"/>
        <v>988.53455441652261</v>
      </c>
      <c r="L74">
        <f t="shared" si="14"/>
        <v>700</v>
      </c>
      <c r="M74">
        <f>'Input + Tire Forces'!$L$15+J74</f>
        <v>495.46196746653413</v>
      </c>
      <c r="N74">
        <f>'Input + Tire Forces'!$L$16-J74</f>
        <v>204.53803253346584</v>
      </c>
      <c r="O74">
        <f t="shared" si="15"/>
        <v>1.6554227115073348</v>
      </c>
      <c r="P74">
        <f t="shared" si="16"/>
        <v>0.82300371573570907</v>
      </c>
    </row>
    <row r="75" spans="6:16" x14ac:dyDescent="0.3">
      <c r="F75">
        <f t="shared" si="18"/>
        <v>150</v>
      </c>
      <c r="G75">
        <f t="shared" si="9"/>
        <v>848.4817175505608</v>
      </c>
      <c r="H75">
        <f t="shared" si="10"/>
        <v>174.14023529411764</v>
      </c>
      <c r="I75">
        <f t="shared" si="11"/>
        <v>1.4608885040638262</v>
      </c>
      <c r="J75">
        <f t="shared" si="12"/>
        <v>164.96065599986287</v>
      </c>
      <c r="K75">
        <f t="shared" si="13"/>
        <v>1022.6219528446784</v>
      </c>
      <c r="L75">
        <f t="shared" si="14"/>
        <v>700</v>
      </c>
      <c r="M75">
        <f>'Input + Tire Forces'!$L$15+J75</f>
        <v>500.96065599986287</v>
      </c>
      <c r="N75">
        <f>'Input + Tire Forces'!$L$16-J75</f>
        <v>199.03934400013713</v>
      </c>
      <c r="O75">
        <f t="shared" si="15"/>
        <v>1.6937092911160534</v>
      </c>
      <c r="P75">
        <f t="shared" si="16"/>
        <v>0.87490358335384011</v>
      </c>
    </row>
    <row r="76" spans="6:16" x14ac:dyDescent="0.3">
      <c r="F76">
        <f>F75+5</f>
        <v>155</v>
      </c>
      <c r="G76">
        <f t="shared" si="9"/>
        <v>876.76444146891276</v>
      </c>
      <c r="H76">
        <f t="shared" si="10"/>
        <v>179.94490980392158</v>
      </c>
      <c r="I76">
        <f t="shared" si="11"/>
        <v>1.5095847875326205</v>
      </c>
      <c r="J76">
        <f t="shared" si="12"/>
        <v>170.45934453319165</v>
      </c>
      <c r="K76">
        <f t="shared" si="13"/>
        <v>1056.7093512728343</v>
      </c>
      <c r="L76">
        <f t="shared" si="14"/>
        <v>700</v>
      </c>
      <c r="M76">
        <f>'Input + Tire Forces'!$L$15+J76</f>
        <v>506.45934453319165</v>
      </c>
      <c r="N76">
        <f>'Input + Tire Forces'!$L$16-J76</f>
        <v>193.54065546680835</v>
      </c>
      <c r="O76">
        <f t="shared" si="15"/>
        <v>1.7311645069497825</v>
      </c>
      <c r="P76">
        <f t="shared" si="16"/>
        <v>0.92975250791574171</v>
      </c>
    </row>
    <row r="77" spans="6:16" x14ac:dyDescent="0.3">
      <c r="F77">
        <f t="shared" ref="F77:F85" si="19">F76+5</f>
        <v>160</v>
      </c>
      <c r="G77">
        <f t="shared" si="9"/>
        <v>905.04716538726484</v>
      </c>
      <c r="H77">
        <f t="shared" si="10"/>
        <v>185.74958431372551</v>
      </c>
      <c r="I77">
        <f t="shared" si="11"/>
        <v>1.5582810710014148</v>
      </c>
      <c r="J77">
        <f t="shared" si="12"/>
        <v>175.95803306652041</v>
      </c>
      <c r="K77">
        <f t="shared" si="13"/>
        <v>1090.7967497009904</v>
      </c>
      <c r="L77">
        <f t="shared" si="14"/>
        <v>700</v>
      </c>
      <c r="M77">
        <f>'Input + Tire Forces'!$L$15+J77</f>
        <v>511.95803306652044</v>
      </c>
      <c r="N77">
        <f>'Input + Tire Forces'!$L$16-J77</f>
        <v>188.04196693347959</v>
      </c>
      <c r="O77">
        <f t="shared" si="15"/>
        <v>1.7678151468123735</v>
      </c>
      <c r="P77">
        <f t="shared" si="16"/>
        <v>0.98780919675997103</v>
      </c>
    </row>
    <row r="78" spans="6:16" x14ac:dyDescent="0.3">
      <c r="F78">
        <f t="shared" si="19"/>
        <v>165</v>
      </c>
      <c r="G78">
        <f t="shared" si="9"/>
        <v>933.3298893056168</v>
      </c>
      <c r="H78">
        <f t="shared" si="10"/>
        <v>191.55425882352938</v>
      </c>
      <c r="I78">
        <f t="shared" si="11"/>
        <v>1.6069773544702086</v>
      </c>
      <c r="J78">
        <f t="shared" si="12"/>
        <v>181.45672159984915</v>
      </c>
      <c r="K78">
        <f t="shared" si="13"/>
        <v>1124.8841481291461</v>
      </c>
      <c r="L78">
        <f t="shared" si="14"/>
        <v>700</v>
      </c>
      <c r="M78">
        <f>'Input + Tire Forces'!$L$15+J78</f>
        <v>517.45672159984917</v>
      </c>
      <c r="N78">
        <f>'Input + Tire Forces'!$L$16-J78</f>
        <v>182.54327840015085</v>
      </c>
      <c r="O78">
        <f t="shared" si="15"/>
        <v>1.8036868598788125</v>
      </c>
      <c r="P78">
        <f t="shared" si="16"/>
        <v>1.0493635290346088</v>
      </c>
    </row>
    <row r="79" spans="6:16" x14ac:dyDescent="0.3">
      <c r="F79">
        <f t="shared" si="19"/>
        <v>170</v>
      </c>
      <c r="G79">
        <f t="shared" si="9"/>
        <v>961.61261322396899</v>
      </c>
      <c r="H79">
        <f t="shared" si="10"/>
        <v>197.35893333333331</v>
      </c>
      <c r="I79">
        <f t="shared" si="11"/>
        <v>1.6556736379390031</v>
      </c>
      <c r="J79">
        <f t="shared" si="12"/>
        <v>186.95541013317793</v>
      </c>
      <c r="K79">
        <f t="shared" si="13"/>
        <v>1158.9715465573022</v>
      </c>
      <c r="L79">
        <f t="shared" si="14"/>
        <v>700</v>
      </c>
      <c r="M79">
        <f>'Input + Tire Forces'!$L$15+J79</f>
        <v>522.95541013317791</v>
      </c>
      <c r="N79">
        <f>'Input + Tire Forces'!$L$16-J79</f>
        <v>177.04458986682207</v>
      </c>
      <c r="O79">
        <f t="shared" si="15"/>
        <v>1.8388042165565912</v>
      </c>
      <c r="P79">
        <f t="shared" si="16"/>
        <v>1.1147413964007162</v>
      </c>
    </row>
    <row r="80" spans="6:16" x14ac:dyDescent="0.3">
      <c r="F80">
        <f t="shared" si="19"/>
        <v>175</v>
      </c>
      <c r="G80">
        <f t="shared" si="9"/>
        <v>989.89533714232095</v>
      </c>
      <c r="H80">
        <f t="shared" si="10"/>
        <v>203.16360784313724</v>
      </c>
      <c r="I80">
        <f t="shared" si="11"/>
        <v>1.7043699214077976</v>
      </c>
      <c r="J80">
        <f t="shared" si="12"/>
        <v>192.45409866650672</v>
      </c>
      <c r="K80">
        <f t="shared" si="13"/>
        <v>1193.0589449854583</v>
      </c>
      <c r="L80">
        <f t="shared" si="14"/>
        <v>700</v>
      </c>
      <c r="M80">
        <f>'Input + Tire Forces'!$L$15+J80</f>
        <v>528.45409866650675</v>
      </c>
      <c r="N80">
        <f>'Input + Tire Forces'!$L$16-J80</f>
        <v>171.54590133349328</v>
      </c>
      <c r="O80">
        <f t="shared" si="15"/>
        <v>1.8731907646098462</v>
      </c>
      <c r="P80">
        <f t="shared" si="16"/>
        <v>1.1843104747118245</v>
      </c>
    </row>
    <row r="81" spans="4:16" x14ac:dyDescent="0.3">
      <c r="F81">
        <f t="shared" si="19"/>
        <v>180</v>
      </c>
      <c r="G81">
        <f t="shared" si="9"/>
        <v>1018.178061060673</v>
      </c>
      <c r="H81">
        <f t="shared" si="10"/>
        <v>208.96828235294117</v>
      </c>
      <c r="I81">
        <f t="shared" si="11"/>
        <v>1.7530662048765917</v>
      </c>
      <c r="J81">
        <f t="shared" si="12"/>
        <v>197.95278719983548</v>
      </c>
      <c r="K81">
        <f t="shared" si="13"/>
        <v>1227.1463434136142</v>
      </c>
      <c r="L81">
        <f t="shared" si="14"/>
        <v>700</v>
      </c>
      <c r="M81">
        <f>'Input + Tire Forces'!$L$15+J81</f>
        <v>533.95278719983548</v>
      </c>
      <c r="N81">
        <f>'Input + Tire Forces'!$L$16-J81</f>
        <v>166.04721280016452</v>
      </c>
      <c r="O81">
        <f t="shared" si="15"/>
        <v>1.9068690818156793</v>
      </c>
      <c r="P81">
        <f t="shared" si="16"/>
        <v>1.258487142475746</v>
      </c>
    </row>
    <row r="82" spans="4:16" x14ac:dyDescent="0.3">
      <c r="F82">
        <f t="shared" si="19"/>
        <v>185</v>
      </c>
      <c r="G82">
        <f t="shared" si="9"/>
        <v>1046.4607849790248</v>
      </c>
      <c r="H82">
        <f t="shared" si="10"/>
        <v>214.7729568627451</v>
      </c>
      <c r="I82">
        <f t="shared" si="11"/>
        <v>1.8017624883453855</v>
      </c>
      <c r="J82">
        <f t="shared" si="12"/>
        <v>203.45147573316419</v>
      </c>
      <c r="K82">
        <f t="shared" si="13"/>
        <v>1261.2337418417699</v>
      </c>
      <c r="L82">
        <f t="shared" si="14"/>
        <v>700</v>
      </c>
      <c r="M82">
        <f>'Input + Tire Forces'!$L$15+J82</f>
        <v>539.45147573316422</v>
      </c>
      <c r="N82">
        <f>'Input + Tire Forces'!$L$16-J82</f>
        <v>160.54852426683581</v>
      </c>
      <c r="O82">
        <f t="shared" si="15"/>
        <v>1.9398608254000755</v>
      </c>
      <c r="P82">
        <f t="shared" si="16"/>
        <v>1.3377448210348348</v>
      </c>
    </row>
    <row r="83" spans="4:16" x14ac:dyDescent="0.3">
      <c r="F83">
        <f t="shared" si="19"/>
        <v>190</v>
      </c>
      <c r="G83">
        <f t="shared" si="9"/>
        <v>1074.7435088973771</v>
      </c>
      <c r="H83">
        <f t="shared" si="10"/>
        <v>220.57763137254898</v>
      </c>
      <c r="I83">
        <f t="shared" si="11"/>
        <v>1.8504587718141801</v>
      </c>
      <c r="J83">
        <f t="shared" si="12"/>
        <v>208.950164266493</v>
      </c>
      <c r="K83">
        <f t="shared" si="13"/>
        <v>1295.321140269926</v>
      </c>
      <c r="L83">
        <f t="shared" si="14"/>
        <v>700</v>
      </c>
      <c r="M83">
        <f>'Input + Tire Forces'!$L$15+J83</f>
        <v>544.95016426649295</v>
      </c>
      <c r="N83">
        <f>'Input + Tire Forces'!$L$16-J83</f>
        <v>155.049835733507</v>
      </c>
      <c r="O83">
        <f t="shared" si="15"/>
        <v>1.9721867784809093</v>
      </c>
      <c r="P83">
        <f t="shared" si="16"/>
        <v>1.4226240894035409</v>
      </c>
    </row>
    <row r="84" spans="4:16" x14ac:dyDescent="0.3">
      <c r="F84">
        <f t="shared" si="19"/>
        <v>195</v>
      </c>
      <c r="G84">
        <f t="shared" si="9"/>
        <v>1103.0262328157289</v>
      </c>
      <c r="H84">
        <f t="shared" si="10"/>
        <v>226.38230588235294</v>
      </c>
      <c r="I84">
        <f t="shared" si="11"/>
        <v>1.8991550552829741</v>
      </c>
      <c r="J84">
        <f t="shared" si="12"/>
        <v>214.44885279982174</v>
      </c>
      <c r="K84">
        <f t="shared" si="13"/>
        <v>1329.4085386980819</v>
      </c>
      <c r="L84">
        <f t="shared" si="14"/>
        <v>700</v>
      </c>
      <c r="M84">
        <f>'Input + Tire Forces'!$L$15+J84</f>
        <v>550.44885279982168</v>
      </c>
      <c r="N84">
        <f>'Input + Tire Forces'!$L$16-J84</f>
        <v>149.55114720017826</v>
      </c>
      <c r="O84">
        <f t="shared" si="15"/>
        <v>2.0038668937272899</v>
      </c>
      <c r="P84">
        <f t="shared" si="16"/>
        <v>1.5137450305167774</v>
      </c>
    </row>
    <row r="85" spans="4:16" x14ac:dyDescent="0.3">
      <c r="F85">
        <f t="shared" si="19"/>
        <v>200</v>
      </c>
      <c r="G85">
        <f t="shared" si="9"/>
        <v>1131.3089567340812</v>
      </c>
      <c r="H85">
        <f t="shared" si="10"/>
        <v>232.1869803921569</v>
      </c>
      <c r="I85">
        <f t="shared" si="11"/>
        <v>1.9478513387517686</v>
      </c>
      <c r="J85">
        <f t="shared" si="12"/>
        <v>219.94754133315053</v>
      </c>
      <c r="K85">
        <f t="shared" si="13"/>
        <v>1363.495937126238</v>
      </c>
      <c r="L85">
        <f t="shared" si="14"/>
        <v>700</v>
      </c>
      <c r="M85">
        <f>'Input + Tire Forces'!$L$15+J85</f>
        <v>555.94754133315053</v>
      </c>
      <c r="N85">
        <f>'Input + Tire Forces'!$L$16-J85</f>
        <v>144.05245866684947</v>
      </c>
      <c r="O85">
        <f t="shared" si="15"/>
        <v>2.034920334428004</v>
      </c>
      <c r="P85">
        <f t="shared" si="16"/>
        <v>1.6118224051221255</v>
      </c>
    </row>
    <row r="87" spans="4:16" x14ac:dyDescent="0.3">
      <c r="D87" s="25" t="s">
        <v>168</v>
      </c>
      <c r="E87" s="25">
        <v>0.6</v>
      </c>
      <c r="F87" s="1" t="s">
        <v>173</v>
      </c>
      <c r="G87" s="1" t="s">
        <v>182</v>
      </c>
      <c r="H87" s="1" t="s">
        <v>183</v>
      </c>
      <c r="I87" s="1" t="s">
        <v>317</v>
      </c>
      <c r="J87" s="1" t="s">
        <v>318</v>
      </c>
      <c r="K87" s="1" t="s">
        <v>175</v>
      </c>
      <c r="L87" s="1" t="s">
        <v>319</v>
      </c>
      <c r="M87" s="1" t="s">
        <v>178</v>
      </c>
      <c r="N87" s="1" t="s">
        <v>179</v>
      </c>
      <c r="O87" s="1" t="s">
        <v>320</v>
      </c>
      <c r="P87" s="1" t="s">
        <v>321</v>
      </c>
    </row>
    <row r="88" spans="4:16" x14ac:dyDescent="0.3">
      <c r="F88">
        <v>0</v>
      </c>
      <c r="G88">
        <f>(2*F88*$B$30)*($B$13*$B$14/$B$26)*($B$15/$B$3)*($B$28/(2*$B$6))*$E$87</f>
        <v>0</v>
      </c>
      <c r="H88">
        <f>(2*$B$30*F88)*($B$20*$B$22/$B$26)*($B$21/$B$3)*($B$28/(2*$B$6))*(1-$E$87)</f>
        <v>0</v>
      </c>
      <c r="I88">
        <f>(G88+H88)/$B$2</f>
        <v>0</v>
      </c>
      <c r="J88">
        <f>I88*(($B$2*$B$4)/$B$5)</f>
        <v>0</v>
      </c>
      <c r="K88">
        <f>$B$2*I88</f>
        <v>0</v>
      </c>
      <c r="L88">
        <f>$B$2</f>
        <v>700</v>
      </c>
      <c r="M88">
        <f>'Input + Tire Forces'!$L$15+J88</f>
        <v>336</v>
      </c>
      <c r="N88">
        <f>'Input + Tire Forces'!$L$16-J88</f>
        <v>364</v>
      </c>
      <c r="O88">
        <f>G88/M88</f>
        <v>0</v>
      </c>
      <c r="P88">
        <f>H88/N88</f>
        <v>0</v>
      </c>
    </row>
    <row r="89" spans="4:16" x14ac:dyDescent="0.3">
      <c r="F89">
        <f>F88+5</f>
        <v>5</v>
      </c>
      <c r="G89">
        <f t="shared" ref="G89:G128" si="20">(2*F89*$B$30)*($B$13*$B$14/$B$26)*($B$15/$B$3)*($B$28/(2*$B$6))*$E$87</f>
        <v>30.853880638202206</v>
      </c>
      <c r="H89">
        <f t="shared" ref="H89:H128" si="21">(2*$B$30*F89)*($B$20*$B$22/$B$26)*($B$21/$B$3)*($B$28/(2*$B$6))*(1-$E$87)</f>
        <v>5.1597106753812652</v>
      </c>
      <c r="I89">
        <f t="shared" ref="I89:I128" si="22">(G89+H89)/$B$2</f>
        <v>5.1447987590833529E-2</v>
      </c>
      <c r="J89">
        <f t="shared" ref="J89:J128" si="23">I89*(($B$2*$B$4)/$B$5)</f>
        <v>5.8094055496010055</v>
      </c>
      <c r="K89">
        <f t="shared" ref="K89:K128" si="24">$B$2*I89</f>
        <v>36.013591313583468</v>
      </c>
      <c r="L89">
        <f t="shared" ref="L89:L128" si="25">$B$2</f>
        <v>700</v>
      </c>
      <c r="M89">
        <f>'Input + Tire Forces'!$L$15+J89</f>
        <v>341.80940554960102</v>
      </c>
      <c r="N89">
        <f>'Input + Tire Forces'!$L$16-J89</f>
        <v>358.19059445039898</v>
      </c>
      <c r="O89">
        <f t="shared" ref="O89:O128" si="26">G89/M89</f>
        <v>9.0266330116316545E-2</v>
      </c>
      <c r="P89">
        <f t="shared" ref="P89:P128" si="27">H89/N89</f>
        <v>1.4404930657931513E-2</v>
      </c>
    </row>
    <row r="90" spans="4:16" x14ac:dyDescent="0.3">
      <c r="F90">
        <f t="shared" ref="F90:F108" si="28">F89+5</f>
        <v>10</v>
      </c>
      <c r="G90">
        <f t="shared" si="20"/>
        <v>61.707761276404412</v>
      </c>
      <c r="H90">
        <f t="shared" si="21"/>
        <v>10.31942135076253</v>
      </c>
      <c r="I90">
        <f t="shared" si="22"/>
        <v>0.10289597518166706</v>
      </c>
      <c r="J90">
        <f t="shared" si="23"/>
        <v>11.618811099202011</v>
      </c>
      <c r="K90">
        <f t="shared" si="24"/>
        <v>72.027182627166937</v>
      </c>
      <c r="L90">
        <f t="shared" si="25"/>
        <v>700</v>
      </c>
      <c r="M90">
        <f>'Input + Tire Forces'!$L$15+J90</f>
        <v>347.61881109920199</v>
      </c>
      <c r="N90">
        <f>'Input + Tire Forces'!$L$16-J90</f>
        <v>352.38118890079801</v>
      </c>
      <c r="O90">
        <f t="shared" si="26"/>
        <v>0.17751559842598538</v>
      </c>
      <c r="P90">
        <f t="shared" si="27"/>
        <v>2.928482471766574E-2</v>
      </c>
    </row>
    <row r="91" spans="4:16" x14ac:dyDescent="0.3">
      <c r="F91">
        <f t="shared" si="28"/>
        <v>15</v>
      </c>
      <c r="G91">
        <f t="shared" si="20"/>
        <v>92.561641914606625</v>
      </c>
      <c r="H91">
        <f t="shared" si="21"/>
        <v>15.479132026143791</v>
      </c>
      <c r="I91">
        <f t="shared" si="22"/>
        <v>0.15434396277250059</v>
      </c>
      <c r="J91">
        <f t="shared" si="23"/>
        <v>17.428216648803019</v>
      </c>
      <c r="K91">
        <f t="shared" si="24"/>
        <v>108.04077394075041</v>
      </c>
      <c r="L91">
        <f t="shared" si="25"/>
        <v>700</v>
      </c>
      <c r="M91">
        <f>'Input + Tire Forces'!$L$15+J91</f>
        <v>353.42821664880302</v>
      </c>
      <c r="N91">
        <f>'Input + Tire Forces'!$L$16-J91</f>
        <v>346.57178335119698</v>
      </c>
      <c r="O91">
        <f t="shared" si="26"/>
        <v>0.26189658197716542</v>
      </c>
      <c r="P91">
        <f t="shared" si="27"/>
        <v>4.4663566884953473E-2</v>
      </c>
    </row>
    <row r="92" spans="4:16" x14ac:dyDescent="0.3">
      <c r="F92">
        <f t="shared" si="28"/>
        <v>20</v>
      </c>
      <c r="G92">
        <f t="shared" si="20"/>
        <v>123.41552255280882</v>
      </c>
      <c r="H92">
        <f t="shared" si="21"/>
        <v>20.638842701525061</v>
      </c>
      <c r="I92">
        <f t="shared" si="22"/>
        <v>0.20579195036333411</v>
      </c>
      <c r="J92">
        <f t="shared" si="23"/>
        <v>23.237622198404022</v>
      </c>
      <c r="K92">
        <f t="shared" si="24"/>
        <v>144.05436525433387</v>
      </c>
      <c r="L92">
        <f t="shared" si="25"/>
        <v>700</v>
      </c>
      <c r="M92">
        <f>'Input + Tire Forces'!$L$15+J92</f>
        <v>359.23762219840404</v>
      </c>
      <c r="N92">
        <f>'Input + Tire Forces'!$L$16-J92</f>
        <v>340.76237780159596</v>
      </c>
      <c r="O92">
        <f t="shared" si="26"/>
        <v>0.34354843403525098</v>
      </c>
      <c r="P92">
        <f t="shared" si="27"/>
        <v>6.0566670636221856E-2</v>
      </c>
    </row>
    <row r="93" spans="4:16" x14ac:dyDescent="0.3">
      <c r="F93">
        <f t="shared" si="28"/>
        <v>25</v>
      </c>
      <c r="G93">
        <f t="shared" si="20"/>
        <v>154.26940319101104</v>
      </c>
      <c r="H93">
        <f t="shared" si="21"/>
        <v>25.798553376906327</v>
      </c>
      <c r="I93">
        <f t="shared" si="22"/>
        <v>0.25723993795416766</v>
      </c>
      <c r="J93">
        <f t="shared" si="23"/>
        <v>29.047027748005032</v>
      </c>
      <c r="K93">
        <f t="shared" si="24"/>
        <v>180.06795656791738</v>
      </c>
      <c r="L93">
        <f t="shared" si="25"/>
        <v>700</v>
      </c>
      <c r="M93">
        <f>'Input + Tire Forces'!$L$15+J93</f>
        <v>365.04702774800501</v>
      </c>
      <c r="N93">
        <f>'Input + Tire Forces'!$L$16-J93</f>
        <v>334.95297225199499</v>
      </c>
      <c r="O93">
        <f t="shared" si="26"/>
        <v>0.42260144985348158</v>
      </c>
      <c r="P93">
        <f t="shared" si="27"/>
        <v>7.7021419465110208E-2</v>
      </c>
    </row>
    <row r="94" spans="4:16" x14ac:dyDescent="0.3">
      <c r="F94">
        <f t="shared" si="28"/>
        <v>30</v>
      </c>
      <c r="G94">
        <f t="shared" si="20"/>
        <v>185.12328382921325</v>
      </c>
      <c r="H94">
        <f t="shared" si="21"/>
        <v>30.958264052287582</v>
      </c>
      <c r="I94">
        <f t="shared" si="22"/>
        <v>0.30868792554500118</v>
      </c>
      <c r="J94">
        <f t="shared" si="23"/>
        <v>34.856433297606038</v>
      </c>
      <c r="K94">
        <f t="shared" si="24"/>
        <v>216.08154788150082</v>
      </c>
      <c r="L94">
        <f t="shared" si="25"/>
        <v>700</v>
      </c>
      <c r="M94">
        <f>'Input + Tire Forces'!$L$15+J94</f>
        <v>370.85643329760603</v>
      </c>
      <c r="N94">
        <f>'Input + Tire Forces'!$L$16-J94</f>
        <v>329.14356670239397</v>
      </c>
      <c r="O94">
        <f t="shared" si="26"/>
        <v>0.49917776046952095</v>
      </c>
      <c r="P94">
        <f t="shared" si="27"/>
        <v>9.4057023087069841E-2</v>
      </c>
    </row>
    <row r="95" spans="4:16" x14ac:dyDescent="0.3">
      <c r="F95">
        <f t="shared" si="28"/>
        <v>35</v>
      </c>
      <c r="G95">
        <f t="shared" si="20"/>
        <v>215.97716446741541</v>
      </c>
      <c r="H95">
        <f t="shared" si="21"/>
        <v>36.117974727668845</v>
      </c>
      <c r="I95">
        <f t="shared" si="22"/>
        <v>0.36013591313583465</v>
      </c>
      <c r="J95">
        <f t="shared" si="23"/>
        <v>40.665838847207034</v>
      </c>
      <c r="K95">
        <f t="shared" si="24"/>
        <v>252.09513919508424</v>
      </c>
      <c r="L95">
        <f t="shared" si="25"/>
        <v>700</v>
      </c>
      <c r="M95">
        <f>'Input + Tire Forces'!$L$15+J95</f>
        <v>376.66583884720706</v>
      </c>
      <c r="N95">
        <f>'Input + Tire Forces'!$L$16-J95</f>
        <v>323.33416115279294</v>
      </c>
      <c r="O95">
        <f t="shared" si="26"/>
        <v>0.57339196229851275</v>
      </c>
      <c r="P95">
        <f t="shared" si="27"/>
        <v>0.11170479048330789</v>
      </c>
    </row>
    <row r="96" spans="4:16" x14ac:dyDescent="0.3">
      <c r="F96">
        <f t="shared" si="28"/>
        <v>40</v>
      </c>
      <c r="G96">
        <f t="shared" si="20"/>
        <v>246.83104510561765</v>
      </c>
      <c r="H96">
        <f t="shared" si="21"/>
        <v>41.277685403050121</v>
      </c>
      <c r="I96">
        <f t="shared" si="22"/>
        <v>0.41158390072666823</v>
      </c>
      <c r="J96">
        <f t="shared" si="23"/>
        <v>46.475244396808044</v>
      </c>
      <c r="K96">
        <f t="shared" si="24"/>
        <v>288.10873050866775</v>
      </c>
      <c r="L96">
        <f t="shared" si="25"/>
        <v>700</v>
      </c>
      <c r="M96">
        <f>'Input + Tire Forces'!$L$15+J96</f>
        <v>382.47524439680802</v>
      </c>
      <c r="N96">
        <f>'Input + Tire Forces'!$L$16-J96</f>
        <v>317.52475560319198</v>
      </c>
      <c r="O96">
        <f t="shared" si="26"/>
        <v>0.64535168934891096</v>
      </c>
      <c r="P96">
        <f t="shared" si="27"/>
        <v>0.12999832194071348</v>
      </c>
    </row>
    <row r="97" spans="6:16" x14ac:dyDescent="0.3">
      <c r="F97">
        <f t="shared" si="28"/>
        <v>45</v>
      </c>
      <c r="G97">
        <f t="shared" si="20"/>
        <v>277.68492574381986</v>
      </c>
      <c r="H97">
        <f t="shared" si="21"/>
        <v>46.437396078431377</v>
      </c>
      <c r="I97">
        <f t="shared" si="22"/>
        <v>0.46303188831750181</v>
      </c>
      <c r="J97">
        <f t="shared" si="23"/>
        <v>52.284649946409054</v>
      </c>
      <c r="K97">
        <f t="shared" si="24"/>
        <v>324.12232182225125</v>
      </c>
      <c r="L97">
        <f t="shared" si="25"/>
        <v>700</v>
      </c>
      <c r="M97">
        <f>'Input + Tire Forces'!$L$15+J97</f>
        <v>388.28464994640905</v>
      </c>
      <c r="N97">
        <f>'Input + Tire Forces'!$L$16-J97</f>
        <v>311.71535005359095</v>
      </c>
      <c r="O97">
        <f t="shared" si="26"/>
        <v>0.71515813407031636</v>
      </c>
      <c r="P97">
        <f t="shared" si="27"/>
        <v>0.14897372256594912</v>
      </c>
    </row>
    <row r="98" spans="6:16" x14ac:dyDescent="0.3">
      <c r="F98">
        <f t="shared" si="28"/>
        <v>50</v>
      </c>
      <c r="G98">
        <f t="shared" si="20"/>
        <v>308.53880638202207</v>
      </c>
      <c r="H98">
        <f t="shared" si="21"/>
        <v>51.597106753812653</v>
      </c>
      <c r="I98">
        <f t="shared" si="22"/>
        <v>0.51447987590833533</v>
      </c>
      <c r="J98">
        <f t="shared" si="23"/>
        <v>58.094055496010064</v>
      </c>
      <c r="K98">
        <f t="shared" si="24"/>
        <v>360.13591313583476</v>
      </c>
      <c r="L98">
        <f t="shared" si="25"/>
        <v>700</v>
      </c>
      <c r="M98">
        <f>'Input + Tire Forces'!$L$15+J98</f>
        <v>394.09405549601007</v>
      </c>
      <c r="N98">
        <f>'Input + Tire Forces'!$L$16-J98</f>
        <v>305.90594450398993</v>
      </c>
      <c r="O98">
        <f t="shared" si="26"/>
        <v>0.78290652213389145</v>
      </c>
      <c r="P98">
        <f t="shared" si="27"/>
        <v>0.16866984012839173</v>
      </c>
    </row>
    <row r="99" spans="6:16" x14ac:dyDescent="0.3">
      <c r="F99">
        <f t="shared" si="28"/>
        <v>55</v>
      </c>
      <c r="G99">
        <f t="shared" si="20"/>
        <v>339.39268702022429</v>
      </c>
      <c r="H99">
        <f t="shared" si="21"/>
        <v>56.756817429193909</v>
      </c>
      <c r="I99">
        <f t="shared" si="22"/>
        <v>0.5659278634991689</v>
      </c>
      <c r="J99">
        <f t="shared" si="23"/>
        <v>63.903461045611074</v>
      </c>
      <c r="K99">
        <f t="shared" si="24"/>
        <v>396.14950444941826</v>
      </c>
      <c r="L99">
        <f t="shared" si="25"/>
        <v>700</v>
      </c>
      <c r="M99">
        <f>'Input + Tire Forces'!$L$15+J99</f>
        <v>399.9034610456111</v>
      </c>
      <c r="N99">
        <f>'Input + Tire Forces'!$L$16-J99</f>
        <v>300.0965389543889</v>
      </c>
      <c r="O99">
        <f t="shared" si="26"/>
        <v>0.84868654582990655</v>
      </c>
      <c r="P99">
        <f t="shared" si="27"/>
        <v>0.18912853052870518</v>
      </c>
    </row>
    <row r="100" spans="6:16" x14ac:dyDescent="0.3">
      <c r="F100">
        <f t="shared" si="28"/>
        <v>60</v>
      </c>
      <c r="G100">
        <f t="shared" si="20"/>
        <v>370.2465676584265</v>
      </c>
      <c r="H100">
        <f t="shared" si="21"/>
        <v>61.916528104575164</v>
      </c>
      <c r="I100">
        <f t="shared" si="22"/>
        <v>0.61737585109000237</v>
      </c>
      <c r="J100">
        <f t="shared" si="23"/>
        <v>69.712866595212077</v>
      </c>
      <c r="K100">
        <f t="shared" si="24"/>
        <v>432.16309576300165</v>
      </c>
      <c r="L100">
        <f t="shared" si="25"/>
        <v>700</v>
      </c>
      <c r="M100">
        <f>'Input + Tire Forces'!$L$15+J100</f>
        <v>405.71286659521206</v>
      </c>
      <c r="N100">
        <f>'Input + Tire Forces'!$L$16-J100</f>
        <v>294.28713340478794</v>
      </c>
      <c r="O100">
        <f t="shared" si="26"/>
        <v>0.91258276023035023</v>
      </c>
      <c r="P100">
        <f t="shared" si="27"/>
        <v>0.21039495471047259</v>
      </c>
    </row>
    <row r="101" spans="6:16" x14ac:dyDescent="0.3">
      <c r="F101">
        <f t="shared" si="28"/>
        <v>65</v>
      </c>
      <c r="G101">
        <f t="shared" si="20"/>
        <v>401.10044829662871</v>
      </c>
      <c r="H101">
        <f t="shared" si="21"/>
        <v>67.076238779956427</v>
      </c>
      <c r="I101">
        <f t="shared" si="22"/>
        <v>0.66882383868083595</v>
      </c>
      <c r="J101">
        <f t="shared" si="23"/>
        <v>75.522272144813087</v>
      </c>
      <c r="K101">
        <f t="shared" si="24"/>
        <v>468.17668707658515</v>
      </c>
      <c r="L101">
        <f t="shared" si="25"/>
        <v>700</v>
      </c>
      <c r="M101">
        <f>'Input + Tire Forces'!$L$15+J101</f>
        <v>411.52227214481309</v>
      </c>
      <c r="N101">
        <f>'Input + Tire Forces'!$L$16-J101</f>
        <v>288.47772785518691</v>
      </c>
      <c r="O101">
        <f t="shared" si="26"/>
        <v>0.97467494579608815</v>
      </c>
      <c r="P101">
        <f t="shared" si="27"/>
        <v>0.23251791144731998</v>
      </c>
    </row>
    <row r="102" spans="6:16" x14ac:dyDescent="0.3">
      <c r="F102">
        <f t="shared" si="28"/>
        <v>70</v>
      </c>
      <c r="G102">
        <f t="shared" si="20"/>
        <v>431.95432893483081</v>
      </c>
      <c r="H102">
        <f t="shared" si="21"/>
        <v>72.235949455337689</v>
      </c>
      <c r="I102">
        <f t="shared" si="22"/>
        <v>0.7202718262716693</v>
      </c>
      <c r="J102">
        <f t="shared" si="23"/>
        <v>81.331677694414068</v>
      </c>
      <c r="K102">
        <f t="shared" si="24"/>
        <v>504.19027839016849</v>
      </c>
      <c r="L102">
        <f t="shared" si="25"/>
        <v>700</v>
      </c>
      <c r="M102">
        <f>'Input + Tire Forces'!$L$15+J102</f>
        <v>417.33167769441405</v>
      </c>
      <c r="N102">
        <f>'Input + Tire Forces'!$L$16-J102</f>
        <v>282.66832230558595</v>
      </c>
      <c r="O102">
        <f t="shared" si="26"/>
        <v>1.0350384406982975</v>
      </c>
      <c r="P102">
        <f t="shared" si="27"/>
        <v>0.25555021116672966</v>
      </c>
    </row>
    <row r="103" spans="6:16" x14ac:dyDescent="0.3">
      <c r="F103">
        <f t="shared" si="28"/>
        <v>75</v>
      </c>
      <c r="G103">
        <f t="shared" si="20"/>
        <v>462.80820957303308</v>
      </c>
      <c r="H103">
        <f t="shared" si="21"/>
        <v>77.395660130718966</v>
      </c>
      <c r="I103">
        <f t="shared" si="22"/>
        <v>0.77171981386250288</v>
      </c>
      <c r="J103">
        <f t="shared" si="23"/>
        <v>87.141083244015078</v>
      </c>
      <c r="K103">
        <f t="shared" si="24"/>
        <v>540.20386970375205</v>
      </c>
      <c r="L103">
        <f t="shared" si="25"/>
        <v>700</v>
      </c>
      <c r="M103">
        <f>'Input + Tire Forces'!$L$15+J103</f>
        <v>423.14108324401508</v>
      </c>
      <c r="N103">
        <f>'Input + Tire Forces'!$L$16-J103</f>
        <v>276.85891675598492</v>
      </c>
      <c r="O103">
        <f t="shared" si="26"/>
        <v>1.093744445764778</v>
      </c>
      <c r="P103">
        <f t="shared" si="27"/>
        <v>0.27954909683813134</v>
      </c>
    </row>
    <row r="104" spans="6:16" x14ac:dyDescent="0.3">
      <c r="F104">
        <f t="shared" si="28"/>
        <v>80</v>
      </c>
      <c r="G104">
        <f t="shared" si="20"/>
        <v>493.6620902112353</v>
      </c>
      <c r="H104">
        <f t="shared" si="21"/>
        <v>82.555370806100242</v>
      </c>
      <c r="I104">
        <f t="shared" si="22"/>
        <v>0.82316780145333646</v>
      </c>
      <c r="J104">
        <f t="shared" si="23"/>
        <v>92.950488793616088</v>
      </c>
      <c r="K104">
        <f t="shared" si="24"/>
        <v>576.21746101733549</v>
      </c>
      <c r="L104">
        <f t="shared" si="25"/>
        <v>700</v>
      </c>
      <c r="M104">
        <f>'Input + Tire Forces'!$L$15+J104</f>
        <v>428.9504887936161</v>
      </c>
      <c r="N104">
        <f>'Input + Tire Forces'!$L$16-J104</f>
        <v>271.0495112063839</v>
      </c>
      <c r="O104">
        <f t="shared" si="26"/>
        <v>1.1508603046463814</v>
      </c>
      <c r="P104">
        <f t="shared" si="27"/>
        <v>0.3045767189863719</v>
      </c>
    </row>
    <row r="105" spans="6:16" x14ac:dyDescent="0.3">
      <c r="F105">
        <f t="shared" si="28"/>
        <v>85</v>
      </c>
      <c r="G105">
        <f t="shared" si="20"/>
        <v>524.51597084943751</v>
      </c>
      <c r="H105">
        <f t="shared" si="21"/>
        <v>87.715081481481491</v>
      </c>
      <c r="I105">
        <f t="shared" si="22"/>
        <v>0.87461578904417003</v>
      </c>
      <c r="J105">
        <f t="shared" si="23"/>
        <v>98.759894343217098</v>
      </c>
      <c r="K105">
        <f t="shared" si="24"/>
        <v>612.23105233091906</v>
      </c>
      <c r="L105">
        <f t="shared" si="25"/>
        <v>700</v>
      </c>
      <c r="M105">
        <f>'Input + Tire Forces'!$L$15+J105</f>
        <v>434.75989434321707</v>
      </c>
      <c r="N105">
        <f>'Input + Tire Forces'!$L$16-J105</f>
        <v>265.24010565678293</v>
      </c>
      <c r="O105">
        <f t="shared" si="26"/>
        <v>1.2064497615213867</v>
      </c>
      <c r="P105">
        <f t="shared" si="27"/>
        <v>0.3307006731289106</v>
      </c>
    </row>
    <row r="106" spans="6:16" x14ac:dyDescent="0.3">
      <c r="F106">
        <f t="shared" si="28"/>
        <v>90</v>
      </c>
      <c r="G106">
        <f t="shared" si="20"/>
        <v>555.36985148763972</v>
      </c>
      <c r="H106">
        <f t="shared" si="21"/>
        <v>92.874792156862753</v>
      </c>
      <c r="I106">
        <f t="shared" si="22"/>
        <v>0.92606377663500361</v>
      </c>
      <c r="J106">
        <f t="shared" si="23"/>
        <v>104.56929989281811</v>
      </c>
      <c r="K106">
        <f t="shared" si="24"/>
        <v>648.2446436445025</v>
      </c>
      <c r="L106">
        <f t="shared" si="25"/>
        <v>700</v>
      </c>
      <c r="M106">
        <f>'Input + Tire Forces'!$L$15+J106</f>
        <v>440.56929989281809</v>
      </c>
      <c r="N106">
        <f>'Input + Tire Forces'!$L$16-J106</f>
        <v>259.43070010718191</v>
      </c>
      <c r="O106">
        <f t="shared" si="26"/>
        <v>1.2605731984111248</v>
      </c>
      <c r="P106">
        <f t="shared" si="27"/>
        <v>0.35799460942167682</v>
      </c>
    </row>
    <row r="107" spans="6:16" x14ac:dyDescent="0.3">
      <c r="F107">
        <f t="shared" si="28"/>
        <v>95</v>
      </c>
      <c r="G107">
        <f t="shared" si="20"/>
        <v>586.22373212584205</v>
      </c>
      <c r="H107">
        <f t="shared" si="21"/>
        <v>98.034502832244016</v>
      </c>
      <c r="I107">
        <f t="shared" si="22"/>
        <v>0.97751176422583719</v>
      </c>
      <c r="J107">
        <f t="shared" si="23"/>
        <v>110.37870544241913</v>
      </c>
      <c r="K107">
        <f t="shared" si="24"/>
        <v>684.25823495808606</v>
      </c>
      <c r="L107">
        <f t="shared" si="25"/>
        <v>700</v>
      </c>
      <c r="M107">
        <f>'Input + Tire Forces'!$L$15+J107</f>
        <v>446.37870544241912</v>
      </c>
      <c r="N107">
        <f>'Input + Tire Forces'!$L$16-J107</f>
        <v>253.62129455758088</v>
      </c>
      <c r="O107">
        <f t="shared" si="26"/>
        <v>1.3132878539643114</v>
      </c>
      <c r="P107">
        <f t="shared" si="27"/>
        <v>0.38653892609158164</v>
      </c>
    </row>
    <row r="108" spans="6:16" x14ac:dyDescent="0.3">
      <c r="F108">
        <f t="shared" si="28"/>
        <v>100</v>
      </c>
      <c r="G108">
        <f t="shared" si="20"/>
        <v>617.07761276404415</v>
      </c>
      <c r="H108">
        <f t="shared" si="21"/>
        <v>103.19421350762531</v>
      </c>
      <c r="I108">
        <f t="shared" si="22"/>
        <v>1.0289597518166707</v>
      </c>
      <c r="J108">
        <f t="shared" si="23"/>
        <v>116.18811099202013</v>
      </c>
      <c r="K108">
        <f t="shared" si="24"/>
        <v>720.27182627166951</v>
      </c>
      <c r="L108">
        <f t="shared" si="25"/>
        <v>700</v>
      </c>
      <c r="M108">
        <f>'Input + Tire Forces'!$L$15+J108</f>
        <v>452.18811099202014</v>
      </c>
      <c r="N108">
        <f>'Input + Tire Forces'!$L$16-J108</f>
        <v>247.81188900797986</v>
      </c>
      <c r="O108">
        <f t="shared" si="26"/>
        <v>1.36464802537662</v>
      </c>
      <c r="P108">
        <f t="shared" si="27"/>
        <v>0.41642156040504708</v>
      </c>
    </row>
    <row r="109" spans="6:16" x14ac:dyDescent="0.3">
      <c r="F109">
        <f>F108+5</f>
        <v>105</v>
      </c>
      <c r="G109">
        <f t="shared" si="20"/>
        <v>647.93149340224625</v>
      </c>
      <c r="H109">
        <f t="shared" si="21"/>
        <v>108.35392418300654</v>
      </c>
      <c r="I109">
        <f t="shared" si="22"/>
        <v>1.080407739407504</v>
      </c>
      <c r="J109">
        <f t="shared" si="23"/>
        <v>121.99751654162111</v>
      </c>
      <c r="K109">
        <f t="shared" si="24"/>
        <v>756.28541758525284</v>
      </c>
      <c r="L109">
        <f t="shared" si="25"/>
        <v>700</v>
      </c>
      <c r="M109">
        <f>'Input + Tire Forces'!$L$15+J109</f>
        <v>457.99751654162111</v>
      </c>
      <c r="N109">
        <f>'Input + Tire Forces'!$L$16-J109</f>
        <v>242.00248345837889</v>
      </c>
      <c r="O109">
        <f t="shared" si="26"/>
        <v>1.4147052549429373</v>
      </c>
      <c r="P109">
        <f t="shared" si="27"/>
        <v>0.44773889356239571</v>
      </c>
    </row>
    <row r="110" spans="6:16" x14ac:dyDescent="0.3">
      <c r="F110">
        <f t="shared" ref="F110:F118" si="29">F109+5</f>
        <v>110</v>
      </c>
      <c r="G110">
        <f t="shared" si="20"/>
        <v>678.78537404044857</v>
      </c>
      <c r="H110">
        <f t="shared" si="21"/>
        <v>113.51363485838782</v>
      </c>
      <c r="I110">
        <f t="shared" si="22"/>
        <v>1.1318557269983378</v>
      </c>
      <c r="J110">
        <f t="shared" si="23"/>
        <v>127.80692209122215</v>
      </c>
      <c r="K110">
        <f t="shared" si="24"/>
        <v>792.29900889883652</v>
      </c>
      <c r="L110">
        <f t="shared" si="25"/>
        <v>700</v>
      </c>
      <c r="M110">
        <f>'Input + Tire Forces'!$L$15+J110</f>
        <v>463.80692209122213</v>
      </c>
      <c r="N110">
        <f>'Input + Tire Forces'!$L$16-J110</f>
        <v>236.19307790877787</v>
      </c>
      <c r="O110">
        <f t="shared" si="26"/>
        <v>1.4635085025896708</v>
      </c>
      <c r="P110">
        <f t="shared" si="27"/>
        <v>0.48059678913295201</v>
      </c>
    </row>
    <row r="111" spans="6:16" x14ac:dyDescent="0.3">
      <c r="F111">
        <f t="shared" si="29"/>
        <v>115</v>
      </c>
      <c r="G111">
        <f t="shared" si="20"/>
        <v>709.63925467865079</v>
      </c>
      <c r="H111">
        <f t="shared" si="21"/>
        <v>118.67334553376907</v>
      </c>
      <c r="I111">
        <f t="shared" si="22"/>
        <v>1.1833037145891712</v>
      </c>
      <c r="J111">
        <f t="shared" si="23"/>
        <v>133.61632764082313</v>
      </c>
      <c r="K111">
        <f t="shared" si="24"/>
        <v>828.31260021241985</v>
      </c>
      <c r="L111">
        <f t="shared" si="25"/>
        <v>700</v>
      </c>
      <c r="M111">
        <f>'Input + Tire Forces'!$L$15+J111</f>
        <v>469.6163276408231</v>
      </c>
      <c r="N111">
        <f>'Input + Tire Forces'!$L$16-J111</f>
        <v>230.38367235917687</v>
      </c>
      <c r="O111">
        <f t="shared" si="26"/>
        <v>1.5111043056011557</v>
      </c>
      <c r="P111">
        <f t="shared" si="27"/>
        <v>0.51511178860259166</v>
      </c>
    </row>
    <row r="112" spans="6:16" x14ac:dyDescent="0.3">
      <c r="F112">
        <f t="shared" si="29"/>
        <v>120</v>
      </c>
      <c r="G112">
        <f t="shared" si="20"/>
        <v>740.493135316853</v>
      </c>
      <c r="H112">
        <f t="shared" si="21"/>
        <v>123.83305620915033</v>
      </c>
      <c r="I112">
        <f t="shared" si="22"/>
        <v>1.2347517021800047</v>
      </c>
      <c r="J112">
        <f t="shared" si="23"/>
        <v>139.42573319042415</v>
      </c>
      <c r="K112">
        <f t="shared" si="24"/>
        <v>864.3261915260033</v>
      </c>
      <c r="L112">
        <f t="shared" si="25"/>
        <v>700</v>
      </c>
      <c r="M112">
        <f>'Input + Tire Forces'!$L$15+J112</f>
        <v>475.42573319042413</v>
      </c>
      <c r="N112">
        <f>'Input + Tire Forces'!$L$16-J112</f>
        <v>224.57426680957585</v>
      </c>
      <c r="O112">
        <f t="shared" si="26"/>
        <v>1.5575369266355223</v>
      </c>
      <c r="P112">
        <f t="shared" si="27"/>
        <v>0.55141249248362278</v>
      </c>
    </row>
    <row r="113" spans="6:16" x14ac:dyDescent="0.3">
      <c r="F113">
        <f t="shared" si="29"/>
        <v>125</v>
      </c>
      <c r="G113">
        <f t="shared" si="20"/>
        <v>771.3470159550551</v>
      </c>
      <c r="H113">
        <f t="shared" si="21"/>
        <v>128.99276688453162</v>
      </c>
      <c r="I113">
        <f t="shared" si="22"/>
        <v>1.2861996897708383</v>
      </c>
      <c r="J113">
        <f t="shared" si="23"/>
        <v>145.23513874002515</v>
      </c>
      <c r="K113">
        <f t="shared" si="24"/>
        <v>900.33978283958686</v>
      </c>
      <c r="L113">
        <f t="shared" si="25"/>
        <v>700</v>
      </c>
      <c r="M113">
        <f>'Input + Tire Forces'!$L$15+J113</f>
        <v>481.23513874002515</v>
      </c>
      <c r="N113">
        <f>'Input + Tire Forces'!$L$16-J113</f>
        <v>218.76486125997485</v>
      </c>
      <c r="O113">
        <f t="shared" si="26"/>
        <v>1.6028484910195957</v>
      </c>
      <c r="P113">
        <f t="shared" si="27"/>
        <v>0.58964116148086387</v>
      </c>
    </row>
    <row r="114" spans="6:16" x14ac:dyDescent="0.3">
      <c r="F114">
        <f t="shared" si="29"/>
        <v>130</v>
      </c>
      <c r="G114">
        <f t="shared" si="20"/>
        <v>802.20089659325743</v>
      </c>
      <c r="H114">
        <f t="shared" si="21"/>
        <v>134.15247755991285</v>
      </c>
      <c r="I114">
        <f t="shared" si="22"/>
        <v>1.3376476773616719</v>
      </c>
      <c r="J114">
        <f t="shared" si="23"/>
        <v>151.04454428962617</v>
      </c>
      <c r="K114">
        <f t="shared" si="24"/>
        <v>936.35337415317031</v>
      </c>
      <c r="L114">
        <f t="shared" si="25"/>
        <v>700</v>
      </c>
      <c r="M114">
        <f>'Input + Tire Forces'!$L$15+J114</f>
        <v>487.04454428962617</v>
      </c>
      <c r="N114">
        <f>'Input + Tire Forces'!$L$16-J114</f>
        <v>212.95545571037383</v>
      </c>
      <c r="O114">
        <f t="shared" si="26"/>
        <v>1.6470791142179804</v>
      </c>
      <c r="P114">
        <f t="shared" si="27"/>
        <v>0.62995557973571936</v>
      </c>
    </row>
    <row r="115" spans="6:16" x14ac:dyDescent="0.3">
      <c r="F115">
        <f t="shared" si="29"/>
        <v>135</v>
      </c>
      <c r="G115">
        <f t="shared" si="20"/>
        <v>833.05477723145952</v>
      </c>
      <c r="H115">
        <f t="shared" si="21"/>
        <v>139.31218823529412</v>
      </c>
      <c r="I115">
        <f t="shared" si="22"/>
        <v>1.3890956649525052</v>
      </c>
      <c r="J115">
        <f t="shared" si="23"/>
        <v>156.85394983922714</v>
      </c>
      <c r="K115">
        <f t="shared" si="24"/>
        <v>972.36696546675364</v>
      </c>
      <c r="L115">
        <f t="shared" si="25"/>
        <v>700</v>
      </c>
      <c r="M115">
        <f>'Input + Tire Forces'!$L$15+J115</f>
        <v>492.85394983922714</v>
      </c>
      <c r="N115">
        <f>'Input + Tire Forces'!$L$16-J115</f>
        <v>207.14605016077286</v>
      </c>
      <c r="O115">
        <f t="shared" si="26"/>
        <v>1.690267020287062</v>
      </c>
      <c r="P115">
        <f t="shared" si="27"/>
        <v>0.67253123159804085</v>
      </c>
    </row>
    <row r="116" spans="6:16" x14ac:dyDescent="0.3">
      <c r="F116">
        <f t="shared" si="29"/>
        <v>140</v>
      </c>
      <c r="G116">
        <f t="shared" si="20"/>
        <v>863.90865786966162</v>
      </c>
      <c r="H116">
        <f t="shared" si="21"/>
        <v>144.47189891067538</v>
      </c>
      <c r="I116">
        <f t="shared" si="22"/>
        <v>1.4405436525433386</v>
      </c>
      <c r="J116">
        <f t="shared" si="23"/>
        <v>162.66335538882814</v>
      </c>
      <c r="K116">
        <f t="shared" si="24"/>
        <v>1008.380556780337</v>
      </c>
      <c r="L116">
        <f t="shared" si="25"/>
        <v>700</v>
      </c>
      <c r="M116">
        <f>'Input + Tire Forces'!$L$15+J116</f>
        <v>498.66335538882811</v>
      </c>
      <c r="N116">
        <f>'Input + Tire Forces'!$L$16-J116</f>
        <v>201.33664461117186</v>
      </c>
      <c r="O116">
        <f t="shared" si="26"/>
        <v>1.7324486520491102</v>
      </c>
      <c r="P116">
        <f t="shared" si="27"/>
        <v>0.71756385525190602</v>
      </c>
    </row>
    <row r="117" spans="6:16" x14ac:dyDescent="0.3">
      <c r="F117">
        <f t="shared" si="29"/>
        <v>145</v>
      </c>
      <c r="G117">
        <f t="shared" si="20"/>
        <v>894.76253850786406</v>
      </c>
      <c r="H117">
        <f t="shared" si="21"/>
        <v>149.63160958605667</v>
      </c>
      <c r="I117">
        <f t="shared" si="22"/>
        <v>1.4919916401341724</v>
      </c>
      <c r="J117">
        <f t="shared" si="23"/>
        <v>168.47276093842919</v>
      </c>
      <c r="K117">
        <f t="shared" si="24"/>
        <v>1044.3941480939206</v>
      </c>
      <c r="L117">
        <f t="shared" si="25"/>
        <v>700</v>
      </c>
      <c r="M117">
        <f>'Input + Tire Forces'!$L$15+J117</f>
        <v>504.47276093842919</v>
      </c>
      <c r="N117">
        <f>'Input + Tire Forces'!$L$16-J117</f>
        <v>195.52723906157081</v>
      </c>
      <c r="O117">
        <f t="shared" si="26"/>
        <v>1.7736587736539251</v>
      </c>
      <c r="P117">
        <f t="shared" si="27"/>
        <v>0.76527245157355406</v>
      </c>
    </row>
    <row r="118" spans="6:16" x14ac:dyDescent="0.3">
      <c r="F118">
        <f t="shared" si="29"/>
        <v>150</v>
      </c>
      <c r="G118">
        <f t="shared" si="20"/>
        <v>925.61641914606616</v>
      </c>
      <c r="H118">
        <f t="shared" si="21"/>
        <v>154.79132026143793</v>
      </c>
      <c r="I118">
        <f t="shared" si="22"/>
        <v>1.5434396277250058</v>
      </c>
      <c r="J118">
        <f t="shared" si="23"/>
        <v>174.28216648803016</v>
      </c>
      <c r="K118">
        <f t="shared" si="24"/>
        <v>1080.4077394075041</v>
      </c>
      <c r="L118">
        <f t="shared" si="25"/>
        <v>700</v>
      </c>
      <c r="M118">
        <f>'Input + Tire Forces'!$L$15+J118</f>
        <v>510.28216648803016</v>
      </c>
      <c r="N118">
        <f>'Input + Tire Forces'!$L$16-J118</f>
        <v>189.71783351196984</v>
      </c>
      <c r="O118">
        <f t="shared" si="26"/>
        <v>1.8139305661346852</v>
      </c>
      <c r="P118">
        <f t="shared" si="27"/>
        <v>0.81590284580005867</v>
      </c>
    </row>
    <row r="119" spans="6:16" x14ac:dyDescent="0.3">
      <c r="F119">
        <f>F118+5</f>
        <v>155</v>
      </c>
      <c r="G119">
        <f t="shared" si="20"/>
        <v>956.47029978426838</v>
      </c>
      <c r="H119">
        <f t="shared" si="21"/>
        <v>159.95103093681919</v>
      </c>
      <c r="I119">
        <f t="shared" si="22"/>
        <v>1.5948876153158393</v>
      </c>
      <c r="J119">
        <f t="shared" si="23"/>
        <v>180.09157203763118</v>
      </c>
      <c r="K119">
        <f t="shared" si="24"/>
        <v>1116.4213307210875</v>
      </c>
      <c r="L119">
        <f t="shared" si="25"/>
        <v>700</v>
      </c>
      <c r="M119">
        <f>'Input + Tire Forces'!$L$15+J119</f>
        <v>516.09157203763118</v>
      </c>
      <c r="N119">
        <f>'Input + Tire Forces'!$L$16-J119</f>
        <v>183.90842796236882</v>
      </c>
      <c r="O119">
        <f t="shared" si="26"/>
        <v>1.8532957165100279</v>
      </c>
      <c r="P119">
        <f t="shared" si="27"/>
        <v>0.86973192424627888</v>
      </c>
    </row>
    <row r="120" spans="6:16" x14ac:dyDescent="0.3">
      <c r="F120">
        <f t="shared" ref="F120:F128" si="30">F119+5</f>
        <v>160</v>
      </c>
      <c r="G120">
        <f t="shared" si="20"/>
        <v>987.32418042247059</v>
      </c>
      <c r="H120">
        <f t="shared" si="21"/>
        <v>165.11074161220048</v>
      </c>
      <c r="I120">
        <f t="shared" si="22"/>
        <v>1.6463356029066729</v>
      </c>
      <c r="J120">
        <f t="shared" si="23"/>
        <v>185.90097758723218</v>
      </c>
      <c r="K120">
        <f t="shared" si="24"/>
        <v>1152.434922034671</v>
      </c>
      <c r="L120">
        <f t="shared" si="25"/>
        <v>700</v>
      </c>
      <c r="M120">
        <f>'Input + Tire Forces'!$L$15+J120</f>
        <v>521.90097758723221</v>
      </c>
      <c r="N120">
        <f>'Input + Tire Forces'!$L$16-J120</f>
        <v>178.09902241276782</v>
      </c>
      <c r="O120">
        <f t="shared" si="26"/>
        <v>1.8917845009352297</v>
      </c>
      <c r="P120">
        <f t="shared" si="27"/>
        <v>0.92707270020570187</v>
      </c>
    </row>
    <row r="121" spans="6:16" x14ac:dyDescent="0.3">
      <c r="F121">
        <f t="shared" si="30"/>
        <v>165</v>
      </c>
      <c r="G121">
        <f t="shared" si="20"/>
        <v>1018.1780610606728</v>
      </c>
      <c r="H121">
        <f t="shared" si="21"/>
        <v>170.27045228758169</v>
      </c>
      <c r="I121">
        <f t="shared" si="22"/>
        <v>1.6977835904975063</v>
      </c>
      <c r="J121">
        <f t="shared" si="23"/>
        <v>191.71038313683317</v>
      </c>
      <c r="K121">
        <f t="shared" si="24"/>
        <v>1188.4485133482544</v>
      </c>
      <c r="L121">
        <f t="shared" si="25"/>
        <v>700</v>
      </c>
      <c r="M121">
        <f>'Input + Tire Forces'!$L$15+J121</f>
        <v>527.71038313683312</v>
      </c>
      <c r="N121">
        <f>'Input + Tire Forces'!$L$16-J121</f>
        <v>172.28961686316683</v>
      </c>
      <c r="O121">
        <f t="shared" si="26"/>
        <v>1.9294258623610661</v>
      </c>
      <c r="P121">
        <f t="shared" si="27"/>
        <v>0.98828040474900603</v>
      </c>
    </row>
    <row r="122" spans="6:16" x14ac:dyDescent="0.3">
      <c r="F122">
        <f t="shared" si="30"/>
        <v>170</v>
      </c>
      <c r="G122">
        <f t="shared" si="20"/>
        <v>1049.031941698875</v>
      </c>
      <c r="H122">
        <f t="shared" si="21"/>
        <v>175.43016296296298</v>
      </c>
      <c r="I122">
        <f t="shared" si="22"/>
        <v>1.7492315780883401</v>
      </c>
      <c r="J122">
        <f t="shared" si="23"/>
        <v>197.5197886864342</v>
      </c>
      <c r="K122">
        <f t="shared" si="24"/>
        <v>1224.4621046618381</v>
      </c>
      <c r="L122">
        <f t="shared" si="25"/>
        <v>700</v>
      </c>
      <c r="M122">
        <f>'Input + Tire Forces'!$L$15+J122</f>
        <v>533.51978868643414</v>
      </c>
      <c r="N122">
        <f>'Input + Tire Forces'!$L$16-J122</f>
        <v>166.4802113135658</v>
      </c>
      <c r="O122">
        <f t="shared" si="26"/>
        <v>1.9662474831189871</v>
      </c>
      <c r="P122">
        <f t="shared" si="27"/>
        <v>1.0537598527703689</v>
      </c>
    </row>
    <row r="123" spans="6:16" x14ac:dyDescent="0.3">
      <c r="F123">
        <f t="shared" si="30"/>
        <v>175</v>
      </c>
      <c r="G123">
        <f t="shared" si="20"/>
        <v>1079.8858223370773</v>
      </c>
      <c r="H123">
        <f t="shared" si="21"/>
        <v>180.58987363834424</v>
      </c>
      <c r="I123">
        <f t="shared" si="22"/>
        <v>1.8006795656791736</v>
      </c>
      <c r="J123">
        <f t="shared" si="23"/>
        <v>203.32919423603522</v>
      </c>
      <c r="K123">
        <f t="shared" si="24"/>
        <v>1260.4756959754216</v>
      </c>
      <c r="L123">
        <f t="shared" si="25"/>
        <v>700</v>
      </c>
      <c r="M123">
        <f>'Input + Tire Forces'!$L$15+J123</f>
        <v>539.32919423603516</v>
      </c>
      <c r="N123">
        <f>'Input + Tire Forces'!$L$16-J123</f>
        <v>160.67080576396478</v>
      </c>
      <c r="O123">
        <f t="shared" si="26"/>
        <v>2.0022758528151727</v>
      </c>
      <c r="P123">
        <f t="shared" si="27"/>
        <v>1.1239744070471755</v>
      </c>
    </row>
    <row r="124" spans="6:16" x14ac:dyDescent="0.3">
      <c r="F124">
        <f t="shared" si="30"/>
        <v>180</v>
      </c>
      <c r="G124">
        <f t="shared" si="20"/>
        <v>1110.7397029752794</v>
      </c>
      <c r="H124">
        <f t="shared" si="21"/>
        <v>185.74958431372551</v>
      </c>
      <c r="I124">
        <f t="shared" si="22"/>
        <v>1.8521275532700072</v>
      </c>
      <c r="J124">
        <f t="shared" si="23"/>
        <v>209.13859978563622</v>
      </c>
      <c r="K124">
        <f t="shared" si="24"/>
        <v>1296.489287289005</v>
      </c>
      <c r="L124">
        <f t="shared" si="25"/>
        <v>700</v>
      </c>
      <c r="M124">
        <f>'Input + Tire Forces'!$L$15+J124</f>
        <v>545.13859978563619</v>
      </c>
      <c r="N124">
        <f>'Input + Tire Forces'!$L$16-J124</f>
        <v>154.86140021436378</v>
      </c>
      <c r="O124">
        <f t="shared" si="26"/>
        <v>2.0375363318834028</v>
      </c>
      <c r="P124">
        <f t="shared" si="27"/>
        <v>1.1994569599435714</v>
      </c>
    </row>
    <row r="125" spans="6:16" x14ac:dyDescent="0.3">
      <c r="F125">
        <f t="shared" si="30"/>
        <v>185</v>
      </c>
      <c r="G125">
        <f t="shared" si="20"/>
        <v>1141.5935836134815</v>
      </c>
      <c r="H125">
        <f t="shared" si="21"/>
        <v>190.9092949891068</v>
      </c>
      <c r="I125">
        <f t="shared" si="22"/>
        <v>1.9035755408608404</v>
      </c>
      <c r="J125">
        <f t="shared" si="23"/>
        <v>214.94800533523718</v>
      </c>
      <c r="K125">
        <f t="shared" si="24"/>
        <v>1332.5028786025882</v>
      </c>
      <c r="L125">
        <f t="shared" si="25"/>
        <v>700</v>
      </c>
      <c r="M125">
        <f>'Input + Tire Forces'!$L$15+J125</f>
        <v>550.94800533523721</v>
      </c>
      <c r="N125">
        <f>'Input + Tire Forces'!$L$16-J125</f>
        <v>149.05199466476282</v>
      </c>
      <c r="O125">
        <f t="shared" si="26"/>
        <v>2.0720532111171766</v>
      </c>
      <c r="P125">
        <f t="shared" si="27"/>
        <v>1.2808234832313814</v>
      </c>
    </row>
    <row r="126" spans="6:16" x14ac:dyDescent="0.3">
      <c r="F126">
        <f t="shared" si="30"/>
        <v>190</v>
      </c>
      <c r="G126">
        <f t="shared" si="20"/>
        <v>1172.4474642516841</v>
      </c>
      <c r="H126">
        <f t="shared" si="21"/>
        <v>196.06900566448803</v>
      </c>
      <c r="I126">
        <f t="shared" si="22"/>
        <v>1.9550235284516744</v>
      </c>
      <c r="J126">
        <f t="shared" si="23"/>
        <v>220.75741088483827</v>
      </c>
      <c r="K126">
        <f t="shared" si="24"/>
        <v>1368.5164699161721</v>
      </c>
      <c r="L126">
        <f t="shared" si="25"/>
        <v>700</v>
      </c>
      <c r="M126">
        <f>'Input + Tire Forces'!$L$15+J126</f>
        <v>556.75741088483824</v>
      </c>
      <c r="N126">
        <f>'Input + Tire Forces'!$L$16-J126</f>
        <v>143.24258911516173</v>
      </c>
      <c r="O126">
        <f t="shared" si="26"/>
        <v>2.1058497674747567</v>
      </c>
      <c r="P126">
        <f t="shared" si="27"/>
        <v>1.3687898751038059</v>
      </c>
    </row>
    <row r="127" spans="6:16" x14ac:dyDescent="0.3">
      <c r="F127">
        <f t="shared" si="30"/>
        <v>195</v>
      </c>
      <c r="G127">
        <f t="shared" si="20"/>
        <v>1203.301344889886</v>
      </c>
      <c r="H127">
        <f t="shared" si="21"/>
        <v>201.22871633986929</v>
      </c>
      <c r="I127">
        <f t="shared" si="22"/>
        <v>2.0064715160425077</v>
      </c>
      <c r="J127">
        <f t="shared" si="23"/>
        <v>226.56681643443923</v>
      </c>
      <c r="K127">
        <f t="shared" si="24"/>
        <v>1404.5300612297553</v>
      </c>
      <c r="L127">
        <f t="shared" si="25"/>
        <v>700</v>
      </c>
      <c r="M127">
        <f>'Input + Tire Forces'!$L$15+J127</f>
        <v>562.56681643443926</v>
      </c>
      <c r="N127">
        <f>'Input + Tire Forces'!$L$16-J127</f>
        <v>137.43318356556077</v>
      </c>
      <c r="O127">
        <f t="shared" si="26"/>
        <v>2.1389483164265468</v>
      </c>
      <c r="P127">
        <f t="shared" si="27"/>
        <v>1.4641930800058609</v>
      </c>
    </row>
    <row r="128" spans="6:16" x14ac:dyDescent="0.3">
      <c r="F128">
        <f t="shared" si="30"/>
        <v>200</v>
      </c>
      <c r="G128">
        <f t="shared" si="20"/>
        <v>1234.1552255280883</v>
      </c>
      <c r="H128">
        <f t="shared" si="21"/>
        <v>206.38842701525061</v>
      </c>
      <c r="I128">
        <f t="shared" si="22"/>
        <v>2.0579195036333413</v>
      </c>
      <c r="J128">
        <f t="shared" si="23"/>
        <v>232.37622198404026</v>
      </c>
      <c r="K128">
        <f t="shared" si="24"/>
        <v>1440.543652543339</v>
      </c>
      <c r="L128">
        <f t="shared" si="25"/>
        <v>700</v>
      </c>
      <c r="M128">
        <f>'Input + Tire Forces'!$L$15+J128</f>
        <v>568.37622198404028</v>
      </c>
      <c r="N128">
        <f>'Input + Tire Forces'!$L$16-J128</f>
        <v>131.62377801595974</v>
      </c>
      <c r="O128">
        <f t="shared" si="26"/>
        <v>2.1713702610922079</v>
      </c>
      <c r="P128">
        <f t="shared" si="27"/>
        <v>1.568017801390152</v>
      </c>
    </row>
    <row r="130" spans="4:16" x14ac:dyDescent="0.3">
      <c r="D130" s="25" t="s">
        <v>168</v>
      </c>
      <c r="E130" s="25">
        <v>0.65</v>
      </c>
      <c r="F130" s="1" t="s">
        <v>173</v>
      </c>
      <c r="G130" s="1" t="s">
        <v>182</v>
      </c>
      <c r="H130" s="1" t="s">
        <v>183</v>
      </c>
      <c r="I130" s="1" t="s">
        <v>317</v>
      </c>
      <c r="J130" s="1" t="s">
        <v>318</v>
      </c>
      <c r="K130" s="1" t="s">
        <v>175</v>
      </c>
      <c r="L130" s="1" t="s">
        <v>319</v>
      </c>
      <c r="M130" s="1" t="s">
        <v>178</v>
      </c>
      <c r="N130" s="1" t="s">
        <v>179</v>
      </c>
      <c r="O130" s="1" t="s">
        <v>320</v>
      </c>
      <c r="P130" s="1" t="s">
        <v>321</v>
      </c>
    </row>
    <row r="131" spans="4:16" x14ac:dyDescent="0.3">
      <c r="F131">
        <v>0</v>
      </c>
      <c r="G131">
        <f>(2*F131*$B$30)*($B$13*$B$14/$B$26)*($B$15/$B$3)*($B$28/(2*$B$6))*$E$130</f>
        <v>0</v>
      </c>
      <c r="H131">
        <f>(2*$B$30*F131)*($B$20*$B$22/$B$26)*($B$21/$B$3)*($B$28/(2*$B$6))*(1-$E$130)</f>
        <v>0</v>
      </c>
      <c r="I131">
        <f>(G131+H131)/$B$2</f>
        <v>0</v>
      </c>
      <c r="J131">
        <f>I131*(($B$2*$B$4)/$B$5)</f>
        <v>0</v>
      </c>
      <c r="K131">
        <f>$B$2*I131</f>
        <v>0</v>
      </c>
      <c r="L131">
        <f>$B$2</f>
        <v>700</v>
      </c>
      <c r="M131">
        <f>'Input + Tire Forces'!$L$15+J131</f>
        <v>336</v>
      </c>
      <c r="N131">
        <f>'Input + Tire Forces'!$L$16-J131</f>
        <v>364</v>
      </c>
      <c r="O131">
        <f>G131/M131</f>
        <v>0</v>
      </c>
      <c r="P131">
        <f>H131/N131</f>
        <v>0</v>
      </c>
    </row>
    <row r="132" spans="4:16" x14ac:dyDescent="0.3">
      <c r="F132">
        <f>F131+5</f>
        <v>5</v>
      </c>
      <c r="G132">
        <f t="shared" ref="G132:G171" si="31">(2*F132*$B$30)*($B$13*$B$14/$B$26)*($B$15/$B$3)*($B$28/(2*$B$6))*$E$130</f>
        <v>33.425037358052393</v>
      </c>
      <c r="H132">
        <f t="shared" ref="H132:H171" si="32">(2*$B$30*F132)*($B$20*$B$22/$B$26)*($B$21/$B$3)*($B$28/(2*$B$6))*(1-$E$130)</f>
        <v>4.5147468409586065</v>
      </c>
      <c r="I132">
        <f t="shared" ref="I132:I171" si="33">(G132+H132)/$B$2</f>
        <v>5.4199691712872859E-2</v>
      </c>
      <c r="J132">
        <f t="shared" ref="J132:J171" si="34">I132*(($B$2*$B$4)/$B$5)</f>
        <v>6.1201225658732499</v>
      </c>
      <c r="K132">
        <f t="shared" ref="K132:K171" si="35">$B$2*I132</f>
        <v>37.939784199011001</v>
      </c>
      <c r="L132">
        <f t="shared" ref="L132:L171" si="36">$B$2</f>
        <v>700</v>
      </c>
      <c r="M132">
        <f>'Input + Tire Forces'!$L$15+J132</f>
        <v>342.12012256587326</v>
      </c>
      <c r="N132">
        <f>'Input + Tire Forces'!$L$16-J132</f>
        <v>357.87987743412674</v>
      </c>
      <c r="O132">
        <f t="shared" ref="O132:O171" si="37">G132/M132</f>
        <v>9.769971174851487E-2</v>
      </c>
      <c r="P132">
        <f t="shared" ref="P132:P171" si="38">H132/N132</f>
        <v>1.2615257592373617E-2</v>
      </c>
    </row>
    <row r="133" spans="4:16" x14ac:dyDescent="0.3">
      <c r="F133">
        <f t="shared" ref="F133:F151" si="39">F132+5</f>
        <v>10</v>
      </c>
      <c r="G133">
        <f t="shared" si="31"/>
        <v>66.850074716104785</v>
      </c>
      <c r="H133">
        <f t="shared" si="32"/>
        <v>9.0294936819172129</v>
      </c>
      <c r="I133">
        <f t="shared" si="33"/>
        <v>0.10839938342574572</v>
      </c>
      <c r="J133">
        <f t="shared" si="34"/>
        <v>12.2402451317465</v>
      </c>
      <c r="K133">
        <f t="shared" si="35"/>
        <v>75.879568398022002</v>
      </c>
      <c r="L133">
        <f t="shared" si="36"/>
        <v>700</v>
      </c>
      <c r="M133">
        <f>'Input + Tire Forces'!$L$15+J133</f>
        <v>348.24024513174652</v>
      </c>
      <c r="N133">
        <f>'Input + Tire Forces'!$L$16-J133</f>
        <v>351.75975486825348</v>
      </c>
      <c r="O133">
        <f t="shared" si="37"/>
        <v>0.19196539070552862</v>
      </c>
      <c r="P133">
        <f t="shared" si="38"/>
        <v>2.5669490488754401E-2</v>
      </c>
    </row>
    <row r="134" spans="4:16" x14ac:dyDescent="0.3">
      <c r="F134">
        <f t="shared" si="39"/>
        <v>15</v>
      </c>
      <c r="G134">
        <f t="shared" si="31"/>
        <v>100.27511207415718</v>
      </c>
      <c r="H134">
        <f t="shared" si="32"/>
        <v>13.544240522875816</v>
      </c>
      <c r="I134">
        <f t="shared" si="33"/>
        <v>0.16259907513861854</v>
      </c>
      <c r="J134">
        <f t="shared" si="34"/>
        <v>18.360367697619747</v>
      </c>
      <c r="K134">
        <f t="shared" si="35"/>
        <v>113.81935259703297</v>
      </c>
      <c r="L134">
        <f t="shared" si="36"/>
        <v>700</v>
      </c>
      <c r="M134">
        <f>'Input + Tire Forces'!$L$15+J134</f>
        <v>354.36036769761972</v>
      </c>
      <c r="N134">
        <f>'Input + Tire Forces'!$L$16-J134</f>
        <v>345.63963230238028</v>
      </c>
      <c r="O134">
        <f t="shared" si="37"/>
        <v>0.28297496338451489</v>
      </c>
      <c r="P134">
        <f t="shared" si="38"/>
        <v>3.9186017045136586E-2</v>
      </c>
    </row>
    <row r="135" spans="4:16" x14ac:dyDescent="0.3">
      <c r="F135">
        <f t="shared" si="39"/>
        <v>20</v>
      </c>
      <c r="G135">
        <f t="shared" si="31"/>
        <v>133.70014943220957</v>
      </c>
      <c r="H135">
        <f t="shared" si="32"/>
        <v>18.058987363834426</v>
      </c>
      <c r="I135">
        <f t="shared" si="33"/>
        <v>0.21679876685149144</v>
      </c>
      <c r="J135">
        <f t="shared" si="34"/>
        <v>24.480490263493</v>
      </c>
      <c r="K135">
        <f t="shared" si="35"/>
        <v>151.759136796044</v>
      </c>
      <c r="L135">
        <f t="shared" si="36"/>
        <v>700</v>
      </c>
      <c r="M135">
        <f>'Input + Tire Forces'!$L$15+J135</f>
        <v>360.48049026349298</v>
      </c>
      <c r="N135">
        <f>'Input + Tire Forces'!$L$16-J135</f>
        <v>339.51950973650702</v>
      </c>
      <c r="O135">
        <f t="shared" si="37"/>
        <v>0.37089427318100221</v>
      </c>
      <c r="P135">
        <f t="shared" si="38"/>
        <v>5.3189836948838595E-2</v>
      </c>
    </row>
    <row r="136" spans="4:16" x14ac:dyDescent="0.3">
      <c r="F136">
        <f t="shared" si="39"/>
        <v>25</v>
      </c>
      <c r="G136">
        <f t="shared" si="31"/>
        <v>167.12518679026198</v>
      </c>
      <c r="H136">
        <f t="shared" si="32"/>
        <v>22.573734204793031</v>
      </c>
      <c r="I136">
        <f t="shared" si="33"/>
        <v>0.27099845856436428</v>
      </c>
      <c r="J136">
        <f t="shared" si="34"/>
        <v>30.600612829366248</v>
      </c>
      <c r="K136">
        <f t="shared" si="35"/>
        <v>189.698920995055</v>
      </c>
      <c r="L136">
        <f t="shared" si="36"/>
        <v>700</v>
      </c>
      <c r="M136">
        <f>'Input + Tire Forces'!$L$15+J136</f>
        <v>366.60061282936624</v>
      </c>
      <c r="N136">
        <f>'Input + Tire Forces'!$L$16-J136</f>
        <v>333.39938717063376</v>
      </c>
      <c r="O136">
        <f t="shared" si="37"/>
        <v>0.45587808896558002</v>
      </c>
      <c r="P136">
        <f t="shared" si="38"/>
        <v>6.7707785537229545E-2</v>
      </c>
    </row>
    <row r="137" spans="4:16" x14ac:dyDescent="0.3">
      <c r="F137">
        <f t="shared" si="39"/>
        <v>30</v>
      </c>
      <c r="G137">
        <f t="shared" si="31"/>
        <v>200.55022414831436</v>
      </c>
      <c r="H137">
        <f t="shared" si="32"/>
        <v>27.088481045751632</v>
      </c>
      <c r="I137">
        <f t="shared" si="33"/>
        <v>0.32519815027723709</v>
      </c>
      <c r="J137">
        <f t="shared" si="34"/>
        <v>36.720735395239494</v>
      </c>
      <c r="K137">
        <f t="shared" si="35"/>
        <v>227.63870519406595</v>
      </c>
      <c r="L137">
        <f t="shared" si="36"/>
        <v>700</v>
      </c>
      <c r="M137">
        <f>'Input + Tire Forces'!$L$15+J137</f>
        <v>372.7207353952395</v>
      </c>
      <c r="N137">
        <f>'Input + Tire Forces'!$L$16-J137</f>
        <v>327.2792646047605</v>
      </c>
      <c r="O137">
        <f t="shared" si="37"/>
        <v>0.53807101430954041</v>
      </c>
      <c r="P137">
        <f t="shared" si="38"/>
        <v>8.2768705431018039E-2</v>
      </c>
    </row>
    <row r="138" spans="4:16" x14ac:dyDescent="0.3">
      <c r="F138">
        <f t="shared" si="39"/>
        <v>35</v>
      </c>
      <c r="G138">
        <f t="shared" si="31"/>
        <v>233.97526150636668</v>
      </c>
      <c r="H138">
        <f t="shared" si="32"/>
        <v>31.603227886710236</v>
      </c>
      <c r="I138">
        <f t="shared" si="33"/>
        <v>0.37939784199010984</v>
      </c>
      <c r="J138">
        <f t="shared" si="34"/>
        <v>42.840857961112732</v>
      </c>
      <c r="K138">
        <f t="shared" si="35"/>
        <v>265.57848939307689</v>
      </c>
      <c r="L138">
        <f t="shared" si="36"/>
        <v>700</v>
      </c>
      <c r="M138">
        <f>'Input + Tire Forces'!$L$15+J138</f>
        <v>378.84085796111276</v>
      </c>
      <c r="N138">
        <f>'Input + Tire Forces'!$L$16-J138</f>
        <v>321.15914203888724</v>
      </c>
      <c r="O138">
        <f t="shared" si="37"/>
        <v>0.61760830858002058</v>
      </c>
      <c r="P138">
        <f t="shared" si="38"/>
        <v>9.8403637791769888E-2</v>
      </c>
    </row>
    <row r="139" spans="4:16" x14ac:dyDescent="0.3">
      <c r="F139">
        <f t="shared" si="39"/>
        <v>40</v>
      </c>
      <c r="G139">
        <f t="shared" si="31"/>
        <v>267.40029886441914</v>
      </c>
      <c r="H139">
        <f t="shared" si="32"/>
        <v>36.117974727668852</v>
      </c>
      <c r="I139">
        <f t="shared" si="33"/>
        <v>0.43359753370298287</v>
      </c>
      <c r="J139">
        <f t="shared" si="34"/>
        <v>48.960980526985999</v>
      </c>
      <c r="K139">
        <f t="shared" si="35"/>
        <v>303.51827359208801</v>
      </c>
      <c r="L139">
        <f t="shared" si="36"/>
        <v>700</v>
      </c>
      <c r="M139">
        <f>'Input + Tire Forces'!$L$15+J139</f>
        <v>384.96098052698602</v>
      </c>
      <c r="N139">
        <f>'Input + Tire Forces'!$L$16-J139</f>
        <v>315.03901947301398</v>
      </c>
      <c r="O139">
        <f t="shared" si="37"/>
        <v>0.69461662971235649</v>
      </c>
      <c r="P139">
        <f t="shared" si="38"/>
        <v>0.11464603587227293</v>
      </c>
    </row>
    <row r="140" spans="4:16" x14ac:dyDescent="0.3">
      <c r="F140">
        <f t="shared" si="39"/>
        <v>45</v>
      </c>
      <c r="G140">
        <f t="shared" si="31"/>
        <v>300.82533622247155</v>
      </c>
      <c r="H140">
        <f t="shared" si="32"/>
        <v>40.632721568627453</v>
      </c>
      <c r="I140">
        <f t="shared" si="33"/>
        <v>0.48779722541585574</v>
      </c>
      <c r="J140">
        <f t="shared" si="34"/>
        <v>55.081103092859252</v>
      </c>
      <c r="K140">
        <f t="shared" si="35"/>
        <v>341.45805779109901</v>
      </c>
      <c r="L140">
        <f t="shared" si="36"/>
        <v>700</v>
      </c>
      <c r="M140">
        <f>'Input + Tire Forces'!$L$15+J140</f>
        <v>391.08110309285928</v>
      </c>
      <c r="N140">
        <f>'Input + Tire Forces'!$L$16-J140</f>
        <v>308.91889690714072</v>
      </c>
      <c r="O140">
        <f t="shared" si="37"/>
        <v>0.76921470723949248</v>
      </c>
      <c r="P140">
        <f t="shared" si="38"/>
        <v>0.13153200395132</v>
      </c>
    </row>
    <row r="141" spans="4:16" x14ac:dyDescent="0.3">
      <c r="F141">
        <f t="shared" si="39"/>
        <v>50</v>
      </c>
      <c r="G141">
        <f t="shared" si="31"/>
        <v>334.25037358052396</v>
      </c>
      <c r="H141">
        <f t="shared" si="32"/>
        <v>45.147468409586061</v>
      </c>
      <c r="I141">
        <f t="shared" si="33"/>
        <v>0.54199691712872855</v>
      </c>
      <c r="J141">
        <f t="shared" si="34"/>
        <v>61.201225658732497</v>
      </c>
      <c r="K141">
        <f t="shared" si="35"/>
        <v>379.39784199011001</v>
      </c>
      <c r="L141">
        <f t="shared" si="36"/>
        <v>700</v>
      </c>
      <c r="M141">
        <f>'Input + Tire Forces'!$L$15+J141</f>
        <v>397.20122565873248</v>
      </c>
      <c r="N141">
        <f>'Input + Tire Forces'!$L$16-J141</f>
        <v>302.79877434126752</v>
      </c>
      <c r="O141">
        <f t="shared" si="37"/>
        <v>0.84151395310070198</v>
      </c>
      <c r="P141">
        <f t="shared" si="38"/>
        <v>0.1491005652443721</v>
      </c>
    </row>
    <row r="142" spans="4:16" x14ac:dyDescent="0.3">
      <c r="F142">
        <f t="shared" si="39"/>
        <v>55</v>
      </c>
      <c r="G142">
        <f t="shared" si="31"/>
        <v>367.67541093857636</v>
      </c>
      <c r="H142">
        <f t="shared" si="32"/>
        <v>49.662215250544662</v>
      </c>
      <c r="I142">
        <f t="shared" si="33"/>
        <v>0.59619660884160142</v>
      </c>
      <c r="J142">
        <f t="shared" si="34"/>
        <v>67.321348224605742</v>
      </c>
      <c r="K142">
        <f t="shared" si="35"/>
        <v>417.33762618912101</v>
      </c>
      <c r="L142">
        <f t="shared" si="36"/>
        <v>700</v>
      </c>
      <c r="M142">
        <f>'Input + Tire Forces'!$L$15+J142</f>
        <v>403.32134822460574</v>
      </c>
      <c r="N142">
        <f>'Input + Tire Forces'!$L$16-J142</f>
        <v>296.67865177539426</v>
      </c>
      <c r="O142">
        <f t="shared" si="37"/>
        <v>0.91161901683870572</v>
      </c>
      <c r="P142">
        <f t="shared" si="38"/>
        <v>0.16739396297426318</v>
      </c>
    </row>
    <row r="143" spans="4:16" x14ac:dyDescent="0.3">
      <c r="F143">
        <f t="shared" si="39"/>
        <v>60</v>
      </c>
      <c r="G143">
        <f t="shared" si="31"/>
        <v>401.10044829662871</v>
      </c>
      <c r="H143">
        <f t="shared" si="32"/>
        <v>54.176962091503263</v>
      </c>
      <c r="I143">
        <f t="shared" si="33"/>
        <v>0.65039630055447417</v>
      </c>
      <c r="J143">
        <f t="shared" si="34"/>
        <v>73.441470790478988</v>
      </c>
      <c r="K143">
        <f t="shared" si="35"/>
        <v>455.2774103881319</v>
      </c>
      <c r="L143">
        <f t="shared" si="36"/>
        <v>700</v>
      </c>
      <c r="M143">
        <f>'Input + Tire Forces'!$L$15+J143</f>
        <v>409.441470790479</v>
      </c>
      <c r="N143">
        <f>'Input + Tire Forces'!$L$16-J143</f>
        <v>290.558529209521</v>
      </c>
      <c r="O143">
        <f t="shared" si="37"/>
        <v>0.97962829100396964</v>
      </c>
      <c r="P143">
        <f t="shared" si="38"/>
        <v>0.18645799949116756</v>
      </c>
    </row>
    <row r="144" spans="4:16" x14ac:dyDescent="0.3">
      <c r="F144">
        <f t="shared" si="39"/>
        <v>65</v>
      </c>
      <c r="G144">
        <f t="shared" si="31"/>
        <v>434.52548565468118</v>
      </c>
      <c r="H144">
        <f t="shared" si="32"/>
        <v>58.691708932461871</v>
      </c>
      <c r="I144">
        <f t="shared" si="33"/>
        <v>0.70459599226734726</v>
      </c>
      <c r="J144">
        <f t="shared" si="34"/>
        <v>79.561593356352262</v>
      </c>
      <c r="K144">
        <f t="shared" si="35"/>
        <v>493.21719458714307</v>
      </c>
      <c r="L144">
        <f t="shared" si="36"/>
        <v>700</v>
      </c>
      <c r="M144">
        <f>'Input + Tire Forces'!$L$15+J144</f>
        <v>415.56159335635226</v>
      </c>
      <c r="N144">
        <f>'Input + Tire Forces'!$L$16-J144</f>
        <v>284.43840664364774</v>
      </c>
      <c r="O144">
        <f t="shared" si="37"/>
        <v>1.045634371899395</v>
      </c>
      <c r="P144">
        <f t="shared" si="38"/>
        <v>0.20634241917264168</v>
      </c>
    </row>
    <row r="145" spans="6:16" x14ac:dyDescent="0.3">
      <c r="F145">
        <f t="shared" si="39"/>
        <v>70</v>
      </c>
      <c r="G145">
        <f t="shared" si="31"/>
        <v>467.95052301273336</v>
      </c>
      <c r="H145">
        <f t="shared" si="32"/>
        <v>63.206455773420473</v>
      </c>
      <c r="I145">
        <f t="shared" si="33"/>
        <v>0.75879568398021968</v>
      </c>
      <c r="J145">
        <f t="shared" si="34"/>
        <v>85.681715922225465</v>
      </c>
      <c r="K145">
        <f t="shared" si="35"/>
        <v>531.15697878615379</v>
      </c>
      <c r="L145">
        <f t="shared" si="36"/>
        <v>700</v>
      </c>
      <c r="M145">
        <f>'Input + Tire Forces'!$L$15+J145</f>
        <v>421.68171592222546</v>
      </c>
      <c r="N145">
        <f>'Input + Tire Forces'!$L$16-J145</f>
        <v>278.31828407777454</v>
      </c>
      <c r="O145">
        <f t="shared" si="37"/>
        <v>1.1097244802026029</v>
      </c>
      <c r="P145">
        <f t="shared" si="38"/>
        <v>0.22710134184270039</v>
      </c>
    </row>
    <row r="146" spans="6:16" x14ac:dyDescent="0.3">
      <c r="F146">
        <f t="shared" si="39"/>
        <v>75</v>
      </c>
      <c r="G146">
        <f t="shared" si="31"/>
        <v>501.37556037078593</v>
      </c>
      <c r="H146">
        <f t="shared" si="32"/>
        <v>67.721202614379095</v>
      </c>
      <c r="I146">
        <f t="shared" si="33"/>
        <v>0.81299537569309288</v>
      </c>
      <c r="J146">
        <f t="shared" si="34"/>
        <v>91.801838488098753</v>
      </c>
      <c r="K146">
        <f t="shared" si="35"/>
        <v>569.09676298516501</v>
      </c>
      <c r="L146">
        <f t="shared" si="36"/>
        <v>700</v>
      </c>
      <c r="M146">
        <f>'Input + Tire Forces'!$L$15+J146</f>
        <v>427.80183848809872</v>
      </c>
      <c r="N146">
        <f>'Input + Tire Forces'!$L$16-J146</f>
        <v>272.19816151190128</v>
      </c>
      <c r="O146">
        <f t="shared" si="37"/>
        <v>1.171980845483753</v>
      </c>
      <c r="P146">
        <f t="shared" si="38"/>
        <v>0.24879375466104364</v>
      </c>
    </row>
    <row r="147" spans="6:16" x14ac:dyDescent="0.3">
      <c r="F147">
        <f t="shared" si="39"/>
        <v>80</v>
      </c>
      <c r="G147">
        <f t="shared" si="31"/>
        <v>534.80059772883828</v>
      </c>
      <c r="H147">
        <f t="shared" si="32"/>
        <v>72.235949455337703</v>
      </c>
      <c r="I147">
        <f t="shared" si="33"/>
        <v>0.86719506740596575</v>
      </c>
      <c r="J147">
        <f t="shared" si="34"/>
        <v>97.921961053971998</v>
      </c>
      <c r="K147">
        <f t="shared" si="35"/>
        <v>607.03654718417602</v>
      </c>
      <c r="L147">
        <f t="shared" si="36"/>
        <v>700</v>
      </c>
      <c r="M147">
        <f>'Input + Tire Forces'!$L$15+J147</f>
        <v>433.92196105397198</v>
      </c>
      <c r="N147">
        <f>'Input + Tire Forces'!$L$16-J147</f>
        <v>266.07803894602802</v>
      </c>
      <c r="O147">
        <f t="shared" si="37"/>
        <v>1.2324810581834527</v>
      </c>
      <c r="P147">
        <f t="shared" si="38"/>
        <v>0.27148407189662971</v>
      </c>
    </row>
    <row r="148" spans="6:16" x14ac:dyDescent="0.3">
      <c r="F148">
        <f t="shared" si="39"/>
        <v>85</v>
      </c>
      <c r="G148">
        <f t="shared" si="31"/>
        <v>568.22563508689075</v>
      </c>
      <c r="H148">
        <f t="shared" si="32"/>
        <v>76.750696296296283</v>
      </c>
      <c r="I148">
        <f t="shared" si="33"/>
        <v>0.92139475911883861</v>
      </c>
      <c r="J148">
        <f t="shared" si="34"/>
        <v>104.04208361984526</v>
      </c>
      <c r="K148">
        <f t="shared" si="35"/>
        <v>644.97633138318702</v>
      </c>
      <c r="L148">
        <f t="shared" si="36"/>
        <v>700</v>
      </c>
      <c r="M148">
        <f>'Input + Tire Forces'!$L$15+J148</f>
        <v>440.04208361984524</v>
      </c>
      <c r="N148">
        <f>'Input + Tire Forces'!$L$16-J148</f>
        <v>259.95791638015476</v>
      </c>
      <c r="O148">
        <f t="shared" si="37"/>
        <v>1.2912983922187407</v>
      </c>
      <c r="P148">
        <f t="shared" si="38"/>
        <v>0.29524277377288383</v>
      </c>
    </row>
    <row r="149" spans="6:16" x14ac:dyDescent="0.3">
      <c r="F149">
        <f t="shared" si="39"/>
        <v>90</v>
      </c>
      <c r="G149">
        <f t="shared" si="31"/>
        <v>601.6506724449431</v>
      </c>
      <c r="H149">
        <f t="shared" si="32"/>
        <v>81.265443137254906</v>
      </c>
      <c r="I149">
        <f t="shared" si="33"/>
        <v>0.97559445083171148</v>
      </c>
      <c r="J149">
        <f t="shared" si="34"/>
        <v>110.1622061857185</v>
      </c>
      <c r="K149">
        <f t="shared" si="35"/>
        <v>682.91611558219802</v>
      </c>
      <c r="L149">
        <f t="shared" si="36"/>
        <v>700</v>
      </c>
      <c r="M149">
        <f>'Input + Tire Forces'!$L$15+J149</f>
        <v>446.1622061857185</v>
      </c>
      <c r="N149">
        <f>'Input + Tire Forces'!$L$16-J149</f>
        <v>253.8377938142815</v>
      </c>
      <c r="O149">
        <f t="shared" si="37"/>
        <v>1.3485021010374449</v>
      </c>
      <c r="P149">
        <f t="shared" si="38"/>
        <v>0.3201471377296643</v>
      </c>
    </row>
    <row r="150" spans="6:16" x14ac:dyDescent="0.3">
      <c r="F150">
        <f t="shared" si="39"/>
        <v>95</v>
      </c>
      <c r="G150">
        <f t="shared" si="31"/>
        <v>635.07570980299556</v>
      </c>
      <c r="H150">
        <f t="shared" si="32"/>
        <v>85.7801899782135</v>
      </c>
      <c r="I150">
        <f t="shared" si="33"/>
        <v>1.0297941425445842</v>
      </c>
      <c r="J150">
        <f t="shared" si="34"/>
        <v>116.28232875159175</v>
      </c>
      <c r="K150">
        <f t="shared" si="35"/>
        <v>720.85589978120902</v>
      </c>
      <c r="L150">
        <f t="shared" si="36"/>
        <v>700</v>
      </c>
      <c r="M150">
        <f>'Input + Tire Forces'!$L$15+J150</f>
        <v>452.28232875159176</v>
      </c>
      <c r="N150">
        <f>'Input + Tire Forces'!$L$16-J150</f>
        <v>247.71767124840824</v>
      </c>
      <c r="O150">
        <f t="shared" si="37"/>
        <v>1.4041576896359351</v>
      </c>
      <c r="P150">
        <f t="shared" si="38"/>
        <v>0.34628207808474909</v>
      </c>
    </row>
    <row r="151" spans="6:16" x14ac:dyDescent="0.3">
      <c r="F151">
        <f t="shared" si="39"/>
        <v>100</v>
      </c>
      <c r="G151">
        <f t="shared" si="31"/>
        <v>668.50074716104791</v>
      </c>
      <c r="H151">
        <f t="shared" si="32"/>
        <v>90.294936819172122</v>
      </c>
      <c r="I151">
        <f t="shared" si="33"/>
        <v>1.0839938342574571</v>
      </c>
      <c r="J151">
        <f t="shared" si="34"/>
        <v>122.40245131746499</v>
      </c>
      <c r="K151">
        <f t="shared" si="35"/>
        <v>758.79568398022002</v>
      </c>
      <c r="L151">
        <f t="shared" si="36"/>
        <v>700</v>
      </c>
      <c r="M151">
        <f>'Input + Tire Forces'!$L$15+J151</f>
        <v>458.40245131746497</v>
      </c>
      <c r="N151">
        <f>'Input + Tire Forces'!$L$16-J151</f>
        <v>241.59754868253501</v>
      </c>
      <c r="O151">
        <f t="shared" si="37"/>
        <v>1.4583271647866476</v>
      </c>
      <c r="P151">
        <f t="shared" si="38"/>
        <v>0.37374111331660009</v>
      </c>
    </row>
    <row r="152" spans="6:16" x14ac:dyDescent="0.3">
      <c r="F152">
        <f>F151+5</f>
        <v>105</v>
      </c>
      <c r="G152">
        <f t="shared" si="31"/>
        <v>701.92578451910015</v>
      </c>
      <c r="H152">
        <f t="shared" si="32"/>
        <v>94.809683660130702</v>
      </c>
      <c r="I152">
        <f t="shared" si="33"/>
        <v>1.1381935259703297</v>
      </c>
      <c r="J152">
        <f t="shared" si="34"/>
        <v>128.52257388333823</v>
      </c>
      <c r="K152">
        <f t="shared" si="35"/>
        <v>796.73546817923079</v>
      </c>
      <c r="L152">
        <f t="shared" si="36"/>
        <v>700</v>
      </c>
      <c r="M152">
        <f>'Input + Tire Forces'!$L$15+J152</f>
        <v>464.52257388333823</v>
      </c>
      <c r="N152">
        <f>'Input + Tire Forces'!$L$16-J152</f>
        <v>235.47742611666177</v>
      </c>
      <c r="O152">
        <f t="shared" si="37"/>
        <v>1.5110692654850055</v>
      </c>
      <c r="P152">
        <f t="shared" si="38"/>
        <v>0.4026274841867834</v>
      </c>
    </row>
    <row r="153" spans="6:16" x14ac:dyDescent="0.3">
      <c r="F153">
        <f t="shared" ref="F153:F161" si="40">F152+5</f>
        <v>110</v>
      </c>
      <c r="G153">
        <f t="shared" si="31"/>
        <v>735.35082187715273</v>
      </c>
      <c r="H153">
        <f t="shared" si="32"/>
        <v>99.324430501089324</v>
      </c>
      <c r="I153">
        <f t="shared" si="33"/>
        <v>1.1923932176832028</v>
      </c>
      <c r="J153">
        <f t="shared" si="34"/>
        <v>134.64269644921148</v>
      </c>
      <c r="K153">
        <f t="shared" si="35"/>
        <v>834.67525237824202</v>
      </c>
      <c r="L153">
        <f t="shared" si="36"/>
        <v>700</v>
      </c>
      <c r="M153">
        <f>'Input + Tire Forces'!$L$15+J153</f>
        <v>470.64269644921148</v>
      </c>
      <c r="N153">
        <f>'Input + Tire Forces'!$L$16-J153</f>
        <v>229.35730355078852</v>
      </c>
      <c r="O153">
        <f t="shared" si="37"/>
        <v>1.5624396754162884</v>
      </c>
      <c r="P153">
        <f t="shared" si="38"/>
        <v>0.4330554508768677</v>
      </c>
    </row>
    <row r="154" spans="6:16" x14ac:dyDescent="0.3">
      <c r="F154">
        <f t="shared" si="40"/>
        <v>115</v>
      </c>
      <c r="G154">
        <f t="shared" si="31"/>
        <v>768.77585923520508</v>
      </c>
      <c r="H154">
        <f t="shared" si="32"/>
        <v>103.83917734204793</v>
      </c>
      <c r="I154">
        <f t="shared" si="33"/>
        <v>1.2465929093960757</v>
      </c>
      <c r="J154">
        <f t="shared" si="34"/>
        <v>140.76281901508474</v>
      </c>
      <c r="K154">
        <f t="shared" si="35"/>
        <v>872.61503657725302</v>
      </c>
      <c r="L154">
        <f t="shared" si="36"/>
        <v>700</v>
      </c>
      <c r="M154">
        <f>'Input + Tire Forces'!$L$15+J154</f>
        <v>476.76281901508474</v>
      </c>
      <c r="N154">
        <f>'Input + Tire Forces'!$L$16-J154</f>
        <v>223.23718098491526</v>
      </c>
      <c r="O154">
        <f t="shared" si="37"/>
        <v>1.6124912190580891</v>
      </c>
      <c r="P154">
        <f t="shared" si="38"/>
        <v>0.46515180349399154</v>
      </c>
    </row>
    <row r="155" spans="6:16" x14ac:dyDescent="0.3">
      <c r="F155">
        <f t="shared" si="40"/>
        <v>120</v>
      </c>
      <c r="G155">
        <f t="shared" si="31"/>
        <v>802.20089659325743</v>
      </c>
      <c r="H155">
        <f t="shared" si="32"/>
        <v>108.35392418300653</v>
      </c>
      <c r="I155">
        <f t="shared" si="33"/>
        <v>1.3007926011089483</v>
      </c>
      <c r="J155">
        <f t="shared" si="34"/>
        <v>146.88294158095798</v>
      </c>
      <c r="K155">
        <f t="shared" si="35"/>
        <v>910.5548207762638</v>
      </c>
      <c r="L155">
        <f t="shared" si="36"/>
        <v>700</v>
      </c>
      <c r="M155">
        <f>'Input + Tire Forces'!$L$15+J155</f>
        <v>482.882941580958</v>
      </c>
      <c r="N155">
        <f>'Input + Tire Forces'!$L$16-J155</f>
        <v>217.11705841904202</v>
      </c>
      <c r="O155">
        <f t="shared" si="37"/>
        <v>1.6612740428702097</v>
      </c>
      <c r="P155">
        <f t="shared" si="38"/>
        <v>0.49905762804634357</v>
      </c>
    </row>
    <row r="156" spans="6:16" x14ac:dyDescent="0.3">
      <c r="F156">
        <f t="shared" si="40"/>
        <v>125</v>
      </c>
      <c r="G156">
        <f t="shared" si="31"/>
        <v>835.62593395130978</v>
      </c>
      <c r="H156">
        <f t="shared" si="32"/>
        <v>112.86867102396515</v>
      </c>
      <c r="I156">
        <f t="shared" si="33"/>
        <v>1.3549922928218212</v>
      </c>
      <c r="J156">
        <f t="shared" si="34"/>
        <v>153.00306414683124</v>
      </c>
      <c r="K156">
        <f t="shared" si="35"/>
        <v>948.4946049752748</v>
      </c>
      <c r="L156">
        <f t="shared" si="36"/>
        <v>700</v>
      </c>
      <c r="M156">
        <f>'Input + Tire Forces'!$L$15+J156</f>
        <v>489.00306414683121</v>
      </c>
      <c r="N156">
        <f>'Input + Tire Forces'!$L$16-J156</f>
        <v>210.99693585316876</v>
      </c>
      <c r="O156">
        <f t="shared" si="37"/>
        <v>1.7088357828784471</v>
      </c>
      <c r="P156">
        <f t="shared" si="38"/>
        <v>0.53493037975920954</v>
      </c>
    </row>
    <row r="157" spans="6:16" x14ac:dyDescent="0.3">
      <c r="F157">
        <f t="shared" si="40"/>
        <v>130</v>
      </c>
      <c r="G157">
        <f t="shared" si="31"/>
        <v>869.05097130936235</v>
      </c>
      <c r="H157">
        <f t="shared" si="32"/>
        <v>117.38341786492374</v>
      </c>
      <c r="I157">
        <f t="shared" si="33"/>
        <v>1.4091919845346945</v>
      </c>
      <c r="J157">
        <f t="shared" si="34"/>
        <v>159.12318671270452</v>
      </c>
      <c r="K157">
        <f t="shared" si="35"/>
        <v>986.43438917428614</v>
      </c>
      <c r="L157">
        <f t="shared" si="36"/>
        <v>700</v>
      </c>
      <c r="M157">
        <f>'Input + Tire Forces'!$L$15+J157</f>
        <v>495.12318671270452</v>
      </c>
      <c r="N157">
        <f>'Input + Tire Forces'!$L$16-J157</f>
        <v>204.87681328729548</v>
      </c>
      <c r="O157">
        <f t="shared" si="37"/>
        <v>1.7552217198295534</v>
      </c>
      <c r="P157">
        <f t="shared" si="38"/>
        <v>0.57294632799817546</v>
      </c>
    </row>
    <row r="158" spans="6:16" x14ac:dyDescent="0.3">
      <c r="F158">
        <f t="shared" si="40"/>
        <v>135</v>
      </c>
      <c r="G158">
        <f t="shared" si="31"/>
        <v>902.47600866741459</v>
      </c>
      <c r="H158">
        <f t="shared" si="32"/>
        <v>121.89816470588234</v>
      </c>
      <c r="I158">
        <f t="shared" si="33"/>
        <v>1.4633916762475672</v>
      </c>
      <c r="J158">
        <f t="shared" si="34"/>
        <v>165.24330927857775</v>
      </c>
      <c r="K158">
        <f t="shared" si="35"/>
        <v>1024.374173373297</v>
      </c>
      <c r="L158">
        <f t="shared" si="36"/>
        <v>700</v>
      </c>
      <c r="M158">
        <f>'Input + Tire Forces'!$L$15+J158</f>
        <v>501.24330927857773</v>
      </c>
      <c r="N158">
        <f>'Input + Tire Forces'!$L$16-J158</f>
        <v>198.75669072142225</v>
      </c>
      <c r="O158">
        <f t="shared" si="37"/>
        <v>1.8004749229796548</v>
      </c>
      <c r="P158">
        <f t="shared" si="38"/>
        <v>0.6133034528972664</v>
      </c>
    </row>
    <row r="159" spans="6:16" x14ac:dyDescent="0.3">
      <c r="F159">
        <f t="shared" si="40"/>
        <v>140</v>
      </c>
      <c r="G159">
        <f t="shared" si="31"/>
        <v>935.90104602546671</v>
      </c>
      <c r="H159">
        <f t="shared" si="32"/>
        <v>126.41291154684095</v>
      </c>
      <c r="I159">
        <f t="shared" si="33"/>
        <v>1.5175913679604394</v>
      </c>
      <c r="J159">
        <f t="shared" si="34"/>
        <v>171.36343184445093</v>
      </c>
      <c r="K159">
        <f t="shared" si="35"/>
        <v>1062.3139575723076</v>
      </c>
      <c r="L159">
        <f t="shared" si="36"/>
        <v>700</v>
      </c>
      <c r="M159">
        <f>'Input + Tire Forces'!$L$15+J159</f>
        <v>507.36343184445093</v>
      </c>
      <c r="N159">
        <f>'Input + Tire Forces'!$L$16-J159</f>
        <v>192.63656815554907</v>
      </c>
      <c r="O159">
        <f t="shared" si="37"/>
        <v>1.844636383475895</v>
      </c>
      <c r="P159">
        <f t="shared" si="38"/>
        <v>0.65622489414764584</v>
      </c>
    </row>
    <row r="160" spans="6:16" x14ac:dyDescent="0.3">
      <c r="F160">
        <f t="shared" si="40"/>
        <v>145</v>
      </c>
      <c r="G160">
        <f t="shared" si="31"/>
        <v>969.3260833835194</v>
      </c>
      <c r="H160">
        <f t="shared" si="32"/>
        <v>130.9276583877996</v>
      </c>
      <c r="I160">
        <f t="shared" si="33"/>
        <v>1.5717910596733129</v>
      </c>
      <c r="J160">
        <f t="shared" si="34"/>
        <v>177.48355441032425</v>
      </c>
      <c r="K160">
        <f t="shared" si="35"/>
        <v>1100.253741771319</v>
      </c>
      <c r="L160">
        <f t="shared" si="36"/>
        <v>700</v>
      </c>
      <c r="M160">
        <f>'Input + Tire Forces'!$L$15+J160</f>
        <v>513.48355441032425</v>
      </c>
      <c r="N160">
        <f>'Input + Tire Forces'!$L$16-J160</f>
        <v>186.51644558967575</v>
      </c>
      <c r="O160">
        <f t="shared" si="37"/>
        <v>1.8877451381995611</v>
      </c>
      <c r="P160">
        <f t="shared" si="38"/>
        <v>0.70196307877232478</v>
      </c>
    </row>
    <row r="161" spans="4:16" x14ac:dyDescent="0.3">
      <c r="F161">
        <f t="shared" si="40"/>
        <v>150</v>
      </c>
      <c r="G161">
        <f t="shared" si="31"/>
        <v>1002.7511207415719</v>
      </c>
      <c r="H161">
        <f t="shared" si="32"/>
        <v>135.44240522875819</v>
      </c>
      <c r="I161">
        <f t="shared" si="33"/>
        <v>1.6259907513861858</v>
      </c>
      <c r="J161">
        <f t="shared" si="34"/>
        <v>183.60367697619751</v>
      </c>
      <c r="K161">
        <f t="shared" si="35"/>
        <v>1138.19352597033</v>
      </c>
      <c r="L161">
        <f t="shared" si="36"/>
        <v>700</v>
      </c>
      <c r="M161">
        <f>'Input + Tire Forces'!$L$15+J161</f>
        <v>519.60367697619745</v>
      </c>
      <c r="N161">
        <f>'Input + Tire Forces'!$L$16-J161</f>
        <v>180.39632302380249</v>
      </c>
      <c r="O161">
        <f t="shared" si="37"/>
        <v>1.9298383848571321</v>
      </c>
      <c r="P161">
        <f t="shared" si="38"/>
        <v>0.75080468913375342</v>
      </c>
    </row>
    <row r="162" spans="4:16" x14ac:dyDescent="0.3">
      <c r="F162">
        <f>F161+5</f>
        <v>155</v>
      </c>
      <c r="G162">
        <f t="shared" si="31"/>
        <v>1036.1761580996242</v>
      </c>
      <c r="H162">
        <f t="shared" si="32"/>
        <v>139.95715206971678</v>
      </c>
      <c r="I162">
        <f t="shared" si="33"/>
        <v>1.6801904430990586</v>
      </c>
      <c r="J162">
        <f t="shared" si="34"/>
        <v>189.72379954207076</v>
      </c>
      <c r="K162">
        <f t="shared" si="35"/>
        <v>1176.133310169341</v>
      </c>
      <c r="L162">
        <f t="shared" si="36"/>
        <v>700</v>
      </c>
      <c r="M162">
        <f>'Input + Tire Forces'!$L$15+J162</f>
        <v>525.72379954207076</v>
      </c>
      <c r="N162">
        <f>'Input + Tire Forces'!$L$16-J162</f>
        <v>174.27620045792924</v>
      </c>
      <c r="O162">
        <f t="shared" si="37"/>
        <v>1.9709515890324549</v>
      </c>
      <c r="P162">
        <f t="shared" si="38"/>
        <v>0.80307667772171121</v>
      </c>
    </row>
    <row r="163" spans="4:16" x14ac:dyDescent="0.3">
      <c r="F163">
        <f t="shared" ref="F163:F171" si="41">F162+5</f>
        <v>160</v>
      </c>
      <c r="G163">
        <f t="shared" si="31"/>
        <v>1069.6011954576766</v>
      </c>
      <c r="H163">
        <f t="shared" si="32"/>
        <v>144.47189891067541</v>
      </c>
      <c r="I163">
        <f t="shared" si="33"/>
        <v>1.7343901348119315</v>
      </c>
      <c r="J163">
        <f t="shared" si="34"/>
        <v>195.843922107944</v>
      </c>
      <c r="K163">
        <f t="shared" si="35"/>
        <v>1214.073094368352</v>
      </c>
      <c r="L163">
        <f t="shared" si="36"/>
        <v>700</v>
      </c>
      <c r="M163">
        <f>'Input + Tire Forces'!$L$15+J163</f>
        <v>531.84392210794397</v>
      </c>
      <c r="N163">
        <f>'Input + Tire Forces'!$L$16-J163</f>
        <v>168.156077892056</v>
      </c>
      <c r="O163">
        <f t="shared" si="37"/>
        <v>2.0111185838475905</v>
      </c>
      <c r="P163">
        <f t="shared" si="38"/>
        <v>0.85915359540804637</v>
      </c>
    </row>
    <row r="164" spans="4:16" x14ac:dyDescent="0.3">
      <c r="F164">
        <f t="shared" si="41"/>
        <v>165</v>
      </c>
      <c r="G164">
        <f t="shared" si="31"/>
        <v>1103.0262328157289</v>
      </c>
      <c r="H164">
        <f t="shared" si="32"/>
        <v>148.98664575163397</v>
      </c>
      <c r="I164">
        <f t="shared" si="33"/>
        <v>1.7885898265248039</v>
      </c>
      <c r="J164">
        <f t="shared" si="34"/>
        <v>201.9640446738172</v>
      </c>
      <c r="K164">
        <f t="shared" si="35"/>
        <v>1252.0128785673628</v>
      </c>
      <c r="L164">
        <f t="shared" si="36"/>
        <v>700</v>
      </c>
      <c r="M164">
        <f>'Input + Tire Forces'!$L$15+J164</f>
        <v>537.96404467381717</v>
      </c>
      <c r="N164">
        <f>'Input + Tire Forces'!$L$16-J164</f>
        <v>162.0359553261828</v>
      </c>
      <c r="O164">
        <f t="shared" si="37"/>
        <v>2.0503716628209325</v>
      </c>
      <c r="P164">
        <f t="shared" si="38"/>
        <v>0.91946658043716156</v>
      </c>
    </row>
    <row r="165" spans="4:16" x14ac:dyDescent="0.3">
      <c r="F165">
        <f t="shared" si="41"/>
        <v>170</v>
      </c>
      <c r="G165">
        <f t="shared" si="31"/>
        <v>1136.4512701737815</v>
      </c>
      <c r="H165">
        <f t="shared" si="32"/>
        <v>153.50139259259257</v>
      </c>
      <c r="I165">
        <f t="shared" si="33"/>
        <v>1.8427895182376772</v>
      </c>
      <c r="J165">
        <f t="shared" si="34"/>
        <v>208.08416723969052</v>
      </c>
      <c r="K165">
        <f t="shared" si="35"/>
        <v>1289.952662766374</v>
      </c>
      <c r="L165">
        <f t="shared" si="36"/>
        <v>700</v>
      </c>
      <c r="M165">
        <f>'Input + Tire Forces'!$L$15+J165</f>
        <v>544.08416723969049</v>
      </c>
      <c r="N165">
        <f>'Input + Tire Forces'!$L$16-J165</f>
        <v>155.91583276030948</v>
      </c>
      <c r="O165">
        <f t="shared" si="37"/>
        <v>2.0887416664582523</v>
      </c>
      <c r="P165">
        <f t="shared" si="38"/>
        <v>0.98451446447116986</v>
      </c>
    </row>
    <row r="166" spans="4:16" x14ac:dyDescent="0.3">
      <c r="F166">
        <f t="shared" si="41"/>
        <v>175</v>
      </c>
      <c r="G166">
        <f t="shared" si="31"/>
        <v>1169.8763075318338</v>
      </c>
      <c r="H166">
        <f t="shared" si="32"/>
        <v>158.01613943355119</v>
      </c>
      <c r="I166">
        <f t="shared" si="33"/>
        <v>1.8969892099505501</v>
      </c>
      <c r="J166">
        <f t="shared" si="34"/>
        <v>214.20428980556375</v>
      </c>
      <c r="K166">
        <f t="shared" si="35"/>
        <v>1327.892446965385</v>
      </c>
      <c r="L166">
        <f t="shared" si="36"/>
        <v>700</v>
      </c>
      <c r="M166">
        <f>'Input + Tire Forces'!$L$15+J166</f>
        <v>550.2042898055638</v>
      </c>
      <c r="N166">
        <f>'Input + Tire Forces'!$L$16-J166</f>
        <v>149.79571019443625</v>
      </c>
      <c r="O166">
        <f t="shared" si="37"/>
        <v>2.1262580630646397</v>
      </c>
      <c r="P166">
        <f t="shared" si="38"/>
        <v>1.0548776011572343</v>
      </c>
    </row>
    <row r="167" spans="4:16" x14ac:dyDescent="0.3">
      <c r="F167">
        <f t="shared" si="41"/>
        <v>180</v>
      </c>
      <c r="G167">
        <f t="shared" si="31"/>
        <v>1203.3013448898862</v>
      </c>
      <c r="H167">
        <f t="shared" si="32"/>
        <v>162.53088627450981</v>
      </c>
      <c r="I167">
        <f t="shared" si="33"/>
        <v>1.951188901663423</v>
      </c>
      <c r="J167">
        <f t="shared" si="34"/>
        <v>220.32441237143701</v>
      </c>
      <c r="K167">
        <f t="shared" si="35"/>
        <v>1365.832231164396</v>
      </c>
      <c r="L167">
        <f t="shared" si="36"/>
        <v>700</v>
      </c>
      <c r="M167">
        <f>'Input + Tire Forces'!$L$15+J167</f>
        <v>556.32441237143701</v>
      </c>
      <c r="N167">
        <f>'Input + Tire Forces'!$L$16-J167</f>
        <v>143.67558762856299</v>
      </c>
      <c r="O167">
        <f t="shared" si="37"/>
        <v>2.1629490242223754</v>
      </c>
      <c r="P167">
        <f t="shared" si="38"/>
        <v>1.1312352290125476</v>
      </c>
    </row>
    <row r="168" spans="4:16" x14ac:dyDescent="0.3">
      <c r="F168">
        <f t="shared" si="41"/>
        <v>185</v>
      </c>
      <c r="G168">
        <f t="shared" si="31"/>
        <v>1236.7263822479383</v>
      </c>
      <c r="H168">
        <f t="shared" si="32"/>
        <v>167.04563311546841</v>
      </c>
      <c r="I168">
        <f t="shared" si="33"/>
        <v>2.0053885933762956</v>
      </c>
      <c r="J168">
        <f t="shared" si="34"/>
        <v>226.44453493731024</v>
      </c>
      <c r="K168">
        <f t="shared" si="35"/>
        <v>1403.7720153634068</v>
      </c>
      <c r="L168">
        <f t="shared" si="36"/>
        <v>700</v>
      </c>
      <c r="M168">
        <f>'Input + Tire Forces'!$L$15+J168</f>
        <v>562.44453493731021</v>
      </c>
      <c r="N168">
        <f>'Input + Tire Forces'!$L$16-J168</f>
        <v>137.55546506268976</v>
      </c>
      <c r="O168">
        <f t="shared" si="37"/>
        <v>2.1988414953410174</v>
      </c>
      <c r="P168">
        <f t="shared" si="38"/>
        <v>1.2143874693698193</v>
      </c>
    </row>
    <row r="169" spans="4:16" x14ac:dyDescent="0.3">
      <c r="F169">
        <f t="shared" si="41"/>
        <v>190</v>
      </c>
      <c r="G169">
        <f t="shared" si="31"/>
        <v>1270.1514196059911</v>
      </c>
      <c r="H169">
        <f t="shared" si="32"/>
        <v>171.560379956427</v>
      </c>
      <c r="I169">
        <f t="shared" si="33"/>
        <v>2.0595882850891685</v>
      </c>
      <c r="J169">
        <f t="shared" si="34"/>
        <v>232.5646575031835</v>
      </c>
      <c r="K169">
        <f t="shared" si="35"/>
        <v>1441.711799562418</v>
      </c>
      <c r="L169">
        <f t="shared" si="36"/>
        <v>700</v>
      </c>
      <c r="M169">
        <f>'Input + Tire Forces'!$L$15+J169</f>
        <v>568.56465750318353</v>
      </c>
      <c r="N169">
        <f>'Input + Tire Forces'!$L$16-J169</f>
        <v>131.4353424968165</v>
      </c>
      <c r="O169">
        <f t="shared" si="37"/>
        <v>2.2339612616510185</v>
      </c>
      <c r="P169">
        <f t="shared" si="38"/>
        <v>1.3052834701639124</v>
      </c>
    </row>
    <row r="170" spans="4:16" x14ac:dyDescent="0.3">
      <c r="F170">
        <f t="shared" si="41"/>
        <v>195</v>
      </c>
      <c r="G170">
        <f t="shared" si="31"/>
        <v>1303.5764569640432</v>
      </c>
      <c r="H170">
        <f t="shared" si="32"/>
        <v>176.07512679738562</v>
      </c>
      <c r="I170">
        <f t="shared" si="33"/>
        <v>2.1137879768020413</v>
      </c>
      <c r="J170">
        <f t="shared" si="34"/>
        <v>238.68478006905673</v>
      </c>
      <c r="K170">
        <f t="shared" si="35"/>
        <v>1479.651583761429</v>
      </c>
      <c r="L170">
        <f t="shared" si="36"/>
        <v>700</v>
      </c>
      <c r="M170">
        <f>'Input + Tire Forces'!$L$15+J170</f>
        <v>574.68478006905673</v>
      </c>
      <c r="N170">
        <f>'Input + Tire Forces'!$L$16-J170</f>
        <v>125.31521993094327</v>
      </c>
      <c r="O170">
        <f t="shared" si="37"/>
        <v>2.2683330099805317</v>
      </c>
      <c r="P170">
        <f t="shared" si="38"/>
        <v>1.405057796606145</v>
      </c>
    </row>
    <row r="171" spans="4:16" x14ac:dyDescent="0.3">
      <c r="F171">
        <f t="shared" si="41"/>
        <v>200</v>
      </c>
      <c r="G171">
        <f t="shared" si="31"/>
        <v>1337.0014943220958</v>
      </c>
      <c r="H171">
        <f t="shared" si="32"/>
        <v>180.58987363834424</v>
      </c>
      <c r="I171">
        <f t="shared" si="33"/>
        <v>2.1679876685149142</v>
      </c>
      <c r="J171">
        <f t="shared" si="34"/>
        <v>244.80490263492999</v>
      </c>
      <c r="K171">
        <f t="shared" si="35"/>
        <v>1517.59136796044</v>
      </c>
      <c r="L171">
        <f t="shared" si="36"/>
        <v>700</v>
      </c>
      <c r="M171">
        <f>'Input + Tire Forces'!$L$15+J171</f>
        <v>580.80490263492993</v>
      </c>
      <c r="N171">
        <f>'Input + Tire Forces'!$L$16-J171</f>
        <v>119.19509736507001</v>
      </c>
      <c r="O171">
        <f t="shared" si="37"/>
        <v>2.3019803866264539</v>
      </c>
      <c r="P171">
        <f t="shared" si="38"/>
        <v>1.515078032825752</v>
      </c>
    </row>
    <row r="173" spans="4:16" x14ac:dyDescent="0.3">
      <c r="D173" s="25" t="s">
        <v>168</v>
      </c>
      <c r="E173" s="25">
        <v>0.7</v>
      </c>
      <c r="F173" s="1" t="s">
        <v>173</v>
      </c>
      <c r="G173" s="1" t="s">
        <v>182</v>
      </c>
      <c r="H173" s="1" t="s">
        <v>183</v>
      </c>
      <c r="I173" s="1" t="s">
        <v>317</v>
      </c>
      <c r="J173" s="1" t="s">
        <v>318</v>
      </c>
      <c r="K173" s="1" t="s">
        <v>175</v>
      </c>
      <c r="L173" s="1" t="s">
        <v>319</v>
      </c>
      <c r="M173" s="1" t="s">
        <v>178</v>
      </c>
      <c r="N173" s="1" t="s">
        <v>179</v>
      </c>
      <c r="O173" s="1" t="s">
        <v>320</v>
      </c>
      <c r="P173" s="1" t="s">
        <v>321</v>
      </c>
    </row>
    <row r="174" spans="4:16" x14ac:dyDescent="0.3">
      <c r="F174">
        <v>0</v>
      </c>
      <c r="G174">
        <f>(2*F174*$B$30)*($B$13*$B$14/$B$26)*($B$15/$B$3)*($B$28/(2*$B$6))*$E$173</f>
        <v>0</v>
      </c>
      <c r="H174">
        <f>(2*$B$30*F174)*($B$20*$B$22/$B$26)*($B$21/$B$3)*($B$28/(2*$B$6))*(1-$E$173)</f>
        <v>0</v>
      </c>
      <c r="I174">
        <f>(G174+H174)/$B$2</f>
        <v>0</v>
      </c>
      <c r="J174">
        <f>I174*(($B$2*$B$4)/$B$5)</f>
        <v>0</v>
      </c>
      <c r="K174">
        <f>$B$2*I174</f>
        <v>0</v>
      </c>
      <c r="L174">
        <f>$B$2</f>
        <v>700</v>
      </c>
      <c r="M174">
        <f>'Input + Tire Forces'!$L$15+J174</f>
        <v>336</v>
      </c>
      <c r="N174">
        <f>'Input + Tire Forces'!$L$16-J174</f>
        <v>364</v>
      </c>
      <c r="O174">
        <f>G174/M174</f>
        <v>0</v>
      </c>
      <c r="P174">
        <f>H174/N174</f>
        <v>0</v>
      </c>
    </row>
    <row r="175" spans="4:16" x14ac:dyDescent="0.3">
      <c r="F175">
        <f>F174+5</f>
        <v>5</v>
      </c>
      <c r="G175">
        <f t="shared" ref="G175:G214" si="42">(2*F175*$B$30)*($B$13*$B$14/$B$26)*($B$15/$B$3)*($B$28/(2*$B$6))*$E$173</f>
        <v>35.996194077902572</v>
      </c>
      <c r="H175">
        <f t="shared" ref="H175:H214" si="43">(2*$B$30*F175)*($B$20*$B$22/$B$26)*($B$21/$B$3)*($B$28/(2*$B$6))*(1-$E$173)</f>
        <v>3.8697830065359491</v>
      </c>
      <c r="I175">
        <f t="shared" ref="I175:I214" si="44">(G175+H175)/$B$2</f>
        <v>5.6951395834912169E-2</v>
      </c>
      <c r="J175">
        <f t="shared" ref="J175:J214" si="45">I175*(($B$2*$B$4)/$B$5)</f>
        <v>6.4308395821454925</v>
      </c>
      <c r="K175">
        <f t="shared" ref="K175:K214" si="46">$B$2*I175</f>
        <v>39.865977084438519</v>
      </c>
      <c r="L175">
        <f t="shared" ref="L175:L214" si="47">$B$2</f>
        <v>700</v>
      </c>
      <c r="M175">
        <f>'Input + Tire Forces'!$L$15+J175</f>
        <v>342.4308395821455</v>
      </c>
      <c r="N175">
        <f>'Input + Tire Forces'!$L$16-J175</f>
        <v>357.5691604178545</v>
      </c>
      <c r="O175">
        <f t="shared" ref="O175:O214" si="48">G175/M175</f>
        <v>0.10511960348497604</v>
      </c>
      <c r="P175">
        <f t="shared" ref="P175:P214" si="49">H175/N175</f>
        <v>1.0822474180977268E-2</v>
      </c>
    </row>
    <row r="176" spans="4:16" x14ac:dyDescent="0.3">
      <c r="F176">
        <f t="shared" ref="F176:F194" si="50">F175+5</f>
        <v>10</v>
      </c>
      <c r="G176">
        <f t="shared" si="42"/>
        <v>71.992388155805145</v>
      </c>
      <c r="H176">
        <f t="shared" si="43"/>
        <v>7.7395660130718982</v>
      </c>
      <c r="I176">
        <f t="shared" si="44"/>
        <v>0.11390279166982434</v>
      </c>
      <c r="J176">
        <f t="shared" si="45"/>
        <v>12.861679164290985</v>
      </c>
      <c r="K176">
        <f t="shared" si="46"/>
        <v>79.731954168877039</v>
      </c>
      <c r="L176">
        <f t="shared" si="47"/>
        <v>700</v>
      </c>
      <c r="M176">
        <f>'Input + Tire Forces'!$L$15+J176</f>
        <v>348.86167916429099</v>
      </c>
      <c r="N176">
        <f>'Input + Tire Forces'!$L$16-J176</f>
        <v>351.13832083570901</v>
      </c>
      <c r="O176">
        <f t="shared" si="48"/>
        <v>0.2063637035981285</v>
      </c>
      <c r="P176">
        <f t="shared" si="49"/>
        <v>2.2041359640416733E-2</v>
      </c>
    </row>
    <row r="177" spans="6:16" x14ac:dyDescent="0.3">
      <c r="F177">
        <f t="shared" si="50"/>
        <v>15</v>
      </c>
      <c r="G177">
        <f t="shared" si="42"/>
        <v>107.98858223370772</v>
      </c>
      <c r="H177">
        <f t="shared" si="43"/>
        <v>11.609349019607844</v>
      </c>
      <c r="I177">
        <f t="shared" si="44"/>
        <v>0.17085418750473652</v>
      </c>
      <c r="J177">
        <f t="shared" si="45"/>
        <v>19.292518746436478</v>
      </c>
      <c r="K177">
        <f t="shared" si="46"/>
        <v>119.59793125331556</v>
      </c>
      <c r="L177">
        <f t="shared" si="47"/>
        <v>700</v>
      </c>
      <c r="M177">
        <f>'Input + Tire Forces'!$L$15+J177</f>
        <v>355.29251874643649</v>
      </c>
      <c r="N177">
        <f>'Input + Tire Forces'!$L$16-J177</f>
        <v>344.70748125356351</v>
      </c>
      <c r="O177">
        <f t="shared" si="48"/>
        <v>0.3039427416448825</v>
      </c>
      <c r="P177">
        <f t="shared" si="49"/>
        <v>3.3678842644752807E-2</v>
      </c>
    </row>
    <row r="178" spans="6:16" x14ac:dyDescent="0.3">
      <c r="F178">
        <f t="shared" si="50"/>
        <v>20</v>
      </c>
      <c r="G178">
        <f t="shared" si="42"/>
        <v>143.98477631161029</v>
      </c>
      <c r="H178">
        <f t="shared" si="43"/>
        <v>15.479132026143796</v>
      </c>
      <c r="I178">
        <f t="shared" si="44"/>
        <v>0.22780558333964868</v>
      </c>
      <c r="J178">
        <f t="shared" si="45"/>
        <v>25.72335832858197</v>
      </c>
      <c r="K178">
        <f t="shared" si="46"/>
        <v>159.46390833775408</v>
      </c>
      <c r="L178">
        <f t="shared" si="47"/>
        <v>700</v>
      </c>
      <c r="M178">
        <f>'Input + Tire Forces'!$L$15+J178</f>
        <v>361.72335832858198</v>
      </c>
      <c r="N178">
        <f>'Input + Tire Forces'!$L$16-J178</f>
        <v>338.27664167141802</v>
      </c>
      <c r="O178">
        <f t="shared" si="48"/>
        <v>0.39805219374530276</v>
      </c>
      <c r="P178">
        <f t="shared" si="49"/>
        <v>4.5758796556752246E-2</v>
      </c>
    </row>
    <row r="179" spans="6:16" x14ac:dyDescent="0.3">
      <c r="F179">
        <f t="shared" si="50"/>
        <v>25</v>
      </c>
      <c r="G179">
        <f t="shared" si="42"/>
        <v>179.98097038951289</v>
      </c>
      <c r="H179">
        <f t="shared" si="43"/>
        <v>19.348915032679745</v>
      </c>
      <c r="I179">
        <f t="shared" si="44"/>
        <v>0.28475697917456089</v>
      </c>
      <c r="J179">
        <f t="shared" si="45"/>
        <v>32.154197910727468</v>
      </c>
      <c r="K179">
        <f t="shared" si="46"/>
        <v>199.32988542219263</v>
      </c>
      <c r="L179">
        <f t="shared" si="47"/>
        <v>700</v>
      </c>
      <c r="M179">
        <f>'Input + Tire Forces'!$L$15+J179</f>
        <v>368.15419791072748</v>
      </c>
      <c r="N179">
        <f>'Input + Tire Forces'!$L$16-J179</f>
        <v>331.84580208927252</v>
      </c>
      <c r="O179">
        <f t="shared" si="48"/>
        <v>0.48887387787754061</v>
      </c>
      <c r="P179">
        <f t="shared" si="49"/>
        <v>5.8306945306707651E-2</v>
      </c>
    </row>
    <row r="180" spans="6:16" x14ac:dyDescent="0.3">
      <c r="F180">
        <f t="shared" si="50"/>
        <v>30</v>
      </c>
      <c r="G180">
        <f t="shared" si="42"/>
        <v>215.97716446741543</v>
      </c>
      <c r="H180">
        <f t="shared" si="43"/>
        <v>23.218698039215688</v>
      </c>
      <c r="I180">
        <f t="shared" si="44"/>
        <v>0.34170837500947304</v>
      </c>
      <c r="J180">
        <f t="shared" si="45"/>
        <v>38.585037492872956</v>
      </c>
      <c r="K180">
        <f t="shared" si="46"/>
        <v>239.19586250663113</v>
      </c>
      <c r="L180">
        <f t="shared" si="47"/>
        <v>700</v>
      </c>
      <c r="M180">
        <f>'Input + Tire Forces'!$L$15+J180</f>
        <v>374.58503749287297</v>
      </c>
      <c r="N180">
        <f>'Input + Tire Forces'!$L$16-J180</f>
        <v>325.41496250712703</v>
      </c>
      <c r="O180">
        <f t="shared" si="48"/>
        <v>0.57657712628610991</v>
      </c>
      <c r="P180">
        <f t="shared" si="49"/>
        <v>7.1351046246704672E-2</v>
      </c>
    </row>
    <row r="181" spans="6:16" x14ac:dyDescent="0.3">
      <c r="F181">
        <f t="shared" si="50"/>
        <v>35</v>
      </c>
      <c r="G181">
        <f t="shared" si="42"/>
        <v>251.97335854531795</v>
      </c>
      <c r="H181">
        <f t="shared" si="43"/>
        <v>27.088481045751635</v>
      </c>
      <c r="I181">
        <f t="shared" si="44"/>
        <v>0.39865977084438514</v>
      </c>
      <c r="J181">
        <f t="shared" si="45"/>
        <v>45.015877075018444</v>
      </c>
      <c r="K181">
        <f t="shared" si="46"/>
        <v>279.0618395910696</v>
      </c>
      <c r="L181">
        <f t="shared" si="47"/>
        <v>700</v>
      </c>
      <c r="M181">
        <f>'Input + Tire Forces'!$L$15+J181</f>
        <v>381.01587707501847</v>
      </c>
      <c r="N181">
        <f>'Input + Tire Forces'!$L$16-J181</f>
        <v>318.98412292498153</v>
      </c>
      <c r="O181">
        <f t="shared" si="48"/>
        <v>0.66131983916173331</v>
      </c>
      <c r="P181">
        <f t="shared" si="49"/>
        <v>8.4921095123352844E-2</v>
      </c>
    </row>
    <row r="182" spans="6:16" x14ac:dyDescent="0.3">
      <c r="F182">
        <f t="shared" si="50"/>
        <v>40</v>
      </c>
      <c r="G182">
        <f t="shared" si="42"/>
        <v>287.96955262322058</v>
      </c>
      <c r="H182">
        <f t="shared" si="43"/>
        <v>30.958264052287593</v>
      </c>
      <c r="I182">
        <f t="shared" si="44"/>
        <v>0.45561116667929735</v>
      </c>
      <c r="J182">
        <f t="shared" si="45"/>
        <v>51.44671665716394</v>
      </c>
      <c r="K182">
        <f t="shared" si="46"/>
        <v>318.92781667550815</v>
      </c>
      <c r="L182">
        <f t="shared" si="47"/>
        <v>700</v>
      </c>
      <c r="M182">
        <f>'Input + Tire Forces'!$L$15+J182</f>
        <v>387.44671665716396</v>
      </c>
      <c r="N182">
        <f>'Input + Tire Forces'!$L$16-J182</f>
        <v>312.55328334283604</v>
      </c>
      <c r="O182">
        <f t="shared" si="48"/>
        <v>0.7432494333873354</v>
      </c>
      <c r="P182">
        <f t="shared" si="49"/>
        <v>9.9049556354619497E-2</v>
      </c>
    </row>
    <row r="183" spans="6:16" x14ac:dyDescent="0.3">
      <c r="F183">
        <f t="shared" si="50"/>
        <v>45</v>
      </c>
      <c r="G183">
        <f t="shared" si="42"/>
        <v>323.96574670112318</v>
      </c>
      <c r="H183">
        <f t="shared" si="43"/>
        <v>34.828047058823536</v>
      </c>
      <c r="I183">
        <f t="shared" si="44"/>
        <v>0.51256256251420962</v>
      </c>
      <c r="J183">
        <f t="shared" si="45"/>
        <v>57.877556239309442</v>
      </c>
      <c r="K183">
        <f t="shared" si="46"/>
        <v>358.79379375994671</v>
      </c>
      <c r="L183">
        <f t="shared" si="47"/>
        <v>700</v>
      </c>
      <c r="M183">
        <f>'Input + Tire Forces'!$L$15+J183</f>
        <v>393.87755623930946</v>
      </c>
      <c r="N183">
        <f>'Input + Tire Forces'!$L$16-J183</f>
        <v>306.12244376069054</v>
      </c>
      <c r="O183">
        <f t="shared" si="48"/>
        <v>0.82250369834296999</v>
      </c>
      <c r="P183">
        <f t="shared" si="49"/>
        <v>0.11377162233178224</v>
      </c>
    </row>
    <row r="184" spans="6:16" x14ac:dyDescent="0.3">
      <c r="F184">
        <f t="shared" si="50"/>
        <v>50</v>
      </c>
      <c r="G184">
        <f t="shared" si="42"/>
        <v>359.96194077902578</v>
      </c>
      <c r="H184">
        <f t="shared" si="43"/>
        <v>38.69783006535949</v>
      </c>
      <c r="I184">
        <f t="shared" si="44"/>
        <v>0.56951395834912177</v>
      </c>
      <c r="J184">
        <f t="shared" si="45"/>
        <v>64.308395821454937</v>
      </c>
      <c r="K184">
        <f t="shared" si="46"/>
        <v>398.65977084438526</v>
      </c>
      <c r="L184">
        <f t="shared" si="47"/>
        <v>700</v>
      </c>
      <c r="M184">
        <f>'Input + Tire Forces'!$L$15+J184</f>
        <v>400.30839582145495</v>
      </c>
      <c r="N184">
        <f>'Input + Tire Forces'!$L$16-J184</f>
        <v>299.69160417854505</v>
      </c>
      <c r="O184">
        <f t="shared" si="48"/>
        <v>0.89921156922118506</v>
      </c>
      <c r="P184">
        <f t="shared" si="49"/>
        <v>0.12912550610628643</v>
      </c>
    </row>
    <row r="185" spans="6:16" x14ac:dyDescent="0.3">
      <c r="F185">
        <f t="shared" si="50"/>
        <v>55</v>
      </c>
      <c r="G185">
        <f t="shared" si="42"/>
        <v>395.95813485692833</v>
      </c>
      <c r="H185">
        <f t="shared" si="43"/>
        <v>42.567613071895437</v>
      </c>
      <c r="I185">
        <f t="shared" si="44"/>
        <v>0.62646535418403393</v>
      </c>
      <c r="J185">
        <f t="shared" si="45"/>
        <v>70.739235403600418</v>
      </c>
      <c r="K185">
        <f t="shared" si="46"/>
        <v>438.52574792882376</v>
      </c>
      <c r="L185">
        <f t="shared" si="47"/>
        <v>700</v>
      </c>
      <c r="M185">
        <f>'Input + Tire Forces'!$L$15+J185</f>
        <v>406.73923540360045</v>
      </c>
      <c r="N185">
        <f>'Input + Tire Forces'!$L$16-J185</f>
        <v>293.26076459639955</v>
      </c>
      <c r="O185">
        <f t="shared" si="48"/>
        <v>0.97349382698235587</v>
      </c>
      <c r="P185">
        <f t="shared" si="49"/>
        <v>0.1451527725861288</v>
      </c>
    </row>
    <row r="186" spans="6:16" x14ac:dyDescent="0.3">
      <c r="F186">
        <f t="shared" si="50"/>
        <v>60</v>
      </c>
      <c r="G186">
        <f t="shared" si="42"/>
        <v>431.95432893483087</v>
      </c>
      <c r="H186">
        <f t="shared" si="43"/>
        <v>46.437396078431377</v>
      </c>
      <c r="I186">
        <f t="shared" si="44"/>
        <v>0.68341675001894608</v>
      </c>
      <c r="J186">
        <f t="shared" si="45"/>
        <v>77.170074985745913</v>
      </c>
      <c r="K186">
        <f t="shared" si="46"/>
        <v>478.39172501326226</v>
      </c>
      <c r="L186">
        <f t="shared" si="47"/>
        <v>700</v>
      </c>
      <c r="M186">
        <f>'Input + Tire Forces'!$L$15+J186</f>
        <v>413.17007498574594</v>
      </c>
      <c r="N186">
        <f>'Input + Tire Forces'!$L$16-J186</f>
        <v>286.82992501425406</v>
      </c>
      <c r="O186">
        <f t="shared" si="48"/>
        <v>1.0454637329427428</v>
      </c>
      <c r="P186">
        <f t="shared" si="49"/>
        <v>0.16189871428556021</v>
      </c>
    </row>
    <row r="187" spans="6:16" x14ac:dyDescent="0.3">
      <c r="F187">
        <f t="shared" si="50"/>
        <v>65</v>
      </c>
      <c r="G187">
        <f t="shared" si="42"/>
        <v>467.95052301273353</v>
      </c>
      <c r="H187">
        <f t="shared" si="43"/>
        <v>50.307179084967331</v>
      </c>
      <c r="I187">
        <f t="shared" si="44"/>
        <v>0.74036814585385835</v>
      </c>
      <c r="J187">
        <f t="shared" si="45"/>
        <v>83.600914567891422</v>
      </c>
      <c r="K187">
        <f t="shared" si="46"/>
        <v>518.25770209770087</v>
      </c>
      <c r="L187">
        <f t="shared" si="47"/>
        <v>700</v>
      </c>
      <c r="M187">
        <f>'Input + Tire Forces'!$L$15+J187</f>
        <v>419.60091456789144</v>
      </c>
      <c r="N187">
        <f>'Input + Tire Forces'!$L$16-J187</f>
        <v>280.39908543210856</v>
      </c>
      <c r="O187">
        <f t="shared" si="48"/>
        <v>1.1152276050080419</v>
      </c>
      <c r="P187">
        <f t="shared" si="49"/>
        <v>0.17941277878079215</v>
      </c>
    </row>
    <row r="188" spans="6:16" x14ac:dyDescent="0.3">
      <c r="F188">
        <f t="shared" si="50"/>
        <v>70</v>
      </c>
      <c r="G188">
        <f t="shared" si="42"/>
        <v>503.9467170906359</v>
      </c>
      <c r="H188">
        <f t="shared" si="43"/>
        <v>54.17696209150327</v>
      </c>
      <c r="I188">
        <f t="shared" si="44"/>
        <v>0.79731954168877028</v>
      </c>
      <c r="J188">
        <f t="shared" si="45"/>
        <v>90.031754150036889</v>
      </c>
      <c r="K188">
        <f t="shared" si="46"/>
        <v>558.1236791821392</v>
      </c>
      <c r="L188">
        <f t="shared" si="47"/>
        <v>700</v>
      </c>
      <c r="M188">
        <f>'Input + Tire Forces'!$L$15+J188</f>
        <v>426.03175415003687</v>
      </c>
      <c r="N188">
        <f>'Input + Tire Forces'!$L$16-J188</f>
        <v>273.96824584996313</v>
      </c>
      <c r="O188">
        <f t="shared" si="48"/>
        <v>1.1828853417183534</v>
      </c>
      <c r="P188">
        <f t="shared" si="49"/>
        <v>0.19774905636755041</v>
      </c>
    </row>
    <row r="189" spans="6:16" x14ac:dyDescent="0.3">
      <c r="F189">
        <f t="shared" si="50"/>
        <v>75</v>
      </c>
      <c r="G189">
        <f t="shared" si="42"/>
        <v>539.94291116853856</v>
      </c>
      <c r="H189">
        <f t="shared" si="43"/>
        <v>58.046745098039231</v>
      </c>
      <c r="I189">
        <f t="shared" si="44"/>
        <v>0.85427093752368255</v>
      </c>
      <c r="J189">
        <f t="shared" si="45"/>
        <v>96.462593732182384</v>
      </c>
      <c r="K189">
        <f t="shared" si="46"/>
        <v>597.98965626657775</v>
      </c>
      <c r="L189">
        <f t="shared" si="47"/>
        <v>700</v>
      </c>
      <c r="M189">
        <f>'Input + Tire Forces'!$L$15+J189</f>
        <v>432.46259373218237</v>
      </c>
      <c r="N189">
        <f>'Input + Tire Forces'!$L$16-J189</f>
        <v>267.53740626781763</v>
      </c>
      <c r="O189">
        <f t="shared" si="48"/>
        <v>1.2485308995369833</v>
      </c>
      <c r="P189">
        <f t="shared" si="49"/>
        <v>0.21696683805004705</v>
      </c>
    </row>
    <row r="190" spans="6:16" x14ac:dyDescent="0.3">
      <c r="F190">
        <f t="shared" si="50"/>
        <v>80</v>
      </c>
      <c r="G190">
        <f t="shared" si="42"/>
        <v>575.93910524644116</v>
      </c>
      <c r="H190">
        <f t="shared" si="43"/>
        <v>61.916528104575185</v>
      </c>
      <c r="I190">
        <f t="shared" si="44"/>
        <v>0.9112223333585947</v>
      </c>
      <c r="J190">
        <f t="shared" si="45"/>
        <v>102.89343331432788</v>
      </c>
      <c r="K190">
        <f t="shared" si="46"/>
        <v>637.85563335101631</v>
      </c>
      <c r="L190">
        <f t="shared" si="47"/>
        <v>700</v>
      </c>
      <c r="M190">
        <f>'Input + Tire Forces'!$L$15+J190</f>
        <v>438.89343331432786</v>
      </c>
      <c r="N190">
        <f>'Input + Tire Forces'!$L$16-J190</f>
        <v>261.10656668567214</v>
      </c>
      <c r="O190">
        <f t="shared" si="48"/>
        <v>1.3122527281786955</v>
      </c>
      <c r="P190">
        <f t="shared" si="49"/>
        <v>0.23713125598680229</v>
      </c>
    </row>
    <row r="191" spans="6:16" x14ac:dyDescent="0.3">
      <c r="F191">
        <f t="shared" si="50"/>
        <v>85</v>
      </c>
      <c r="G191">
        <f t="shared" si="42"/>
        <v>611.93529932434376</v>
      </c>
      <c r="H191">
        <f t="shared" si="43"/>
        <v>65.786311111111118</v>
      </c>
      <c r="I191">
        <f t="shared" si="44"/>
        <v>0.96817372919350697</v>
      </c>
      <c r="J191">
        <f t="shared" si="45"/>
        <v>109.32427289647337</v>
      </c>
      <c r="K191">
        <f t="shared" si="46"/>
        <v>677.72161043545486</v>
      </c>
      <c r="L191">
        <f t="shared" si="47"/>
        <v>700</v>
      </c>
      <c r="M191">
        <f>'Input + Tire Forces'!$L$15+J191</f>
        <v>445.32427289647336</v>
      </c>
      <c r="N191">
        <f>'Input + Tire Forces'!$L$16-J191</f>
        <v>254.67572710352664</v>
      </c>
      <c r="O191">
        <f t="shared" si="48"/>
        <v>1.3741341682190391</v>
      </c>
      <c r="P191">
        <f t="shared" si="49"/>
        <v>0.25831402096819667</v>
      </c>
    </row>
    <row r="192" spans="6:16" x14ac:dyDescent="0.3">
      <c r="F192">
        <f t="shared" si="50"/>
        <v>90</v>
      </c>
      <c r="G192">
        <f t="shared" si="42"/>
        <v>647.93149340224636</v>
      </c>
      <c r="H192">
        <f t="shared" si="43"/>
        <v>69.656094117647072</v>
      </c>
      <c r="I192">
        <f t="shared" si="44"/>
        <v>1.0251251250284192</v>
      </c>
      <c r="J192">
        <f t="shared" si="45"/>
        <v>115.75511247861888</v>
      </c>
      <c r="K192">
        <f t="shared" si="46"/>
        <v>717.58758751989342</v>
      </c>
      <c r="L192">
        <f t="shared" si="47"/>
        <v>700</v>
      </c>
      <c r="M192">
        <f>'Input + Tire Forces'!$L$15+J192</f>
        <v>451.75511247861891</v>
      </c>
      <c r="N192">
        <f>'Input + Tire Forces'!$L$16-J192</f>
        <v>248.24488752138112</v>
      </c>
      <c r="O192">
        <f t="shared" si="48"/>
        <v>1.4342538147432968</v>
      </c>
      <c r="P192">
        <f t="shared" si="49"/>
        <v>0.28059427452115265</v>
      </c>
    </row>
    <row r="193" spans="6:16" x14ac:dyDescent="0.3">
      <c r="F193">
        <f t="shared" si="50"/>
        <v>95</v>
      </c>
      <c r="G193">
        <f t="shared" si="42"/>
        <v>683.92768748014896</v>
      </c>
      <c r="H193">
        <f t="shared" si="43"/>
        <v>73.525877124183012</v>
      </c>
      <c r="I193">
        <f t="shared" si="44"/>
        <v>1.0820765208633314</v>
      </c>
      <c r="J193">
        <f t="shared" si="45"/>
        <v>122.18595206076438</v>
      </c>
      <c r="K193">
        <f t="shared" si="46"/>
        <v>757.45356460433197</v>
      </c>
      <c r="L193">
        <f t="shared" si="47"/>
        <v>700</v>
      </c>
      <c r="M193">
        <f>'Input + Tire Forces'!$L$15+J193</f>
        <v>458.18595206076441</v>
      </c>
      <c r="N193">
        <f>'Input + Tire Forces'!$L$16-J193</f>
        <v>241.81404793923562</v>
      </c>
      <c r="O193">
        <f t="shared" si="48"/>
        <v>1.4926858503716125</v>
      </c>
      <c r="P193">
        <f t="shared" si="49"/>
        <v>0.30405957697982461</v>
      </c>
    </row>
    <row r="194" spans="6:16" x14ac:dyDescent="0.3">
      <c r="F194">
        <f t="shared" si="50"/>
        <v>100</v>
      </c>
      <c r="G194">
        <f t="shared" si="42"/>
        <v>719.92388155805156</v>
      </c>
      <c r="H194">
        <f t="shared" si="43"/>
        <v>77.39566013071898</v>
      </c>
      <c r="I194">
        <f t="shared" si="44"/>
        <v>1.1390279166982435</v>
      </c>
      <c r="J194">
        <f t="shared" si="45"/>
        <v>128.61679164290987</v>
      </c>
      <c r="K194">
        <f t="shared" si="46"/>
        <v>797.31954168877053</v>
      </c>
      <c r="L194">
        <f t="shared" si="47"/>
        <v>700</v>
      </c>
      <c r="M194">
        <f>'Input + Tire Forces'!$L$15+J194</f>
        <v>464.6167916429099</v>
      </c>
      <c r="N194">
        <f>'Input + Tire Forces'!$L$16-J194</f>
        <v>235.38320835709013</v>
      </c>
      <c r="O194">
        <f t="shared" si="48"/>
        <v>1.5495003506273677</v>
      </c>
      <c r="P194">
        <f t="shared" si="49"/>
        <v>0.32880705752512823</v>
      </c>
    </row>
    <row r="195" spans="6:16" x14ac:dyDescent="0.3">
      <c r="F195">
        <f>F194+5</f>
        <v>105</v>
      </c>
      <c r="G195">
        <f t="shared" si="42"/>
        <v>755.92007563595394</v>
      </c>
      <c r="H195">
        <f t="shared" si="43"/>
        <v>81.265443137254906</v>
      </c>
      <c r="I195">
        <f t="shared" si="44"/>
        <v>1.1959793125331555</v>
      </c>
      <c r="J195">
        <f t="shared" si="45"/>
        <v>135.04763122505534</v>
      </c>
      <c r="K195">
        <f t="shared" si="46"/>
        <v>837.18551877320886</v>
      </c>
      <c r="L195">
        <f t="shared" si="47"/>
        <v>700</v>
      </c>
      <c r="M195">
        <f>'Input + Tire Forces'!$L$15+J195</f>
        <v>471.04763122505534</v>
      </c>
      <c r="N195">
        <f>'Input + Tire Forces'!$L$16-J195</f>
        <v>228.95236877494466</v>
      </c>
      <c r="O195">
        <f t="shared" si="48"/>
        <v>1.6047635642918525</v>
      </c>
      <c r="P195">
        <f t="shared" si="49"/>
        <v>0.35494475803889636</v>
      </c>
    </row>
    <row r="196" spans="6:16" x14ac:dyDescent="0.3">
      <c r="F196">
        <f t="shared" ref="F196:F204" si="51">F195+5</f>
        <v>110</v>
      </c>
      <c r="G196">
        <f t="shared" si="42"/>
        <v>791.91626971385665</v>
      </c>
      <c r="H196">
        <f t="shared" si="43"/>
        <v>85.135226143790874</v>
      </c>
      <c r="I196">
        <f t="shared" si="44"/>
        <v>1.2529307083680679</v>
      </c>
      <c r="J196">
        <f t="shared" si="45"/>
        <v>141.47847080720084</v>
      </c>
      <c r="K196">
        <f t="shared" si="46"/>
        <v>877.05149585764752</v>
      </c>
      <c r="L196">
        <f t="shared" si="47"/>
        <v>700</v>
      </c>
      <c r="M196">
        <f>'Input + Tire Forces'!$L$15+J196</f>
        <v>477.47847080720084</v>
      </c>
      <c r="N196">
        <f>'Input + Tire Forces'!$L$16-J196</f>
        <v>222.52152919279916</v>
      </c>
      <c r="O196">
        <f t="shared" si="48"/>
        <v>1.6585381711034703</v>
      </c>
      <c r="P196">
        <f t="shared" si="49"/>
        <v>0.38259320998116647</v>
      </c>
    </row>
    <row r="197" spans="6:16" x14ac:dyDescent="0.3">
      <c r="F197">
        <f t="shared" si="51"/>
        <v>115</v>
      </c>
      <c r="G197">
        <f t="shared" si="42"/>
        <v>827.91246379175925</v>
      </c>
      <c r="H197">
        <f t="shared" si="43"/>
        <v>89.005009150326813</v>
      </c>
      <c r="I197">
        <f t="shared" si="44"/>
        <v>1.30988210420298</v>
      </c>
      <c r="J197">
        <f t="shared" si="45"/>
        <v>147.90931038934633</v>
      </c>
      <c r="K197">
        <f t="shared" si="46"/>
        <v>916.91747294208596</v>
      </c>
      <c r="L197">
        <f t="shared" si="47"/>
        <v>700</v>
      </c>
      <c r="M197">
        <f>'Input + Tire Forces'!$L$15+J197</f>
        <v>483.90931038934633</v>
      </c>
      <c r="N197">
        <f>'Input + Tire Forces'!$L$16-J197</f>
        <v>216.09068961065367</v>
      </c>
      <c r="O197">
        <f t="shared" si="48"/>
        <v>1.7108835189090141</v>
      </c>
      <c r="P197">
        <f t="shared" si="49"/>
        <v>0.41188729283382647</v>
      </c>
    </row>
    <row r="198" spans="6:16" x14ac:dyDescent="0.3">
      <c r="F198">
        <f t="shared" si="51"/>
        <v>120</v>
      </c>
      <c r="G198">
        <f t="shared" si="42"/>
        <v>863.90865786966174</v>
      </c>
      <c r="H198">
        <f t="shared" si="43"/>
        <v>92.874792156862753</v>
      </c>
      <c r="I198">
        <f t="shared" si="44"/>
        <v>1.3668335000378922</v>
      </c>
      <c r="J198">
        <f t="shared" si="45"/>
        <v>154.34014997149183</v>
      </c>
      <c r="K198">
        <f t="shared" si="46"/>
        <v>956.78345002652452</v>
      </c>
      <c r="L198">
        <f t="shared" si="47"/>
        <v>700</v>
      </c>
      <c r="M198">
        <f>'Input + Tire Forces'!$L$15+J198</f>
        <v>490.34014997149183</v>
      </c>
      <c r="N198">
        <f>'Input + Tire Forces'!$L$16-J198</f>
        <v>209.65985002850817</v>
      </c>
      <c r="O198">
        <f t="shared" si="48"/>
        <v>1.7618558421534296</v>
      </c>
      <c r="P198">
        <f t="shared" si="49"/>
        <v>0.44297843456548425</v>
      </c>
    </row>
    <row r="199" spans="6:16" x14ac:dyDescent="0.3">
      <c r="F199">
        <f t="shared" si="51"/>
        <v>125</v>
      </c>
      <c r="G199">
        <f t="shared" si="42"/>
        <v>899.90485194756434</v>
      </c>
      <c r="H199">
        <f t="shared" si="43"/>
        <v>96.744575163398721</v>
      </c>
      <c r="I199">
        <f t="shared" si="44"/>
        <v>1.4237848958728043</v>
      </c>
      <c r="J199">
        <f t="shared" si="45"/>
        <v>160.77098955363732</v>
      </c>
      <c r="K199">
        <f t="shared" si="46"/>
        <v>996.64942711096307</v>
      </c>
      <c r="L199">
        <f t="shared" si="47"/>
        <v>700</v>
      </c>
      <c r="M199">
        <f>'Input + Tire Forces'!$L$15+J199</f>
        <v>496.77098955363732</v>
      </c>
      <c r="N199">
        <f>'Input + Tire Forces'!$L$16-J199</f>
        <v>203.22901044636268</v>
      </c>
      <c r="O199">
        <f t="shared" si="48"/>
        <v>1.811508463399109</v>
      </c>
      <c r="P199">
        <f t="shared" si="49"/>
        <v>0.47603722987635216</v>
      </c>
    </row>
    <row r="200" spans="6:16" x14ac:dyDescent="0.3">
      <c r="F200">
        <f t="shared" si="51"/>
        <v>130</v>
      </c>
      <c r="G200">
        <f t="shared" si="42"/>
        <v>935.90104602546705</v>
      </c>
      <c r="H200">
        <f t="shared" si="43"/>
        <v>100.61435816993466</v>
      </c>
      <c r="I200">
        <f t="shared" si="44"/>
        <v>1.4807362917077167</v>
      </c>
      <c r="J200">
        <f t="shared" si="45"/>
        <v>167.20182913578284</v>
      </c>
      <c r="K200">
        <f t="shared" si="46"/>
        <v>1036.5154041954017</v>
      </c>
      <c r="L200">
        <f t="shared" si="47"/>
        <v>700</v>
      </c>
      <c r="M200">
        <f>'Input + Tire Forces'!$L$15+J200</f>
        <v>503.20182913578287</v>
      </c>
      <c r="N200">
        <f>'Input + Tire Forces'!$L$16-J200</f>
        <v>196.79817086421716</v>
      </c>
      <c r="O200">
        <f t="shared" si="48"/>
        <v>1.8598919793928761</v>
      </c>
      <c r="P200">
        <f t="shared" si="49"/>
        <v>0.51125657178670902</v>
      </c>
    </row>
    <row r="201" spans="6:16" x14ac:dyDescent="0.3">
      <c r="F201">
        <f t="shared" si="51"/>
        <v>135</v>
      </c>
      <c r="G201">
        <f t="shared" si="42"/>
        <v>971.89724010336943</v>
      </c>
      <c r="H201">
        <f t="shared" si="43"/>
        <v>104.4841411764706</v>
      </c>
      <c r="I201">
        <f t="shared" si="44"/>
        <v>1.5376876875426286</v>
      </c>
      <c r="J201">
        <f t="shared" si="45"/>
        <v>173.63266871792831</v>
      </c>
      <c r="K201">
        <f t="shared" si="46"/>
        <v>1076.3813812798401</v>
      </c>
      <c r="L201">
        <f t="shared" si="47"/>
        <v>700</v>
      </c>
      <c r="M201">
        <f>'Input + Tire Forces'!$L$15+J201</f>
        <v>509.63266871792831</v>
      </c>
      <c r="N201">
        <f>'Input + Tire Forces'!$L$16-J201</f>
        <v>190.36733128207169</v>
      </c>
      <c r="O201">
        <f t="shared" si="48"/>
        <v>1.9070544330455697</v>
      </c>
      <c r="P201">
        <f t="shared" si="49"/>
        <v>0.54885541795852577</v>
      </c>
    </row>
    <row r="202" spans="6:16" x14ac:dyDescent="0.3">
      <c r="F202">
        <f t="shared" si="51"/>
        <v>140</v>
      </c>
      <c r="G202">
        <f t="shared" si="42"/>
        <v>1007.8934341812718</v>
      </c>
      <c r="H202">
        <f t="shared" si="43"/>
        <v>108.35392418300654</v>
      </c>
      <c r="I202">
        <f t="shared" si="44"/>
        <v>1.5946390833775406</v>
      </c>
      <c r="J202">
        <f t="shared" si="45"/>
        <v>180.06350830007378</v>
      </c>
      <c r="K202">
        <f t="shared" si="46"/>
        <v>1116.2473583642784</v>
      </c>
      <c r="L202">
        <f t="shared" si="47"/>
        <v>700</v>
      </c>
      <c r="M202">
        <f>'Input + Tire Forces'!$L$15+J202</f>
        <v>516.06350830007375</v>
      </c>
      <c r="N202">
        <f>'Input + Tire Forces'!$L$16-J202</f>
        <v>183.93649169992622</v>
      </c>
      <c r="O202">
        <f t="shared" si="48"/>
        <v>1.9530414725530552</v>
      </c>
      <c r="P202">
        <f t="shared" si="49"/>
        <v>0.58908334709229426</v>
      </c>
    </row>
    <row r="203" spans="6:16" x14ac:dyDescent="0.3">
      <c r="F203">
        <f t="shared" si="51"/>
        <v>145</v>
      </c>
      <c r="G203">
        <f t="shared" si="42"/>
        <v>1043.8896282591747</v>
      </c>
      <c r="H203">
        <f t="shared" si="43"/>
        <v>112.22370718954252</v>
      </c>
      <c r="I203">
        <f t="shared" si="44"/>
        <v>1.6515904792124532</v>
      </c>
      <c r="J203">
        <f t="shared" si="45"/>
        <v>186.4943478822193</v>
      </c>
      <c r="K203">
        <f t="shared" si="46"/>
        <v>1156.1133354487172</v>
      </c>
      <c r="L203">
        <f t="shared" si="47"/>
        <v>700</v>
      </c>
      <c r="M203">
        <f>'Input + Tire Forces'!$L$15+J203</f>
        <v>522.49434788221924</v>
      </c>
      <c r="N203">
        <f>'Input + Tire Forces'!$L$16-J203</f>
        <v>177.5056521177807</v>
      </c>
      <c r="O203">
        <f t="shared" si="48"/>
        <v>1.9978964987665062</v>
      </c>
      <c r="P203">
        <f t="shared" si="49"/>
        <v>0.63222610576410543</v>
      </c>
    </row>
    <row r="204" spans="6:16" x14ac:dyDescent="0.3">
      <c r="F204">
        <f t="shared" si="51"/>
        <v>150</v>
      </c>
      <c r="G204">
        <f t="shared" si="42"/>
        <v>1079.8858223370771</v>
      </c>
      <c r="H204">
        <f t="shared" si="43"/>
        <v>116.09349019607846</v>
      </c>
      <c r="I204">
        <f t="shared" si="44"/>
        <v>1.7085418750473651</v>
      </c>
      <c r="J204">
        <f t="shared" si="45"/>
        <v>192.92518746436477</v>
      </c>
      <c r="K204">
        <f t="shared" si="46"/>
        <v>1195.9793125331555</v>
      </c>
      <c r="L204">
        <f t="shared" si="47"/>
        <v>700</v>
      </c>
      <c r="M204">
        <f>'Input + Tire Forces'!$L$15+J204</f>
        <v>528.92518746436474</v>
      </c>
      <c r="N204">
        <f>'Input + Tire Forces'!$L$16-J204</f>
        <v>171.07481253563523</v>
      </c>
      <c r="O204">
        <f t="shared" si="48"/>
        <v>2.0416608018120375</v>
      </c>
      <c r="P204">
        <f t="shared" si="49"/>
        <v>0.67861240632308717</v>
      </c>
    </row>
    <row r="205" spans="6:16" x14ac:dyDescent="0.3">
      <c r="F205">
        <f>F204+5</f>
        <v>155</v>
      </c>
      <c r="G205">
        <f t="shared" si="42"/>
        <v>1115.8820164149797</v>
      </c>
      <c r="H205">
        <f t="shared" si="43"/>
        <v>119.9632732026144</v>
      </c>
      <c r="I205">
        <f t="shared" si="44"/>
        <v>1.7654932708822773</v>
      </c>
      <c r="J205">
        <f t="shared" si="45"/>
        <v>199.35602704651026</v>
      </c>
      <c r="K205">
        <f t="shared" si="46"/>
        <v>1235.8452896175941</v>
      </c>
      <c r="L205">
        <f t="shared" si="47"/>
        <v>700</v>
      </c>
      <c r="M205">
        <f>'Input + Tire Forces'!$L$15+J205</f>
        <v>535.35602704651023</v>
      </c>
      <c r="N205">
        <f>'Input + Tire Forces'!$L$16-J205</f>
        <v>164.64397295348974</v>
      </c>
      <c r="O205">
        <f t="shared" si="48"/>
        <v>2.0843736878636747</v>
      </c>
      <c r="P205">
        <f t="shared" si="49"/>
        <v>0.7286223179059389</v>
      </c>
    </row>
    <row r="206" spans="6:16" x14ac:dyDescent="0.3">
      <c r="F206">
        <f t="shared" ref="F206:F214" si="52">F205+5</f>
        <v>160</v>
      </c>
      <c r="G206">
        <f t="shared" si="42"/>
        <v>1151.8782104928823</v>
      </c>
      <c r="H206">
        <f t="shared" si="43"/>
        <v>123.83305620915037</v>
      </c>
      <c r="I206">
        <f t="shared" si="44"/>
        <v>1.8224446667171894</v>
      </c>
      <c r="J206">
        <f t="shared" si="45"/>
        <v>205.78686662865576</v>
      </c>
      <c r="K206">
        <f t="shared" si="46"/>
        <v>1275.7112667020326</v>
      </c>
      <c r="L206">
        <f t="shared" si="47"/>
        <v>700</v>
      </c>
      <c r="M206">
        <f>'Input + Tire Forces'!$L$15+J206</f>
        <v>541.78686662865573</v>
      </c>
      <c r="N206">
        <f>'Input + Tire Forces'!$L$16-J206</f>
        <v>158.21313337134424</v>
      </c>
      <c r="O206">
        <f t="shared" si="48"/>
        <v>2.1260725968877856</v>
      </c>
      <c r="P206">
        <f t="shared" si="49"/>
        <v>0.78269770385306814</v>
      </c>
    </row>
    <row r="207" spans="6:16" x14ac:dyDescent="0.3">
      <c r="F207">
        <f t="shared" si="52"/>
        <v>165</v>
      </c>
      <c r="G207">
        <f t="shared" si="42"/>
        <v>1187.8744045707849</v>
      </c>
      <c r="H207">
        <f t="shared" si="43"/>
        <v>127.70283921568628</v>
      </c>
      <c r="I207">
        <f t="shared" si="44"/>
        <v>1.8793960625521016</v>
      </c>
      <c r="J207">
        <f t="shared" si="45"/>
        <v>212.21770621080125</v>
      </c>
      <c r="K207">
        <f t="shared" si="46"/>
        <v>1315.5772437864712</v>
      </c>
      <c r="L207">
        <f t="shared" si="47"/>
        <v>700</v>
      </c>
      <c r="M207">
        <f>'Input + Tire Forces'!$L$15+J207</f>
        <v>548.21770621080123</v>
      </c>
      <c r="N207">
        <f>'Input + Tire Forces'!$L$16-J207</f>
        <v>151.78229378919875</v>
      </c>
      <c r="O207">
        <f t="shared" si="48"/>
        <v>2.1667932121003446</v>
      </c>
      <c r="P207">
        <f t="shared" si="49"/>
        <v>0.8413553124519586</v>
      </c>
    </row>
    <row r="208" spans="6:16" x14ac:dyDescent="0.3">
      <c r="F208">
        <f t="shared" si="52"/>
        <v>170</v>
      </c>
      <c r="G208">
        <f t="shared" si="42"/>
        <v>1223.8705986486875</v>
      </c>
      <c r="H208">
        <f t="shared" si="43"/>
        <v>131.57262222222224</v>
      </c>
      <c r="I208">
        <f t="shared" si="44"/>
        <v>1.9363474583870139</v>
      </c>
      <c r="J208">
        <f t="shared" si="45"/>
        <v>218.64854579294675</v>
      </c>
      <c r="K208">
        <f t="shared" si="46"/>
        <v>1355.4432208709097</v>
      </c>
      <c r="L208">
        <f t="shared" si="47"/>
        <v>700</v>
      </c>
      <c r="M208">
        <f>'Input + Tire Forces'!$L$15+J208</f>
        <v>554.64854579294672</v>
      </c>
      <c r="N208">
        <f>'Input + Tire Forces'!$L$16-J208</f>
        <v>145.35145420705325</v>
      </c>
      <c r="O208">
        <f t="shared" si="48"/>
        <v>2.2065695618096237</v>
      </c>
      <c r="P208">
        <f t="shared" si="49"/>
        <v>0.90520334275291758</v>
      </c>
    </row>
    <row r="209" spans="4:16" x14ac:dyDescent="0.3">
      <c r="F209">
        <f t="shared" si="52"/>
        <v>175</v>
      </c>
      <c r="G209">
        <f t="shared" si="42"/>
        <v>1259.8667927265901</v>
      </c>
      <c r="H209">
        <f t="shared" si="43"/>
        <v>135.44240522875819</v>
      </c>
      <c r="I209">
        <f t="shared" si="44"/>
        <v>1.9932988542219261</v>
      </c>
      <c r="J209">
        <f t="shared" si="45"/>
        <v>225.07938537509224</v>
      </c>
      <c r="K209">
        <f t="shared" si="46"/>
        <v>1395.3091979553483</v>
      </c>
      <c r="L209">
        <f t="shared" si="47"/>
        <v>700</v>
      </c>
      <c r="M209">
        <f>'Input + Tire Forces'!$L$15+J209</f>
        <v>561.07938537509222</v>
      </c>
      <c r="N209">
        <f>'Input + Tire Forces'!$L$16-J209</f>
        <v>138.92061462490776</v>
      </c>
      <c r="O209">
        <f t="shared" si="48"/>
        <v>2.2454341142552319</v>
      </c>
      <c r="P209">
        <f t="shared" si="49"/>
        <v>0.97496261152068109</v>
      </c>
    </row>
    <row r="210" spans="4:16" x14ac:dyDescent="0.3">
      <c r="F210">
        <f t="shared" si="52"/>
        <v>180</v>
      </c>
      <c r="G210">
        <f t="shared" si="42"/>
        <v>1295.8629868044927</v>
      </c>
      <c r="H210">
        <f t="shared" si="43"/>
        <v>139.31218823529414</v>
      </c>
      <c r="I210">
        <f t="shared" si="44"/>
        <v>2.0502502500568385</v>
      </c>
      <c r="J210">
        <f t="shared" si="45"/>
        <v>231.51022495723777</v>
      </c>
      <c r="K210">
        <f t="shared" si="46"/>
        <v>1435.1751750397868</v>
      </c>
      <c r="L210">
        <f t="shared" si="47"/>
        <v>700</v>
      </c>
      <c r="M210">
        <f>'Input + Tire Forces'!$L$15+J210</f>
        <v>567.51022495723782</v>
      </c>
      <c r="N210">
        <f>'Input + Tire Forces'!$L$16-J210</f>
        <v>132.48977504276223</v>
      </c>
      <c r="O210">
        <f t="shared" si="48"/>
        <v>2.2834178659990427</v>
      </c>
      <c r="P210">
        <f t="shared" si="49"/>
        <v>1.0514938846437767</v>
      </c>
    </row>
    <row r="211" spans="4:16" x14ac:dyDescent="0.3">
      <c r="F211">
        <f t="shared" si="52"/>
        <v>185</v>
      </c>
      <c r="G211">
        <f t="shared" si="42"/>
        <v>1331.8591808823951</v>
      </c>
      <c r="H211">
        <f t="shared" si="43"/>
        <v>143.1819712418301</v>
      </c>
      <c r="I211">
        <f t="shared" si="44"/>
        <v>2.1072016458917502</v>
      </c>
      <c r="J211">
        <f t="shared" si="45"/>
        <v>237.94106453938321</v>
      </c>
      <c r="K211">
        <f t="shared" si="46"/>
        <v>1475.0411521242252</v>
      </c>
      <c r="L211">
        <f t="shared" si="47"/>
        <v>700</v>
      </c>
      <c r="M211">
        <f>'Input + Tire Forces'!$L$15+J211</f>
        <v>573.94106453938321</v>
      </c>
      <c r="N211">
        <f>'Input + Tire Forces'!$L$16-J211</f>
        <v>126.05893546061679</v>
      </c>
      <c r="O211">
        <f t="shared" si="48"/>
        <v>2.3205504243737631</v>
      </c>
      <c r="P211">
        <f t="shared" si="49"/>
        <v>1.1358335743408119</v>
      </c>
    </row>
    <row r="212" spans="4:16" x14ac:dyDescent="0.3">
      <c r="F212">
        <f t="shared" si="52"/>
        <v>190</v>
      </c>
      <c r="G212">
        <f t="shared" si="42"/>
        <v>1367.8553749602979</v>
      </c>
      <c r="H212">
        <f t="shared" si="43"/>
        <v>147.05175424836602</v>
      </c>
      <c r="I212">
        <f t="shared" si="44"/>
        <v>2.1641530417266628</v>
      </c>
      <c r="J212">
        <f t="shared" si="45"/>
        <v>244.37190412152876</v>
      </c>
      <c r="K212">
        <f t="shared" si="46"/>
        <v>1514.9071292086639</v>
      </c>
      <c r="L212">
        <f t="shared" si="47"/>
        <v>700</v>
      </c>
      <c r="M212">
        <f>'Input + Tire Forces'!$L$15+J212</f>
        <v>580.37190412152881</v>
      </c>
      <c r="N212">
        <f>'Input + Tire Forces'!$L$16-J212</f>
        <v>119.62809587847124</v>
      </c>
      <c r="O212">
        <f t="shared" si="48"/>
        <v>2.3568600844500418</v>
      </c>
      <c r="P212">
        <f t="shared" si="49"/>
        <v>1.2292409502008137</v>
      </c>
    </row>
    <row r="213" spans="4:16" x14ac:dyDescent="0.3">
      <c r="F213">
        <f t="shared" si="52"/>
        <v>195</v>
      </c>
      <c r="G213">
        <f t="shared" si="42"/>
        <v>1403.8515690382003</v>
      </c>
      <c r="H213">
        <f t="shared" si="43"/>
        <v>150.92153725490198</v>
      </c>
      <c r="I213">
        <f t="shared" si="44"/>
        <v>2.2211044375615745</v>
      </c>
      <c r="J213">
        <f t="shared" si="45"/>
        <v>250.8027437036742</v>
      </c>
      <c r="K213">
        <f t="shared" si="46"/>
        <v>1554.773106293102</v>
      </c>
      <c r="L213">
        <f t="shared" si="47"/>
        <v>700</v>
      </c>
      <c r="M213">
        <f>'Input + Tire Forces'!$L$15+J213</f>
        <v>586.8027437036742</v>
      </c>
      <c r="N213">
        <f>'Input + Tire Forces'!$L$16-J213</f>
        <v>113.1972562963258</v>
      </c>
      <c r="O213">
        <f t="shared" si="48"/>
        <v>2.3923739009426348</v>
      </c>
      <c r="P213">
        <f t="shared" si="49"/>
        <v>1.3332614428376446</v>
      </c>
    </row>
    <row r="214" spans="4:16" x14ac:dyDescent="0.3">
      <c r="F214">
        <f t="shared" si="52"/>
        <v>200</v>
      </c>
      <c r="G214">
        <f t="shared" si="42"/>
        <v>1439.8477631161031</v>
      </c>
      <c r="H214">
        <f t="shared" si="43"/>
        <v>154.79132026143796</v>
      </c>
      <c r="I214">
        <f t="shared" si="44"/>
        <v>2.2780558333964871</v>
      </c>
      <c r="J214">
        <f t="shared" si="45"/>
        <v>257.23358328581975</v>
      </c>
      <c r="K214">
        <f t="shared" si="46"/>
        <v>1594.6390833775411</v>
      </c>
      <c r="L214">
        <f t="shared" si="47"/>
        <v>700</v>
      </c>
      <c r="M214">
        <f>'Input + Tire Forces'!$L$15+J214</f>
        <v>593.2335832858198</v>
      </c>
      <c r="N214">
        <f>'Input + Tire Forces'!$L$16-J214</f>
        <v>106.76641671418025</v>
      </c>
      <c r="O214">
        <f t="shared" si="48"/>
        <v>2.4271177554396557</v>
      </c>
      <c r="P214">
        <f t="shared" si="49"/>
        <v>1.4498128252802853</v>
      </c>
    </row>
    <row r="216" spans="4:16" x14ac:dyDescent="0.3">
      <c r="D216" s="25" t="s">
        <v>168</v>
      </c>
      <c r="E216" s="25">
        <v>0.75</v>
      </c>
      <c r="F216" s="1" t="s">
        <v>173</v>
      </c>
      <c r="G216" s="1" t="s">
        <v>182</v>
      </c>
      <c r="H216" s="1" t="s">
        <v>183</v>
      </c>
      <c r="I216" s="1" t="s">
        <v>317</v>
      </c>
      <c r="J216" s="1" t="s">
        <v>318</v>
      </c>
      <c r="K216" s="1" t="s">
        <v>175</v>
      </c>
      <c r="L216" s="1" t="s">
        <v>319</v>
      </c>
      <c r="M216" s="1" t="s">
        <v>178</v>
      </c>
      <c r="N216" s="1" t="s">
        <v>179</v>
      </c>
      <c r="O216" s="1" t="s">
        <v>320</v>
      </c>
      <c r="P216" s="1" t="s">
        <v>321</v>
      </c>
    </row>
    <row r="217" spans="4:16" x14ac:dyDescent="0.3">
      <c r="F217">
        <v>0</v>
      </c>
      <c r="G217">
        <f>(2*F217*$B$30)*($B$13*$B$14/$B$26)*($B$15/$B$3)*($B$28/(2*$B$6))*$E$216</f>
        <v>0</v>
      </c>
      <c r="H217">
        <f>(2*$B$30*F217)*($B$20*$B$22/$B$26)*($B$21/$B$3)*($B$28/(2*$B$6))*(1-$E$216)</f>
        <v>0</v>
      </c>
      <c r="I217">
        <f>(G217+H217)/$B$2</f>
        <v>0</v>
      </c>
      <c r="J217">
        <f>I217*(($B$2*$B$4)/$B$5)</f>
        <v>0</v>
      </c>
      <c r="K217">
        <f>$B$2*I217</f>
        <v>0</v>
      </c>
      <c r="L217">
        <f>$B$2</f>
        <v>700</v>
      </c>
      <c r="M217">
        <f>'Input + Tire Forces'!$L$15+J217</f>
        <v>336</v>
      </c>
      <c r="N217">
        <f>'Input + Tire Forces'!$L$16-J217</f>
        <v>364</v>
      </c>
      <c r="O217">
        <f>G217/M217</f>
        <v>0</v>
      </c>
      <c r="P217">
        <f>H217/N217</f>
        <v>0</v>
      </c>
    </row>
    <row r="218" spans="4:16" x14ac:dyDescent="0.3">
      <c r="F218">
        <f>F217+5</f>
        <v>5</v>
      </c>
      <c r="G218">
        <f t="shared" ref="G218:G257" si="53">(2*F218*$B$30)*($B$13*$B$14/$B$26)*($B$15/$B$3)*($B$28/(2*$B$6))*$E$216</f>
        <v>38.567350797752759</v>
      </c>
      <c r="H218">
        <f t="shared" ref="H218:H257" si="54">(2*$B$30*F218)*($B$20*$B$22/$B$26)*($B$21/$B$3)*($B$28/(2*$B$6))*(1-$E$216)</f>
        <v>3.2248191721132904</v>
      </c>
      <c r="I218">
        <f t="shared" ref="I218:I257" si="55">(G218+H218)/$B$2</f>
        <v>5.97030999569515E-2</v>
      </c>
      <c r="J218">
        <f t="shared" ref="J218:J257" si="56">I218*(($B$2*$B$4)/$B$5)</f>
        <v>6.7415565984177368</v>
      </c>
      <c r="K218">
        <f t="shared" ref="K218:K257" si="57">$B$2*I218</f>
        <v>41.792169969866052</v>
      </c>
      <c r="L218">
        <f t="shared" ref="L218:L257" si="58">$B$2</f>
        <v>700</v>
      </c>
      <c r="M218">
        <f>'Input + Tire Forces'!$L$15+J218</f>
        <v>342.74155659841773</v>
      </c>
      <c r="N218">
        <f>'Input + Tire Forces'!$L$16-J218</f>
        <v>357.25844340158227</v>
      </c>
      <c r="O218">
        <f t="shared" ref="O218:O257" si="59">G218/M218</f>
        <v>0.11252604201404506</v>
      </c>
      <c r="P218">
        <f t="shared" ref="P218:P257" si="60">H218/N218</f>
        <v>9.0265723082949764E-3</v>
      </c>
    </row>
    <row r="219" spans="4:16" x14ac:dyDescent="0.3">
      <c r="F219">
        <f t="shared" ref="F219:F237" si="61">F218+5</f>
        <v>10</v>
      </c>
      <c r="G219">
        <f t="shared" si="53"/>
        <v>77.134701595505518</v>
      </c>
      <c r="H219">
        <f t="shared" si="54"/>
        <v>6.4496383442265808</v>
      </c>
      <c r="I219">
        <f t="shared" si="55"/>
        <v>0.119406199913903</v>
      </c>
      <c r="J219">
        <f t="shared" si="56"/>
        <v>13.483113196835474</v>
      </c>
      <c r="K219">
        <f t="shared" si="57"/>
        <v>83.584339939732104</v>
      </c>
      <c r="L219">
        <f t="shared" si="58"/>
        <v>700</v>
      </c>
      <c r="M219">
        <f>'Input + Tire Forces'!$L$15+J219</f>
        <v>349.48311319683546</v>
      </c>
      <c r="N219">
        <f>'Input + Tire Forces'!$L$16-J219</f>
        <v>350.51688680316454</v>
      </c>
      <c r="O219">
        <f t="shared" si="59"/>
        <v>0.22071081171828122</v>
      </c>
      <c r="P219">
        <f t="shared" si="60"/>
        <v>1.8400364110983402E-2</v>
      </c>
    </row>
    <row r="220" spans="4:16" x14ac:dyDescent="0.3">
      <c r="F220">
        <f t="shared" si="61"/>
        <v>15</v>
      </c>
      <c r="G220">
        <f t="shared" si="53"/>
        <v>115.70205239325827</v>
      </c>
      <c r="H220">
        <f t="shared" si="54"/>
        <v>9.6744575163398689</v>
      </c>
      <c r="I220">
        <f t="shared" si="55"/>
        <v>0.1791092998708545</v>
      </c>
      <c r="J220">
        <f t="shared" si="56"/>
        <v>20.22466979525321</v>
      </c>
      <c r="K220">
        <f t="shared" si="57"/>
        <v>125.37650990959816</v>
      </c>
      <c r="L220">
        <f t="shared" si="58"/>
        <v>700</v>
      </c>
      <c r="M220">
        <f>'Input + Tire Forces'!$L$15+J220</f>
        <v>356.22466979525319</v>
      </c>
      <c r="N220">
        <f>'Input + Tire Forces'!$L$16-J220</f>
        <v>343.77533020474681</v>
      </c>
      <c r="O220">
        <f t="shared" si="59"/>
        <v>0.32480078502075727</v>
      </c>
      <c r="P220">
        <f t="shared" si="60"/>
        <v>2.8141802701717789E-2</v>
      </c>
    </row>
    <row r="221" spans="4:16" x14ac:dyDescent="0.3">
      <c r="F221">
        <f t="shared" si="61"/>
        <v>20</v>
      </c>
      <c r="G221">
        <f t="shared" si="53"/>
        <v>154.26940319101104</v>
      </c>
      <c r="H221">
        <f t="shared" si="54"/>
        <v>12.899276688453162</v>
      </c>
      <c r="I221">
        <f t="shared" si="55"/>
        <v>0.238812399827806</v>
      </c>
      <c r="J221">
        <f t="shared" si="56"/>
        <v>26.966226393670947</v>
      </c>
      <c r="K221">
        <f t="shared" si="57"/>
        <v>167.16867987946421</v>
      </c>
      <c r="L221">
        <f t="shared" si="58"/>
        <v>700</v>
      </c>
      <c r="M221">
        <f>'Input + Tire Forces'!$L$15+J221</f>
        <v>362.96622639367092</v>
      </c>
      <c r="N221">
        <f>'Input + Tire Forces'!$L$16-J221</f>
        <v>337.03377360632908</v>
      </c>
      <c r="O221">
        <f t="shared" si="59"/>
        <v>0.42502412613919455</v>
      </c>
      <c r="P221">
        <f t="shared" si="60"/>
        <v>3.8272949771259744E-2</v>
      </c>
    </row>
    <row r="222" spans="4:16" x14ac:dyDescent="0.3">
      <c r="F222">
        <f t="shared" si="61"/>
        <v>25</v>
      </c>
      <c r="G222">
        <f t="shared" si="53"/>
        <v>192.8367539887638</v>
      </c>
      <c r="H222">
        <f t="shared" si="54"/>
        <v>16.124095860566452</v>
      </c>
      <c r="I222">
        <f t="shared" si="55"/>
        <v>0.2985154997847575</v>
      </c>
      <c r="J222">
        <f t="shared" si="56"/>
        <v>33.707782992088681</v>
      </c>
      <c r="K222">
        <f t="shared" si="57"/>
        <v>208.96084984933026</v>
      </c>
      <c r="L222">
        <f t="shared" si="58"/>
        <v>700</v>
      </c>
      <c r="M222">
        <f>'Input + Tire Forces'!$L$15+J222</f>
        <v>369.70778299208871</v>
      </c>
      <c r="N222">
        <f>'Input + Tire Forces'!$L$16-J222</f>
        <v>330.29221700791129</v>
      </c>
      <c r="O222">
        <f t="shared" si="59"/>
        <v>0.52159235715329877</v>
      </c>
      <c r="P222">
        <f t="shared" si="60"/>
        <v>4.8817668204940601E-2</v>
      </c>
    </row>
    <row r="223" spans="4:16" x14ac:dyDescent="0.3">
      <c r="F223">
        <f t="shared" si="61"/>
        <v>30</v>
      </c>
      <c r="G223">
        <f t="shared" si="53"/>
        <v>231.40410478651654</v>
      </c>
      <c r="H223">
        <f t="shared" si="54"/>
        <v>19.348915032679738</v>
      </c>
      <c r="I223">
        <f t="shared" si="55"/>
        <v>0.358218599741709</v>
      </c>
      <c r="J223">
        <f t="shared" si="56"/>
        <v>40.449339590506419</v>
      </c>
      <c r="K223">
        <f t="shared" si="57"/>
        <v>250.75301981919631</v>
      </c>
      <c r="L223">
        <f t="shared" si="58"/>
        <v>700</v>
      </c>
      <c r="M223">
        <f>'Input + Tire Forces'!$L$15+J223</f>
        <v>376.44933959050644</v>
      </c>
      <c r="N223">
        <f>'Input + Tire Forces'!$L$16-J223</f>
        <v>323.55066040949356</v>
      </c>
      <c r="O223">
        <f t="shared" si="59"/>
        <v>0.6147018481643054</v>
      </c>
      <c r="P223">
        <f t="shared" si="60"/>
        <v>5.9801809732643665E-2</v>
      </c>
    </row>
    <row r="224" spans="4:16" x14ac:dyDescent="0.3">
      <c r="F224">
        <f t="shared" si="61"/>
        <v>35</v>
      </c>
      <c r="G224">
        <f t="shared" si="53"/>
        <v>269.97145558426928</v>
      </c>
      <c r="H224">
        <f t="shared" si="54"/>
        <v>22.573734204793027</v>
      </c>
      <c r="I224">
        <f t="shared" si="55"/>
        <v>0.41792169969866044</v>
      </c>
      <c r="J224">
        <f t="shared" si="56"/>
        <v>47.19089618892415</v>
      </c>
      <c r="K224">
        <f t="shared" si="57"/>
        <v>292.54518978906231</v>
      </c>
      <c r="L224">
        <f t="shared" si="58"/>
        <v>700</v>
      </c>
      <c r="M224">
        <f>'Input + Tire Forces'!$L$15+J224</f>
        <v>383.19089618892417</v>
      </c>
      <c r="N224">
        <f>'Input + Tire Forces'!$L$16-J224</f>
        <v>316.80910381107583</v>
      </c>
      <c r="O224">
        <f t="shared" si="59"/>
        <v>0.70453515015441692</v>
      </c>
      <c r="P224">
        <f t="shared" si="60"/>
        <v>7.125342653743473E-2</v>
      </c>
    </row>
    <row r="225" spans="6:16" x14ac:dyDescent="0.3">
      <c r="F225">
        <f t="shared" si="61"/>
        <v>40</v>
      </c>
      <c r="G225">
        <f t="shared" si="53"/>
        <v>308.53880638202207</v>
      </c>
      <c r="H225">
        <f t="shared" si="54"/>
        <v>25.798553376906323</v>
      </c>
      <c r="I225">
        <f t="shared" si="55"/>
        <v>0.477624799655612</v>
      </c>
      <c r="J225">
        <f t="shared" si="56"/>
        <v>53.932452787341894</v>
      </c>
      <c r="K225">
        <f t="shared" si="57"/>
        <v>334.33735975892841</v>
      </c>
      <c r="L225">
        <f t="shared" si="58"/>
        <v>700</v>
      </c>
      <c r="M225">
        <f>'Input + Tire Forces'!$L$15+J225</f>
        <v>389.9324527873419</v>
      </c>
      <c r="N225">
        <f>'Input + Tire Forces'!$L$16-J225</f>
        <v>310.0675472126581</v>
      </c>
      <c r="O225">
        <f t="shared" si="59"/>
        <v>0.79126218958310301</v>
      </c>
      <c r="P225">
        <f t="shared" si="60"/>
        <v>8.3203010469239877E-2</v>
      </c>
    </row>
    <row r="226" spans="6:16" x14ac:dyDescent="0.3">
      <c r="F226">
        <f t="shared" si="61"/>
        <v>45</v>
      </c>
      <c r="G226">
        <f t="shared" si="53"/>
        <v>347.10615717977487</v>
      </c>
      <c r="H226">
        <f t="shared" si="54"/>
        <v>29.023372549019609</v>
      </c>
      <c r="I226">
        <f t="shared" si="55"/>
        <v>0.53732789961256355</v>
      </c>
      <c r="J226">
        <f t="shared" si="56"/>
        <v>60.674009385759639</v>
      </c>
      <c r="K226">
        <f t="shared" si="57"/>
        <v>376.12952972879447</v>
      </c>
      <c r="L226">
        <f t="shared" si="58"/>
        <v>700</v>
      </c>
      <c r="M226">
        <f>'Input + Tire Forces'!$L$15+J226</f>
        <v>396.67400938575963</v>
      </c>
      <c r="N226">
        <f>'Input + Tire Forces'!$L$16-J226</f>
        <v>303.32599061424037</v>
      </c>
      <c r="O226">
        <f t="shared" si="59"/>
        <v>0.87504134116893761</v>
      </c>
      <c r="P226">
        <f t="shared" si="60"/>
        <v>9.5683764158312909E-2</v>
      </c>
    </row>
    <row r="227" spans="6:16" x14ac:dyDescent="0.3">
      <c r="F227">
        <f t="shared" si="61"/>
        <v>50</v>
      </c>
      <c r="G227">
        <f t="shared" si="53"/>
        <v>385.67350797752761</v>
      </c>
      <c r="H227">
        <f t="shared" si="54"/>
        <v>32.248191721132905</v>
      </c>
      <c r="I227">
        <f t="shared" si="55"/>
        <v>0.597030999569515</v>
      </c>
      <c r="J227">
        <f t="shared" si="56"/>
        <v>67.415565984177363</v>
      </c>
      <c r="K227">
        <f t="shared" si="57"/>
        <v>417.92169969866052</v>
      </c>
      <c r="L227">
        <f t="shared" si="58"/>
        <v>700</v>
      </c>
      <c r="M227">
        <f>'Input + Tire Forces'!$L$15+J227</f>
        <v>403.41556598417736</v>
      </c>
      <c r="N227">
        <f>'Input + Tire Forces'!$L$16-J227</f>
        <v>296.58443401582264</v>
      </c>
      <c r="O227">
        <f t="shared" si="59"/>
        <v>0.95602039310663178</v>
      </c>
      <c r="P227">
        <f t="shared" si="60"/>
        <v>0.10873190910421307</v>
      </c>
    </row>
    <row r="228" spans="6:16" x14ac:dyDescent="0.3">
      <c r="F228">
        <f t="shared" si="61"/>
        <v>55</v>
      </c>
      <c r="G228">
        <f t="shared" si="53"/>
        <v>424.24085877528034</v>
      </c>
      <c r="H228">
        <f t="shared" si="54"/>
        <v>35.47301089324619</v>
      </c>
      <c r="I228">
        <f t="shared" si="55"/>
        <v>0.65673409952646644</v>
      </c>
      <c r="J228">
        <f t="shared" si="56"/>
        <v>74.157122582595093</v>
      </c>
      <c r="K228">
        <f t="shared" si="57"/>
        <v>459.71386966852651</v>
      </c>
      <c r="L228">
        <f t="shared" si="58"/>
        <v>700</v>
      </c>
      <c r="M228">
        <f>'Input + Tire Forces'!$L$15+J228</f>
        <v>410.15712258259509</v>
      </c>
      <c r="N228">
        <f>'Input + Tire Forces'!$L$16-J228</f>
        <v>289.84287741740491</v>
      </c>
      <c r="O228">
        <f t="shared" si="59"/>
        <v>1.0343374170951991</v>
      </c>
      <c r="P228">
        <f t="shared" si="60"/>
        <v>0.12238703676047641</v>
      </c>
    </row>
    <row r="229" spans="6:16" x14ac:dyDescent="0.3">
      <c r="F229">
        <f t="shared" si="61"/>
        <v>60</v>
      </c>
      <c r="G229">
        <f t="shared" si="53"/>
        <v>462.80820957303308</v>
      </c>
      <c r="H229">
        <f t="shared" si="54"/>
        <v>38.697830065359476</v>
      </c>
      <c r="I229">
        <f t="shared" si="55"/>
        <v>0.716437199483418</v>
      </c>
      <c r="J229">
        <f t="shared" si="56"/>
        <v>80.898679181012838</v>
      </c>
      <c r="K229">
        <f t="shared" si="57"/>
        <v>501.50603963839262</v>
      </c>
      <c r="L229">
        <f t="shared" si="58"/>
        <v>700</v>
      </c>
      <c r="M229">
        <f>'Input + Tire Forces'!$L$15+J229</f>
        <v>416.89867918101282</v>
      </c>
      <c r="N229">
        <f>'Input + Tire Forces'!$L$16-J229</f>
        <v>283.10132081898718</v>
      </c>
      <c r="O229">
        <f t="shared" si="59"/>
        <v>1.1101215539521698</v>
      </c>
      <c r="P229">
        <f t="shared" si="60"/>
        <v>0.13669250978204575</v>
      </c>
    </row>
    <row r="230" spans="6:16" x14ac:dyDescent="0.3">
      <c r="F230">
        <f t="shared" si="61"/>
        <v>65</v>
      </c>
      <c r="G230">
        <f t="shared" si="53"/>
        <v>501.37556037078593</v>
      </c>
      <c r="H230">
        <f t="shared" si="54"/>
        <v>41.922649237472768</v>
      </c>
      <c r="I230">
        <f t="shared" si="55"/>
        <v>0.77614029944036966</v>
      </c>
      <c r="J230">
        <f t="shared" si="56"/>
        <v>87.640235779430597</v>
      </c>
      <c r="K230">
        <f t="shared" si="57"/>
        <v>543.29820960825873</v>
      </c>
      <c r="L230">
        <f t="shared" si="58"/>
        <v>700</v>
      </c>
      <c r="M230">
        <f>'Input + Tire Forces'!$L$15+J230</f>
        <v>423.64023577943061</v>
      </c>
      <c r="N230">
        <f>'Input + Tire Forces'!$L$16-J230</f>
        <v>276.35976422056939</v>
      </c>
      <c r="O230">
        <f t="shared" si="59"/>
        <v>1.1834937242170462</v>
      </c>
      <c r="P230">
        <f t="shared" si="60"/>
        <v>0.1516959220011973</v>
      </c>
    </row>
    <row r="231" spans="6:16" x14ac:dyDescent="0.3">
      <c r="F231">
        <f t="shared" si="61"/>
        <v>70</v>
      </c>
      <c r="G231">
        <f t="shared" si="53"/>
        <v>539.94291116853856</v>
      </c>
      <c r="H231">
        <f t="shared" si="54"/>
        <v>45.147468409586054</v>
      </c>
      <c r="I231">
        <f t="shared" si="55"/>
        <v>0.83584339939732089</v>
      </c>
      <c r="J231">
        <f t="shared" si="56"/>
        <v>94.381792377848299</v>
      </c>
      <c r="K231">
        <f t="shared" si="57"/>
        <v>585.09037957812461</v>
      </c>
      <c r="L231">
        <f t="shared" si="58"/>
        <v>700</v>
      </c>
      <c r="M231">
        <f>'Input + Tire Forces'!$L$15+J231</f>
        <v>430.38179237784829</v>
      </c>
      <c r="N231">
        <f>'Input + Tire Forces'!$L$16-J231</f>
        <v>269.61820762215171</v>
      </c>
      <c r="O231">
        <f t="shared" si="59"/>
        <v>1.2545672719688441</v>
      </c>
      <c r="P231">
        <f t="shared" si="60"/>
        <v>0.16744962741113023</v>
      </c>
    </row>
    <row r="232" spans="6:16" x14ac:dyDescent="0.3">
      <c r="F232">
        <f t="shared" si="61"/>
        <v>75</v>
      </c>
      <c r="G232">
        <f t="shared" si="53"/>
        <v>578.51026196629141</v>
      </c>
      <c r="H232">
        <f t="shared" si="54"/>
        <v>48.372287581699354</v>
      </c>
      <c r="I232">
        <f t="shared" si="55"/>
        <v>0.89554649935427244</v>
      </c>
      <c r="J232">
        <f t="shared" si="56"/>
        <v>101.12334897626604</v>
      </c>
      <c r="K232">
        <f t="shared" si="57"/>
        <v>626.88254954799072</v>
      </c>
      <c r="L232">
        <f t="shared" si="58"/>
        <v>700</v>
      </c>
      <c r="M232">
        <f>'Input + Tire Forces'!$L$15+J232</f>
        <v>437.12334897626602</v>
      </c>
      <c r="N232">
        <f>'Input + Tire Forces'!$L$16-J232</f>
        <v>262.87665102373398</v>
      </c>
      <c r="O232">
        <f t="shared" si="59"/>
        <v>1.3234485490677876</v>
      </c>
      <c r="P232">
        <f t="shared" si="60"/>
        <v>0.18401135054528686</v>
      </c>
    </row>
    <row r="233" spans="6:16" x14ac:dyDescent="0.3">
      <c r="F233">
        <f t="shared" si="61"/>
        <v>80</v>
      </c>
      <c r="G233">
        <f t="shared" si="53"/>
        <v>617.07761276404415</v>
      </c>
      <c r="H233">
        <f t="shared" si="54"/>
        <v>51.597106753812646</v>
      </c>
      <c r="I233">
        <f t="shared" si="55"/>
        <v>0.955249599311224</v>
      </c>
      <c r="J233">
        <f t="shared" si="56"/>
        <v>107.86490557468379</v>
      </c>
      <c r="K233">
        <f t="shared" si="57"/>
        <v>668.67471951785683</v>
      </c>
      <c r="L233">
        <f t="shared" si="58"/>
        <v>700</v>
      </c>
      <c r="M233">
        <f>'Input + Tire Forces'!$L$15+J233</f>
        <v>443.8649055746838</v>
      </c>
      <c r="N233">
        <f>'Input + Tire Forces'!$L$16-J233</f>
        <v>256.1350944253162</v>
      </c>
      <c r="O233">
        <f t="shared" si="59"/>
        <v>1.3902374461551477</v>
      </c>
      <c r="P233">
        <f t="shared" si="60"/>
        <v>0.20144489324893086</v>
      </c>
    </row>
    <row r="234" spans="6:16" x14ac:dyDescent="0.3">
      <c r="F234">
        <f t="shared" si="61"/>
        <v>85</v>
      </c>
      <c r="G234">
        <f t="shared" si="53"/>
        <v>655.644963561797</v>
      </c>
      <c r="H234">
        <f t="shared" si="54"/>
        <v>54.821925925925925</v>
      </c>
      <c r="I234">
        <f t="shared" si="55"/>
        <v>1.0149526992681757</v>
      </c>
      <c r="J234">
        <f t="shared" si="56"/>
        <v>114.60646217310155</v>
      </c>
      <c r="K234">
        <f t="shared" si="57"/>
        <v>710.46688948772294</v>
      </c>
      <c r="L234">
        <f t="shared" si="58"/>
        <v>700</v>
      </c>
      <c r="M234">
        <f>'Input + Tire Forces'!$L$15+J234</f>
        <v>450.60646217310153</v>
      </c>
      <c r="N234">
        <f>'Input + Tire Forces'!$L$16-J234</f>
        <v>249.39353782689847</v>
      </c>
      <c r="O234">
        <f t="shared" si="59"/>
        <v>1.4550278759871167</v>
      </c>
      <c r="P234">
        <f t="shared" si="60"/>
        <v>0.21982095608258009</v>
      </c>
    </row>
    <row r="235" spans="6:16" x14ac:dyDescent="0.3">
      <c r="F235">
        <f t="shared" si="61"/>
        <v>90</v>
      </c>
      <c r="G235">
        <f t="shared" si="53"/>
        <v>694.21231435954974</v>
      </c>
      <c r="H235">
        <f t="shared" si="54"/>
        <v>58.046745098039217</v>
      </c>
      <c r="I235">
        <f t="shared" si="55"/>
        <v>1.0746557992251271</v>
      </c>
      <c r="J235">
        <f t="shared" si="56"/>
        <v>121.34801877151928</v>
      </c>
      <c r="K235">
        <f t="shared" si="57"/>
        <v>752.25905945758893</v>
      </c>
      <c r="L235">
        <f t="shared" si="58"/>
        <v>700</v>
      </c>
      <c r="M235">
        <f>'Input + Tire Forces'!$L$15+J235</f>
        <v>457.34801877151926</v>
      </c>
      <c r="N235">
        <f>'Input + Tire Forces'!$L$16-J235</f>
        <v>242.65198122848074</v>
      </c>
      <c r="O235">
        <f t="shared" si="59"/>
        <v>1.517908214021066</v>
      </c>
      <c r="P235">
        <f t="shared" si="60"/>
        <v>0.2392180966508676</v>
      </c>
    </row>
    <row r="236" spans="6:16" x14ac:dyDescent="0.3">
      <c r="F236">
        <f t="shared" si="61"/>
        <v>95</v>
      </c>
      <c r="G236">
        <f t="shared" si="53"/>
        <v>732.77966515730259</v>
      </c>
      <c r="H236">
        <f t="shared" si="54"/>
        <v>61.271564270152503</v>
      </c>
      <c r="I236">
        <f t="shared" si="55"/>
        <v>1.1343588991820786</v>
      </c>
      <c r="J236">
        <f t="shared" si="56"/>
        <v>128.08957536993699</v>
      </c>
      <c r="K236">
        <f t="shared" si="57"/>
        <v>794.05122942745504</v>
      </c>
      <c r="L236">
        <f t="shared" si="58"/>
        <v>700</v>
      </c>
      <c r="M236">
        <f>'Input + Tire Forces'!$L$15+J236</f>
        <v>464.08957536993699</v>
      </c>
      <c r="N236">
        <f>'Input + Tire Forces'!$L$16-J236</f>
        <v>235.91042463006301</v>
      </c>
      <c r="O236">
        <f t="shared" si="59"/>
        <v>1.5789617006009804</v>
      </c>
      <c r="P236">
        <f t="shared" si="60"/>
        <v>0.25972385224702965</v>
      </c>
    </row>
    <row r="237" spans="6:16" x14ac:dyDescent="0.3">
      <c r="F237">
        <f t="shared" si="61"/>
        <v>100</v>
      </c>
      <c r="G237">
        <f t="shared" si="53"/>
        <v>771.34701595505521</v>
      </c>
      <c r="H237">
        <f t="shared" si="54"/>
        <v>64.49638344226581</v>
      </c>
      <c r="I237">
        <f t="shared" si="55"/>
        <v>1.19406199913903</v>
      </c>
      <c r="J237">
        <f t="shared" si="56"/>
        <v>134.83113196835473</v>
      </c>
      <c r="K237">
        <f t="shared" si="57"/>
        <v>835.84339939732104</v>
      </c>
      <c r="L237">
        <f t="shared" si="58"/>
        <v>700</v>
      </c>
      <c r="M237">
        <f>'Input + Tire Forces'!$L$15+J237</f>
        <v>470.83113196835473</v>
      </c>
      <c r="N237">
        <f>'Input + Tire Forces'!$L$16-J237</f>
        <v>229.16886803164527</v>
      </c>
      <c r="O237">
        <f t="shared" si="59"/>
        <v>1.638266808590938</v>
      </c>
      <c r="P237">
        <f t="shared" si="60"/>
        <v>0.28143606064921389</v>
      </c>
    </row>
    <row r="238" spans="6:16" x14ac:dyDescent="0.3">
      <c r="F238">
        <f>F237+5</f>
        <v>105</v>
      </c>
      <c r="G238">
        <f t="shared" si="53"/>
        <v>809.91436675280784</v>
      </c>
      <c r="H238">
        <f t="shared" si="54"/>
        <v>67.721202614379081</v>
      </c>
      <c r="I238">
        <f t="shared" si="55"/>
        <v>1.2537650990959812</v>
      </c>
      <c r="J238">
        <f t="shared" si="56"/>
        <v>141.57268856677243</v>
      </c>
      <c r="K238">
        <f t="shared" si="57"/>
        <v>877.6355693671868</v>
      </c>
      <c r="L238">
        <f t="shared" si="58"/>
        <v>700</v>
      </c>
      <c r="M238">
        <f>'Input + Tire Forces'!$L$15+J238</f>
        <v>477.5726885667724</v>
      </c>
      <c r="N238">
        <f>'Input + Tire Forces'!$L$16-J238</f>
        <v>222.42731143322757</v>
      </c>
      <c r="O238">
        <f t="shared" si="59"/>
        <v>1.6958975798708571</v>
      </c>
      <c r="P238">
        <f t="shared" si="60"/>
        <v>0.30446442110913574</v>
      </c>
    </row>
    <row r="239" spans="6:16" x14ac:dyDescent="0.3">
      <c r="F239">
        <f t="shared" ref="F239:F247" si="62">F238+5</f>
        <v>110</v>
      </c>
      <c r="G239">
        <f t="shared" si="53"/>
        <v>848.48171755056069</v>
      </c>
      <c r="H239">
        <f t="shared" si="54"/>
        <v>70.946021786492381</v>
      </c>
      <c r="I239">
        <f t="shared" si="55"/>
        <v>1.3134681990529329</v>
      </c>
      <c r="J239">
        <f t="shared" si="56"/>
        <v>148.31424516519019</v>
      </c>
      <c r="K239">
        <f t="shared" si="57"/>
        <v>919.42773933705303</v>
      </c>
      <c r="L239">
        <f t="shared" si="58"/>
        <v>700</v>
      </c>
      <c r="M239">
        <f>'Input + Tire Forces'!$L$15+J239</f>
        <v>484.31424516519019</v>
      </c>
      <c r="N239">
        <f>'Input + Tire Forces'!$L$16-J239</f>
        <v>215.68575483480981</v>
      </c>
      <c r="O239">
        <f t="shared" si="59"/>
        <v>1.7519239337285237</v>
      </c>
      <c r="P239">
        <f t="shared" si="60"/>
        <v>0.32893234808589367</v>
      </c>
    </row>
    <row r="240" spans="6:16" x14ac:dyDescent="0.3">
      <c r="F240">
        <f t="shared" si="62"/>
        <v>115</v>
      </c>
      <c r="G240">
        <f t="shared" si="53"/>
        <v>887.04906834831354</v>
      </c>
      <c r="H240">
        <f t="shared" si="54"/>
        <v>74.170840958605666</v>
      </c>
      <c r="I240">
        <f t="shared" si="55"/>
        <v>1.3731712990098845</v>
      </c>
      <c r="J240">
        <f t="shared" si="56"/>
        <v>155.05580176360795</v>
      </c>
      <c r="K240">
        <f t="shared" si="57"/>
        <v>961.21990930691913</v>
      </c>
      <c r="L240">
        <f t="shared" si="58"/>
        <v>700</v>
      </c>
      <c r="M240">
        <f>'Input + Tire Forces'!$L$15+J240</f>
        <v>491.05580176360797</v>
      </c>
      <c r="N240">
        <f>'Input + Tire Forces'!$L$16-J240</f>
        <v>208.94419823639205</v>
      </c>
      <c r="O240">
        <f t="shared" si="59"/>
        <v>1.8064119498486955</v>
      </c>
      <c r="P240">
        <f t="shared" si="60"/>
        <v>0.35497918384262295</v>
      </c>
    </row>
    <row r="241" spans="6:16" x14ac:dyDescent="0.3">
      <c r="F241">
        <f t="shared" si="62"/>
        <v>120</v>
      </c>
      <c r="G241">
        <f t="shared" si="53"/>
        <v>925.61641914606616</v>
      </c>
      <c r="H241">
        <f t="shared" si="54"/>
        <v>77.395660130718952</v>
      </c>
      <c r="I241">
        <f t="shared" si="55"/>
        <v>1.432874398966836</v>
      </c>
      <c r="J241">
        <f t="shared" si="56"/>
        <v>161.79735836202568</v>
      </c>
      <c r="K241">
        <f t="shared" si="57"/>
        <v>1003.0120792767852</v>
      </c>
      <c r="L241">
        <f t="shared" si="58"/>
        <v>700</v>
      </c>
      <c r="M241">
        <f>'Input + Tire Forces'!$L$15+J241</f>
        <v>497.79735836202565</v>
      </c>
      <c r="N241">
        <f>'Input + Tire Forces'!$L$16-J241</f>
        <v>202.20264163797432</v>
      </c>
      <c r="O241">
        <f t="shared" si="59"/>
        <v>1.8594241283074606</v>
      </c>
      <c r="P241">
        <f t="shared" si="60"/>
        <v>0.38276285365889995</v>
      </c>
    </row>
    <row r="242" spans="6:16" x14ac:dyDescent="0.3">
      <c r="F242">
        <f t="shared" si="62"/>
        <v>125</v>
      </c>
      <c r="G242">
        <f t="shared" si="53"/>
        <v>964.18376994381902</v>
      </c>
      <c r="H242">
        <f t="shared" si="54"/>
        <v>80.620479302832251</v>
      </c>
      <c r="I242">
        <f t="shared" si="55"/>
        <v>1.4925774989237877</v>
      </c>
      <c r="J242">
        <f t="shared" si="56"/>
        <v>168.53891496044344</v>
      </c>
      <c r="K242">
        <f t="shared" si="57"/>
        <v>1044.8042492466514</v>
      </c>
      <c r="L242">
        <f t="shared" si="58"/>
        <v>700</v>
      </c>
      <c r="M242">
        <f>'Input + Tire Forces'!$L$15+J242</f>
        <v>504.53891496044344</v>
      </c>
      <c r="N242">
        <f>'Input + Tire Forces'!$L$16-J242</f>
        <v>195.46108503955656</v>
      </c>
      <c r="O242">
        <f t="shared" si="59"/>
        <v>1.9110196287226178</v>
      </c>
      <c r="P242">
        <f t="shared" si="60"/>
        <v>0.41246307052125813</v>
      </c>
    </row>
    <row r="243" spans="6:16" x14ac:dyDescent="0.3">
      <c r="F243">
        <f t="shared" si="62"/>
        <v>130</v>
      </c>
      <c r="G243">
        <f t="shared" si="53"/>
        <v>1002.7511207415719</v>
      </c>
      <c r="H243">
        <f t="shared" si="54"/>
        <v>83.845298474945537</v>
      </c>
      <c r="I243">
        <f t="shared" si="55"/>
        <v>1.5522805988807393</v>
      </c>
      <c r="J243">
        <f t="shared" si="56"/>
        <v>175.28047155886119</v>
      </c>
      <c r="K243">
        <f t="shared" si="57"/>
        <v>1086.5964192165175</v>
      </c>
      <c r="L243">
        <f t="shared" si="58"/>
        <v>700</v>
      </c>
      <c r="M243">
        <f>'Input + Tire Forces'!$L$15+J243</f>
        <v>511.28047155886122</v>
      </c>
      <c r="N243">
        <f>'Input + Tire Forces'!$L$16-J243</f>
        <v>188.71952844113881</v>
      </c>
      <c r="O243">
        <f t="shared" si="59"/>
        <v>1.9612544904839575</v>
      </c>
      <c r="P243">
        <f t="shared" si="60"/>
        <v>0.44428522669341397</v>
      </c>
    </row>
    <row r="244" spans="6:16" x14ac:dyDescent="0.3">
      <c r="F244">
        <f t="shared" si="62"/>
        <v>135</v>
      </c>
      <c r="G244">
        <f t="shared" si="53"/>
        <v>1041.3184715393245</v>
      </c>
      <c r="H244">
        <f t="shared" si="54"/>
        <v>87.070117647058822</v>
      </c>
      <c r="I244">
        <f t="shared" si="55"/>
        <v>1.6119836988376905</v>
      </c>
      <c r="J244">
        <f t="shared" si="56"/>
        <v>182.0220281572789</v>
      </c>
      <c r="K244">
        <f t="shared" si="57"/>
        <v>1128.3885891863833</v>
      </c>
      <c r="L244">
        <f t="shared" si="58"/>
        <v>700</v>
      </c>
      <c r="M244">
        <f>'Input + Tire Forces'!$L$15+J244</f>
        <v>518.0220281572789</v>
      </c>
      <c r="N244">
        <f>'Input + Tire Forces'!$L$16-J244</f>
        <v>181.9779718427211</v>
      </c>
      <c r="O244">
        <f t="shared" si="59"/>
        <v>2.0101818357870398</v>
      </c>
      <c r="P244">
        <f t="shared" si="60"/>
        <v>0.47846515028924103</v>
      </c>
    </row>
    <row r="245" spans="6:16" x14ac:dyDescent="0.3">
      <c r="F245">
        <f t="shared" si="62"/>
        <v>140</v>
      </c>
      <c r="G245">
        <f t="shared" si="53"/>
        <v>1079.8858223370771</v>
      </c>
      <c r="H245">
        <f t="shared" si="54"/>
        <v>90.294936819172108</v>
      </c>
      <c r="I245">
        <f t="shared" si="55"/>
        <v>1.6716867987946418</v>
      </c>
      <c r="J245">
        <f t="shared" si="56"/>
        <v>188.7635847556966</v>
      </c>
      <c r="K245">
        <f t="shared" si="57"/>
        <v>1170.1807591562492</v>
      </c>
      <c r="L245">
        <f t="shared" si="58"/>
        <v>700</v>
      </c>
      <c r="M245">
        <f>'Input + Tire Forces'!$L$15+J245</f>
        <v>524.76358475569657</v>
      </c>
      <c r="N245">
        <f>'Input + Tire Forces'!$L$16-J245</f>
        <v>175.2364152443034</v>
      </c>
      <c r="O245">
        <f t="shared" si="59"/>
        <v>2.0578520570169085</v>
      </c>
      <c r="P245">
        <f t="shared" si="60"/>
        <v>0.51527495979239635</v>
      </c>
    </row>
    <row r="246" spans="6:16" x14ac:dyDescent="0.3">
      <c r="F246">
        <f t="shared" si="62"/>
        <v>145</v>
      </c>
      <c r="G246">
        <f t="shared" si="53"/>
        <v>1118.4531731348302</v>
      </c>
      <c r="H246">
        <f t="shared" si="54"/>
        <v>93.519755991285422</v>
      </c>
      <c r="I246">
        <f t="shared" si="55"/>
        <v>1.7313898987515937</v>
      </c>
      <c r="J246">
        <f t="shared" si="56"/>
        <v>195.50514135411439</v>
      </c>
      <c r="K246">
        <f t="shared" si="57"/>
        <v>1211.9729291261156</v>
      </c>
      <c r="L246">
        <f t="shared" si="58"/>
        <v>700</v>
      </c>
      <c r="M246">
        <f>'Input + Tire Forces'!$L$15+J246</f>
        <v>531.50514135411436</v>
      </c>
      <c r="N246">
        <f>'Input + Tire Forces'!$L$16-J246</f>
        <v>168.49485864588561</v>
      </c>
      <c r="O246">
        <f t="shared" si="59"/>
        <v>2.1043129898712736</v>
      </c>
      <c r="P246">
        <f t="shared" si="60"/>
        <v>0.55503032402804431</v>
      </c>
    </row>
    <row r="247" spans="6:16" x14ac:dyDescent="0.3">
      <c r="F247">
        <f t="shared" si="62"/>
        <v>150</v>
      </c>
      <c r="G247">
        <f t="shared" si="53"/>
        <v>1157.0205239325828</v>
      </c>
      <c r="H247">
        <f t="shared" si="54"/>
        <v>96.744575163398707</v>
      </c>
      <c r="I247">
        <f t="shared" si="55"/>
        <v>1.7910929987085449</v>
      </c>
      <c r="J247">
        <f t="shared" si="56"/>
        <v>202.24669795253209</v>
      </c>
      <c r="K247">
        <f t="shared" si="57"/>
        <v>1253.7650990959814</v>
      </c>
      <c r="L247">
        <f t="shared" si="58"/>
        <v>700</v>
      </c>
      <c r="M247">
        <f>'Input + Tire Forces'!$L$15+J247</f>
        <v>538.24669795253203</v>
      </c>
      <c r="N247">
        <f>'Input + Tire Forces'!$L$16-J247</f>
        <v>161.75330204746791</v>
      </c>
      <c r="O247">
        <f t="shared" si="59"/>
        <v>2.1496100734734473</v>
      </c>
      <c r="P247">
        <f t="shared" si="60"/>
        <v>0.59809953762185442</v>
      </c>
    </row>
    <row r="248" spans="6:16" x14ac:dyDescent="0.3">
      <c r="F248">
        <f>F247+5</f>
        <v>155</v>
      </c>
      <c r="G248">
        <f t="shared" si="53"/>
        <v>1195.5878747303354</v>
      </c>
      <c r="H248">
        <f t="shared" si="54"/>
        <v>99.969394335511993</v>
      </c>
      <c r="I248">
        <f t="shared" si="55"/>
        <v>1.8507960986654961</v>
      </c>
      <c r="J248">
        <f t="shared" si="56"/>
        <v>208.98825455094979</v>
      </c>
      <c r="K248">
        <f t="shared" si="57"/>
        <v>1295.5572690658473</v>
      </c>
      <c r="L248">
        <f t="shared" si="58"/>
        <v>700</v>
      </c>
      <c r="M248">
        <f>'Input + Tire Forces'!$L$15+J248</f>
        <v>544.98825455094982</v>
      </c>
      <c r="N248">
        <f>'Input + Tire Forces'!$L$16-J248</f>
        <v>155.01174544905021</v>
      </c>
      <c r="O248">
        <f t="shared" si="59"/>
        <v>2.193786498601618</v>
      </c>
      <c r="P248">
        <f t="shared" si="60"/>
        <v>0.64491496464292297</v>
      </c>
    </row>
    <row r="249" spans="6:16" x14ac:dyDescent="0.3">
      <c r="F249">
        <f t="shared" ref="F249:F257" si="63">F248+5</f>
        <v>160</v>
      </c>
      <c r="G249">
        <f t="shared" si="53"/>
        <v>1234.1552255280883</v>
      </c>
      <c r="H249">
        <f t="shared" si="54"/>
        <v>103.19421350762529</v>
      </c>
      <c r="I249">
        <f t="shared" si="55"/>
        <v>1.910499198622448</v>
      </c>
      <c r="J249">
        <f t="shared" si="56"/>
        <v>215.72981114936758</v>
      </c>
      <c r="K249">
        <f t="shared" si="57"/>
        <v>1337.3494390357137</v>
      </c>
      <c r="L249">
        <f t="shared" si="58"/>
        <v>700</v>
      </c>
      <c r="M249">
        <f>'Input + Tire Forces'!$L$15+J249</f>
        <v>551.72981114936761</v>
      </c>
      <c r="N249">
        <f>'Input + Tire Forces'!$L$16-J249</f>
        <v>148.27018885063242</v>
      </c>
      <c r="O249">
        <f t="shared" si="59"/>
        <v>2.2368833450508809</v>
      </c>
      <c r="P249">
        <f t="shared" si="60"/>
        <v>0.69598760416757322</v>
      </c>
    </row>
    <row r="250" spans="6:16" x14ac:dyDescent="0.3">
      <c r="F250">
        <f t="shared" si="63"/>
        <v>165</v>
      </c>
      <c r="G250">
        <f t="shared" si="53"/>
        <v>1272.7225763258411</v>
      </c>
      <c r="H250">
        <f t="shared" si="54"/>
        <v>106.41903267973855</v>
      </c>
      <c r="I250">
        <f t="shared" si="55"/>
        <v>1.9702022985793997</v>
      </c>
      <c r="J250">
        <f t="shared" si="56"/>
        <v>222.47136774778534</v>
      </c>
      <c r="K250">
        <f t="shared" si="57"/>
        <v>1379.1416090055798</v>
      </c>
      <c r="L250">
        <f t="shared" si="58"/>
        <v>700</v>
      </c>
      <c r="M250">
        <f>'Input + Tire Forces'!$L$15+J250</f>
        <v>558.47136774778528</v>
      </c>
      <c r="N250">
        <f>'Input + Tire Forces'!$L$16-J250</f>
        <v>141.52863225221466</v>
      </c>
      <c r="O250">
        <f t="shared" si="59"/>
        <v>2.2789397090463255</v>
      </c>
      <c r="P250">
        <f t="shared" si="60"/>
        <v>0.75192581872826858</v>
      </c>
    </row>
    <row r="251" spans="6:16" x14ac:dyDescent="0.3">
      <c r="F251">
        <f t="shared" si="63"/>
        <v>170</v>
      </c>
      <c r="G251">
        <f t="shared" si="53"/>
        <v>1311.289927123594</v>
      </c>
      <c r="H251">
        <f t="shared" si="54"/>
        <v>109.64385185185185</v>
      </c>
      <c r="I251">
        <f t="shared" si="55"/>
        <v>2.0299053985363513</v>
      </c>
      <c r="J251">
        <f t="shared" si="56"/>
        <v>229.2129243462031</v>
      </c>
      <c r="K251">
        <f t="shared" si="57"/>
        <v>1420.9337789754459</v>
      </c>
      <c r="L251">
        <f t="shared" si="58"/>
        <v>700</v>
      </c>
      <c r="M251">
        <f>'Input + Tire Forces'!$L$15+J251</f>
        <v>565.21292434620307</v>
      </c>
      <c r="N251">
        <f>'Input + Tire Forces'!$L$16-J251</f>
        <v>134.7870756537969</v>
      </c>
      <c r="O251">
        <f t="shared" si="59"/>
        <v>2.3199928215378272</v>
      </c>
      <c r="P251">
        <f t="shared" si="60"/>
        <v>0.81345968313367156</v>
      </c>
    </row>
    <row r="252" spans="6:16" x14ac:dyDescent="0.3">
      <c r="F252">
        <f t="shared" si="63"/>
        <v>175</v>
      </c>
      <c r="G252">
        <f t="shared" si="53"/>
        <v>1349.8572779213466</v>
      </c>
      <c r="H252">
        <f t="shared" si="54"/>
        <v>112.86867102396515</v>
      </c>
      <c r="I252">
        <f t="shared" si="55"/>
        <v>2.0896084984933023</v>
      </c>
      <c r="J252">
        <f t="shared" si="56"/>
        <v>235.95448094462077</v>
      </c>
      <c r="K252">
        <f t="shared" si="57"/>
        <v>1462.7259489453115</v>
      </c>
      <c r="L252">
        <f t="shared" si="58"/>
        <v>700</v>
      </c>
      <c r="M252">
        <f>'Input + Tire Forces'!$L$15+J252</f>
        <v>571.95448094462074</v>
      </c>
      <c r="N252">
        <f>'Input + Tire Forces'!$L$16-J252</f>
        <v>128.04551905537923</v>
      </c>
      <c r="O252">
        <f t="shared" si="59"/>
        <v>2.3600781581288914</v>
      </c>
      <c r="P252">
        <f t="shared" si="60"/>
        <v>0.88147302503533798</v>
      </c>
    </row>
    <row r="253" spans="6:16" x14ac:dyDescent="0.3">
      <c r="F253">
        <f t="shared" si="63"/>
        <v>180</v>
      </c>
      <c r="G253">
        <f t="shared" si="53"/>
        <v>1388.4246287190995</v>
      </c>
      <c r="H253">
        <f t="shared" si="54"/>
        <v>116.09349019607843</v>
      </c>
      <c r="I253">
        <f t="shared" si="55"/>
        <v>2.1493115984502542</v>
      </c>
      <c r="J253">
        <f t="shared" si="56"/>
        <v>242.69603754303856</v>
      </c>
      <c r="K253">
        <f t="shared" si="57"/>
        <v>1504.5181189151779</v>
      </c>
      <c r="L253">
        <f t="shared" si="58"/>
        <v>700</v>
      </c>
      <c r="M253">
        <f>'Input + Tire Forces'!$L$15+J253</f>
        <v>578.69603754303853</v>
      </c>
      <c r="N253">
        <f>'Input + Tire Forces'!$L$16-J253</f>
        <v>121.30396245696144</v>
      </c>
      <c r="O253">
        <f t="shared" si="59"/>
        <v>2.3992295413217515</v>
      </c>
      <c r="P253">
        <f t="shared" si="60"/>
        <v>0.95704614956224798</v>
      </c>
    </row>
    <row r="254" spans="6:16" x14ac:dyDescent="0.3">
      <c r="F254">
        <f t="shared" si="63"/>
        <v>185</v>
      </c>
      <c r="G254">
        <f t="shared" si="53"/>
        <v>1426.9919795168521</v>
      </c>
      <c r="H254">
        <f t="shared" si="54"/>
        <v>119.31830936819173</v>
      </c>
      <c r="I254">
        <f t="shared" si="55"/>
        <v>2.2090146984072052</v>
      </c>
      <c r="J254">
        <f t="shared" si="56"/>
        <v>249.43759414145623</v>
      </c>
      <c r="K254">
        <f t="shared" si="57"/>
        <v>1546.3102888850437</v>
      </c>
      <c r="L254">
        <f t="shared" si="58"/>
        <v>700</v>
      </c>
      <c r="M254">
        <f>'Input + Tire Forces'!$L$15+J254</f>
        <v>585.4375941414562</v>
      </c>
      <c r="N254">
        <f>'Input + Tire Forces'!$L$16-J254</f>
        <v>114.56240585854377</v>
      </c>
      <c r="O254">
        <f t="shared" si="59"/>
        <v>2.4374792356981017</v>
      </c>
      <c r="P254">
        <f t="shared" si="60"/>
        <v>1.0415136490370176</v>
      </c>
    </row>
    <row r="255" spans="6:16" x14ac:dyDescent="0.3">
      <c r="F255">
        <f t="shared" si="63"/>
        <v>190</v>
      </c>
      <c r="G255">
        <f t="shared" si="53"/>
        <v>1465.5593303146052</v>
      </c>
      <c r="H255">
        <f t="shared" si="54"/>
        <v>122.54312854030501</v>
      </c>
      <c r="I255">
        <f t="shared" si="55"/>
        <v>2.2687177983641571</v>
      </c>
      <c r="J255">
        <f t="shared" si="56"/>
        <v>256.17915073987399</v>
      </c>
      <c r="K255">
        <f t="shared" si="57"/>
        <v>1588.1024588549101</v>
      </c>
      <c r="L255">
        <f t="shared" si="58"/>
        <v>700</v>
      </c>
      <c r="M255">
        <f>'Input + Tire Forces'!$L$15+J255</f>
        <v>592.17915073987399</v>
      </c>
      <c r="N255">
        <f>'Input + Tire Forces'!$L$16-J255</f>
        <v>107.82084926012601</v>
      </c>
      <c r="O255">
        <f t="shared" si="59"/>
        <v>2.4748580365984214</v>
      </c>
      <c r="P255">
        <f t="shared" si="60"/>
        <v>1.1365439001937405</v>
      </c>
    </row>
    <row r="256" spans="6:16" x14ac:dyDescent="0.3">
      <c r="F256">
        <f t="shared" si="63"/>
        <v>195</v>
      </c>
      <c r="G256">
        <f t="shared" si="53"/>
        <v>1504.1266811123576</v>
      </c>
      <c r="H256">
        <f t="shared" si="54"/>
        <v>125.76794771241831</v>
      </c>
      <c r="I256">
        <f t="shared" si="55"/>
        <v>2.3284208983211085</v>
      </c>
      <c r="J256">
        <f t="shared" si="56"/>
        <v>262.92070733829172</v>
      </c>
      <c r="K256">
        <f t="shared" si="57"/>
        <v>1629.894628824776</v>
      </c>
      <c r="L256">
        <f t="shared" si="58"/>
        <v>700</v>
      </c>
      <c r="M256">
        <f>'Input + Tire Forces'!$L$15+J256</f>
        <v>598.92070733829178</v>
      </c>
      <c r="N256">
        <f>'Input + Tire Forces'!$L$16-J256</f>
        <v>101.07929266170828</v>
      </c>
      <c r="O256">
        <f t="shared" si="59"/>
        <v>2.5113953528121598</v>
      </c>
      <c r="P256">
        <f t="shared" si="60"/>
        <v>1.2442503741427822</v>
      </c>
    </row>
    <row r="257" spans="4:16" x14ac:dyDescent="0.3">
      <c r="F257">
        <f t="shared" si="63"/>
        <v>200</v>
      </c>
      <c r="G257">
        <f t="shared" si="53"/>
        <v>1542.6940319101104</v>
      </c>
      <c r="H257">
        <f t="shared" si="54"/>
        <v>128.99276688453162</v>
      </c>
      <c r="I257">
        <f t="shared" si="55"/>
        <v>2.38812399827806</v>
      </c>
      <c r="J257">
        <f t="shared" si="56"/>
        <v>269.66226393670945</v>
      </c>
      <c r="K257">
        <f t="shared" si="57"/>
        <v>1671.6867987946421</v>
      </c>
      <c r="L257">
        <f t="shared" si="58"/>
        <v>700</v>
      </c>
      <c r="M257">
        <f>'Input + Tire Forces'!$L$15+J257</f>
        <v>605.66226393670945</v>
      </c>
      <c r="N257">
        <f>'Input + Tire Forces'!$L$16-J257</f>
        <v>94.337736063290549</v>
      </c>
      <c r="O257">
        <f t="shared" si="59"/>
        <v>2.5471192837454359</v>
      </c>
      <c r="P257">
        <f t="shared" si="60"/>
        <v>1.3673506728844038</v>
      </c>
    </row>
    <row r="259" spans="4:16" x14ac:dyDescent="0.3">
      <c r="D259" s="25" t="s">
        <v>168</v>
      </c>
      <c r="E259" s="25">
        <v>0.8</v>
      </c>
      <c r="F259" s="1" t="s">
        <v>173</v>
      </c>
      <c r="G259" s="1" t="s">
        <v>182</v>
      </c>
      <c r="H259" s="1" t="s">
        <v>183</v>
      </c>
      <c r="I259" s="1" t="s">
        <v>317</v>
      </c>
      <c r="J259" s="1" t="s">
        <v>318</v>
      </c>
      <c r="K259" s="1" t="s">
        <v>175</v>
      </c>
      <c r="L259" s="1" t="s">
        <v>319</v>
      </c>
      <c r="M259" s="1" t="s">
        <v>178</v>
      </c>
      <c r="N259" s="1" t="s">
        <v>179</v>
      </c>
      <c r="O259" s="1" t="s">
        <v>320</v>
      </c>
      <c r="P259" s="1" t="s">
        <v>321</v>
      </c>
    </row>
    <row r="260" spans="4:16" x14ac:dyDescent="0.3">
      <c r="F260">
        <v>0</v>
      </c>
      <c r="G260">
        <f>(2*F260*$B$30)*($B$13*$B$14/$B$26)*($B$15/$B$3)*($B$28/(2*$B$6))*$E$259</f>
        <v>0</v>
      </c>
      <c r="H260">
        <f>(2*$B$30*F260)*($B$20*$B$22/$B$26)*($B$21/$B$3)*($B$28/(2*$B$6))*(1-$E$259)</f>
        <v>0</v>
      </c>
      <c r="I260">
        <f>(G260+H260)/$B$2</f>
        <v>0</v>
      </c>
      <c r="J260">
        <f>I260*(($B$2*$B$4)/$B$5)</f>
        <v>0</v>
      </c>
      <c r="K260">
        <f>$B$2*I260</f>
        <v>0</v>
      </c>
      <c r="L260">
        <f>$B$2</f>
        <v>700</v>
      </c>
      <c r="M260">
        <f>'Input + Tire Forces'!$L$15+J260</f>
        <v>336</v>
      </c>
      <c r="N260">
        <f>'Input + Tire Forces'!$L$16-J260</f>
        <v>364</v>
      </c>
      <c r="O260">
        <f>G260/M260</f>
        <v>0</v>
      </c>
      <c r="P260">
        <f>H260/N260</f>
        <v>0</v>
      </c>
    </row>
    <row r="261" spans="4:16" x14ac:dyDescent="0.3">
      <c r="F261">
        <f>F260+5</f>
        <v>5</v>
      </c>
      <c r="G261">
        <f t="shared" ref="G261:G300" si="64">(2*F261*$B$30)*($B$13*$B$14/$B$26)*($B$15/$B$3)*($B$28/(2*$B$6))*$E$259</f>
        <v>41.138507517602946</v>
      </c>
      <c r="H261">
        <f t="shared" ref="H261:H300" si="65">(2*$B$30*F261)*($B$20*$B$22/$B$26)*($B$21/$B$3)*($B$28/(2*$B$6))*(1-$E$259)</f>
        <v>2.5798553376906317</v>
      </c>
      <c r="I261">
        <f t="shared" ref="I261:I300" si="66">(G261+H261)/$B$2</f>
        <v>6.2454804078990823E-2</v>
      </c>
      <c r="J261">
        <f t="shared" ref="J261:J300" si="67">I261*(($B$2*$B$4)/$B$5)</f>
        <v>7.0522736146899803</v>
      </c>
      <c r="K261">
        <f t="shared" ref="K261:K300" si="68">$B$2*I261</f>
        <v>43.718362855293577</v>
      </c>
      <c r="L261">
        <f t="shared" ref="L261:L300" si="69">$B$2</f>
        <v>700</v>
      </c>
      <c r="M261">
        <f>'Input + Tire Forces'!$L$15+J261</f>
        <v>343.05227361468997</v>
      </c>
      <c r="N261">
        <f>'Input + Tire Forces'!$L$16-J261</f>
        <v>356.94772638531003</v>
      </c>
      <c r="O261">
        <f t="shared" ref="O261:O300" si="70">G261/M261</f>
        <v>0.11991906389114612</v>
      </c>
      <c r="P261">
        <f t="shared" ref="P261:P300" si="71">H261/N261</f>
        <v>7.2275438306218165E-3</v>
      </c>
    </row>
    <row r="262" spans="4:16" x14ac:dyDescent="0.3">
      <c r="F262">
        <f t="shared" ref="F262:F280" si="72">F261+5</f>
        <v>10</v>
      </c>
      <c r="G262">
        <f t="shared" si="64"/>
        <v>82.277015035205892</v>
      </c>
      <c r="H262">
        <f t="shared" si="65"/>
        <v>5.1597106753812634</v>
      </c>
      <c r="I262">
        <f t="shared" si="66"/>
        <v>0.12490960815798165</v>
      </c>
      <c r="J262">
        <f t="shared" si="67"/>
        <v>14.104547229379961</v>
      </c>
      <c r="K262">
        <f t="shared" si="68"/>
        <v>87.436725710587154</v>
      </c>
      <c r="L262">
        <f t="shared" si="69"/>
        <v>700</v>
      </c>
      <c r="M262">
        <f>'Input + Tire Forces'!$L$15+J262</f>
        <v>350.10454722937993</v>
      </c>
      <c r="N262">
        <f>'Input + Tire Forces'!$L$16-J262</f>
        <v>349.89545277062007</v>
      </c>
      <c r="O262">
        <f t="shared" si="70"/>
        <v>0.23500698773072493</v>
      </c>
      <c r="P262">
        <f t="shared" si="71"/>
        <v>1.4746435355259675E-2</v>
      </c>
    </row>
    <row r="263" spans="4:16" x14ac:dyDescent="0.3">
      <c r="F263">
        <f t="shared" si="72"/>
        <v>15</v>
      </c>
      <c r="G263">
        <f t="shared" si="64"/>
        <v>123.41552255280884</v>
      </c>
      <c r="H263">
        <f t="shared" si="65"/>
        <v>7.7395660130718937</v>
      </c>
      <c r="I263">
        <f t="shared" si="66"/>
        <v>0.18736441223697248</v>
      </c>
      <c r="J263">
        <f t="shared" si="67"/>
        <v>21.156820844069941</v>
      </c>
      <c r="K263">
        <f t="shared" si="68"/>
        <v>131.15508856588073</v>
      </c>
      <c r="L263">
        <f t="shared" si="69"/>
        <v>700</v>
      </c>
      <c r="M263">
        <f>'Input + Tire Forces'!$L$15+J263</f>
        <v>357.15682084406996</v>
      </c>
      <c r="N263">
        <f>'Input + Tire Forces'!$L$16-J263</f>
        <v>342.84317915593004</v>
      </c>
      <c r="O263">
        <f t="shared" si="70"/>
        <v>0.34554995271024225</v>
      </c>
      <c r="P263">
        <f t="shared" si="71"/>
        <v>2.2574653613137298E-2</v>
      </c>
    </row>
    <row r="264" spans="4:16" x14ac:dyDescent="0.3">
      <c r="F264">
        <f t="shared" si="72"/>
        <v>20</v>
      </c>
      <c r="G264">
        <f t="shared" si="64"/>
        <v>164.55403007041178</v>
      </c>
      <c r="H264">
        <f t="shared" si="65"/>
        <v>10.319421350762527</v>
      </c>
      <c r="I264">
        <f t="shared" si="66"/>
        <v>0.24981921631596329</v>
      </c>
      <c r="J264">
        <f t="shared" si="67"/>
        <v>28.209094458759921</v>
      </c>
      <c r="K264">
        <f t="shared" si="68"/>
        <v>174.87345142117431</v>
      </c>
      <c r="L264">
        <f t="shared" si="69"/>
        <v>700</v>
      </c>
      <c r="M264">
        <f>'Input + Tire Forces'!$L$15+J264</f>
        <v>364.20909445875992</v>
      </c>
      <c r="N264">
        <f>'Input + Tire Forces'!$L$16-J264</f>
        <v>335.79090554124008</v>
      </c>
      <c r="O264">
        <f t="shared" si="70"/>
        <v>0.45181197442351223</v>
      </c>
      <c r="P264">
        <f t="shared" si="71"/>
        <v>3.0731688025109869E-2</v>
      </c>
    </row>
    <row r="265" spans="4:16" x14ac:dyDescent="0.3">
      <c r="F265">
        <f t="shared" si="72"/>
        <v>25</v>
      </c>
      <c r="G265">
        <f t="shared" si="64"/>
        <v>205.69253758801474</v>
      </c>
      <c r="H265">
        <f t="shared" si="65"/>
        <v>12.89927668845316</v>
      </c>
      <c r="I265">
        <f t="shared" si="66"/>
        <v>0.31227402039495417</v>
      </c>
      <c r="J265">
        <f t="shared" si="67"/>
        <v>35.261368073449908</v>
      </c>
      <c r="K265">
        <f t="shared" si="68"/>
        <v>218.59181427646791</v>
      </c>
      <c r="L265">
        <f t="shared" si="69"/>
        <v>700</v>
      </c>
      <c r="M265">
        <f>'Input + Tire Forces'!$L$15+J265</f>
        <v>371.26136807344989</v>
      </c>
      <c r="N265">
        <f>'Input + Tire Forces'!$L$16-J265</f>
        <v>328.73863192655011</v>
      </c>
      <c r="O265">
        <f t="shared" si="70"/>
        <v>0.55403700809323309</v>
      </c>
      <c r="P265">
        <f t="shared" si="71"/>
        <v>3.9238700401160148E-2</v>
      </c>
    </row>
    <row r="266" spans="4:16" x14ac:dyDescent="0.3">
      <c r="F266">
        <f t="shared" si="72"/>
        <v>30</v>
      </c>
      <c r="G266">
        <f t="shared" si="64"/>
        <v>246.83104510561768</v>
      </c>
      <c r="H266">
        <f t="shared" si="65"/>
        <v>15.479132026143787</v>
      </c>
      <c r="I266">
        <f t="shared" si="66"/>
        <v>0.37472882447394495</v>
      </c>
      <c r="J266">
        <f t="shared" si="67"/>
        <v>42.313641688139882</v>
      </c>
      <c r="K266">
        <f t="shared" si="68"/>
        <v>262.31017713176146</v>
      </c>
      <c r="L266">
        <f t="shared" si="69"/>
        <v>700</v>
      </c>
      <c r="M266">
        <f>'Input + Tire Forces'!$L$15+J266</f>
        <v>378.31364168813991</v>
      </c>
      <c r="N266">
        <f>'Input + Tire Forces'!$L$16-J266</f>
        <v>321.68635831186009</v>
      </c>
      <c r="O266">
        <f t="shared" si="70"/>
        <v>0.65245081833208396</v>
      </c>
      <c r="P266">
        <f t="shared" si="71"/>
        <v>4.8118708257866141E-2</v>
      </c>
    </row>
    <row r="267" spans="4:16" x14ac:dyDescent="0.3">
      <c r="F267">
        <f t="shared" si="72"/>
        <v>35</v>
      </c>
      <c r="G267">
        <f t="shared" si="64"/>
        <v>287.96955262322052</v>
      </c>
      <c r="H267">
        <f t="shared" si="65"/>
        <v>18.058987363834419</v>
      </c>
      <c r="I267">
        <f t="shared" si="66"/>
        <v>0.43718362855293563</v>
      </c>
      <c r="J267">
        <f t="shared" si="67"/>
        <v>49.365915302829848</v>
      </c>
      <c r="K267">
        <f t="shared" si="68"/>
        <v>306.02853998705496</v>
      </c>
      <c r="L267">
        <f t="shared" si="69"/>
        <v>700</v>
      </c>
      <c r="M267">
        <f>'Input + Tire Forces'!$L$15+J267</f>
        <v>385.36591530282988</v>
      </c>
      <c r="N267">
        <f>'Input + Tire Forces'!$L$16-J267</f>
        <v>314.63408469717012</v>
      </c>
      <c r="O267">
        <f t="shared" si="70"/>
        <v>0.74726264360180139</v>
      </c>
      <c r="P267">
        <f t="shared" si="71"/>
        <v>5.7396792789363181E-2</v>
      </c>
    </row>
    <row r="268" spans="4:16" x14ac:dyDescent="0.3">
      <c r="F268">
        <f t="shared" si="72"/>
        <v>40</v>
      </c>
      <c r="G268">
        <f t="shared" si="64"/>
        <v>329.10806014082357</v>
      </c>
      <c r="H268">
        <f t="shared" si="65"/>
        <v>20.638842701525054</v>
      </c>
      <c r="I268">
        <f t="shared" si="66"/>
        <v>0.49963843263192659</v>
      </c>
      <c r="J268">
        <f t="shared" si="67"/>
        <v>56.418188917519842</v>
      </c>
      <c r="K268">
        <f t="shared" si="68"/>
        <v>349.74690284234862</v>
      </c>
      <c r="L268">
        <f t="shared" si="69"/>
        <v>700</v>
      </c>
      <c r="M268">
        <f>'Input + Tire Forces'!$L$15+J268</f>
        <v>392.41818891751984</v>
      </c>
      <c r="N268">
        <f>'Input + Tire Forces'!$L$16-J268</f>
        <v>307.58181108248016</v>
      </c>
      <c r="O268">
        <f t="shared" si="70"/>
        <v>0.83866668119707599</v>
      </c>
      <c r="P268">
        <f t="shared" si="71"/>
        <v>6.7100335448608855E-2</v>
      </c>
    </row>
    <row r="269" spans="4:16" x14ac:dyDescent="0.3">
      <c r="F269">
        <f t="shared" si="72"/>
        <v>45</v>
      </c>
      <c r="G269">
        <f t="shared" si="64"/>
        <v>370.24656765842656</v>
      </c>
      <c r="H269">
        <f t="shared" si="65"/>
        <v>23.218698039215681</v>
      </c>
      <c r="I269">
        <f t="shared" si="66"/>
        <v>0.56209323671091749</v>
      </c>
      <c r="J269">
        <f t="shared" si="67"/>
        <v>63.470462532209829</v>
      </c>
      <c r="K269">
        <f t="shared" si="68"/>
        <v>393.46526569764222</v>
      </c>
      <c r="L269">
        <f t="shared" si="69"/>
        <v>700</v>
      </c>
      <c r="M269">
        <f>'Input + Tire Forces'!$L$15+J269</f>
        <v>399.47046253220981</v>
      </c>
      <c r="N269">
        <f>'Input + Tire Forces'!$L$16-J269</f>
        <v>300.52953746779019</v>
      </c>
      <c r="O269">
        <f t="shared" si="70"/>
        <v>0.92684341493352118</v>
      </c>
      <c r="P269">
        <f t="shared" si="71"/>
        <v>7.7259287838567905E-2</v>
      </c>
    </row>
    <row r="270" spans="4:16" x14ac:dyDescent="0.3">
      <c r="F270">
        <f t="shared" si="72"/>
        <v>50</v>
      </c>
      <c r="G270">
        <f t="shared" si="64"/>
        <v>411.38507517602949</v>
      </c>
      <c r="H270">
        <f t="shared" si="65"/>
        <v>25.79855337690632</v>
      </c>
      <c r="I270">
        <f t="shared" si="66"/>
        <v>0.62454804078990833</v>
      </c>
      <c r="J270">
        <f t="shared" si="67"/>
        <v>70.522736146899817</v>
      </c>
      <c r="K270">
        <f t="shared" si="68"/>
        <v>437.18362855293583</v>
      </c>
      <c r="L270">
        <f t="shared" si="69"/>
        <v>700</v>
      </c>
      <c r="M270">
        <f>'Input + Tire Forces'!$L$15+J270</f>
        <v>406.52273614689983</v>
      </c>
      <c r="N270">
        <f>'Input + Tire Forces'!$L$16-J270</f>
        <v>293.47726385310017</v>
      </c>
      <c r="O270">
        <f t="shared" si="70"/>
        <v>1.0119608046408815</v>
      </c>
      <c r="P270">
        <f t="shared" si="71"/>
        <v>8.7906480516391092E-2</v>
      </c>
    </row>
    <row r="271" spans="4:16" x14ac:dyDescent="0.3">
      <c r="F271">
        <f t="shared" si="72"/>
        <v>55</v>
      </c>
      <c r="G271">
        <f t="shared" si="64"/>
        <v>452.52358269363242</v>
      </c>
      <c r="H271">
        <f t="shared" si="65"/>
        <v>28.378408714596947</v>
      </c>
      <c r="I271">
        <f t="shared" si="66"/>
        <v>0.68700284486889907</v>
      </c>
      <c r="J271">
        <f t="shared" si="67"/>
        <v>77.575009761589783</v>
      </c>
      <c r="K271">
        <f t="shared" si="68"/>
        <v>480.90199140822932</v>
      </c>
      <c r="L271">
        <f t="shared" si="69"/>
        <v>700</v>
      </c>
      <c r="M271">
        <f>'Input + Tire Forces'!$L$15+J271</f>
        <v>413.5750097615898</v>
      </c>
      <c r="N271">
        <f>'Input + Tire Forces'!$L$16-J271</f>
        <v>286.4249902384102</v>
      </c>
      <c r="O271">
        <f t="shared" si="70"/>
        <v>1.0941753539569399</v>
      </c>
      <c r="P271">
        <f t="shared" si="71"/>
        <v>9.9077977417318747E-2</v>
      </c>
    </row>
    <row r="272" spans="4:16" x14ac:dyDescent="0.3">
      <c r="F272">
        <f t="shared" si="72"/>
        <v>60</v>
      </c>
      <c r="G272">
        <f t="shared" si="64"/>
        <v>493.66209021123535</v>
      </c>
      <c r="H272">
        <f t="shared" si="65"/>
        <v>30.958264052287575</v>
      </c>
      <c r="I272">
        <f t="shared" si="66"/>
        <v>0.74945764894788991</v>
      </c>
      <c r="J272">
        <f t="shared" si="67"/>
        <v>84.627283376279763</v>
      </c>
      <c r="K272">
        <f t="shared" si="68"/>
        <v>524.62035426352293</v>
      </c>
      <c r="L272">
        <f t="shared" si="69"/>
        <v>700</v>
      </c>
      <c r="M272">
        <f>'Input + Tire Forces'!$L$15+J272</f>
        <v>420.62728337627976</v>
      </c>
      <c r="N272">
        <f>'Input + Tire Forces'!$L$16-J272</f>
        <v>279.37271662372024</v>
      </c>
      <c r="O272">
        <f t="shared" si="70"/>
        <v>1.1736330707050711</v>
      </c>
      <c r="P272">
        <f t="shared" si="71"/>
        <v>0.1108134839594392</v>
      </c>
    </row>
    <row r="273" spans="6:16" x14ac:dyDescent="0.3">
      <c r="F273">
        <f t="shared" si="72"/>
        <v>65</v>
      </c>
      <c r="G273">
        <f t="shared" si="64"/>
        <v>534.8005977288384</v>
      </c>
      <c r="H273">
        <f t="shared" si="65"/>
        <v>33.538119389978206</v>
      </c>
      <c r="I273">
        <f t="shared" si="66"/>
        <v>0.81191245302688086</v>
      </c>
      <c r="J273">
        <f t="shared" si="67"/>
        <v>91.679556990969758</v>
      </c>
      <c r="K273">
        <f t="shared" si="68"/>
        <v>568.33871711881659</v>
      </c>
      <c r="L273">
        <f t="shared" si="69"/>
        <v>700</v>
      </c>
      <c r="M273">
        <f>'Input + Tire Forces'!$L$15+J273</f>
        <v>427.67955699096979</v>
      </c>
      <c r="N273">
        <f>'Input + Tire Forces'!$L$16-J273</f>
        <v>272.32044300903021</v>
      </c>
      <c r="O273">
        <f t="shared" si="70"/>
        <v>1.2504703322542265</v>
      </c>
      <c r="P273">
        <f t="shared" si="71"/>
        <v>0.12315681856050034</v>
      </c>
    </row>
    <row r="274" spans="6:16" x14ac:dyDescent="0.3">
      <c r="F274">
        <f t="shared" si="72"/>
        <v>70</v>
      </c>
      <c r="G274">
        <f t="shared" si="64"/>
        <v>575.93910524644104</v>
      </c>
      <c r="H274">
        <f t="shared" si="65"/>
        <v>36.117974727668837</v>
      </c>
      <c r="I274">
        <f t="shared" si="66"/>
        <v>0.87436725710587127</v>
      </c>
      <c r="J274">
        <f t="shared" si="67"/>
        <v>98.731830605659695</v>
      </c>
      <c r="K274">
        <f t="shared" si="68"/>
        <v>612.05707997410991</v>
      </c>
      <c r="L274">
        <f t="shared" si="69"/>
        <v>700</v>
      </c>
      <c r="M274">
        <f>'Input + Tire Forces'!$L$15+J274</f>
        <v>434.7318306056597</v>
      </c>
      <c r="N274">
        <f>'Input + Tire Forces'!$L$16-J274</f>
        <v>265.2681693943403</v>
      </c>
      <c r="O274">
        <f t="shared" si="70"/>
        <v>1.3248146666510574</v>
      </c>
      <c r="P274">
        <f t="shared" si="71"/>
        <v>0.13615645936764037</v>
      </c>
    </row>
    <row r="275" spans="6:16" x14ac:dyDescent="0.3">
      <c r="F275">
        <f t="shared" si="72"/>
        <v>75</v>
      </c>
      <c r="G275">
        <f t="shared" si="64"/>
        <v>617.07761276404426</v>
      </c>
      <c r="H275">
        <f t="shared" si="65"/>
        <v>38.697830065359476</v>
      </c>
      <c r="I275">
        <f t="shared" si="66"/>
        <v>0.93682206118486244</v>
      </c>
      <c r="J275">
        <f t="shared" si="67"/>
        <v>105.78410422034972</v>
      </c>
      <c r="K275">
        <f t="shared" si="68"/>
        <v>655.77544282940369</v>
      </c>
      <c r="L275">
        <f t="shared" si="69"/>
        <v>700</v>
      </c>
      <c r="M275">
        <f>'Input + Tire Forces'!$L$15+J275</f>
        <v>441.78410422034972</v>
      </c>
      <c r="N275">
        <f>'Input + Tire Forces'!$L$16-J275</f>
        <v>258.21589577965028</v>
      </c>
      <c r="O275">
        <f t="shared" si="70"/>
        <v>1.3967854589359852</v>
      </c>
      <c r="P275">
        <f t="shared" si="71"/>
        <v>0.1498661805793027</v>
      </c>
    </row>
    <row r="276" spans="6:16" x14ac:dyDescent="0.3">
      <c r="F276">
        <f t="shared" si="72"/>
        <v>80</v>
      </c>
      <c r="G276">
        <f t="shared" si="64"/>
        <v>658.21612028164714</v>
      </c>
      <c r="H276">
        <f t="shared" si="65"/>
        <v>41.277685403050107</v>
      </c>
      <c r="I276">
        <f t="shared" si="66"/>
        <v>0.99927686526385318</v>
      </c>
      <c r="J276">
        <f t="shared" si="67"/>
        <v>112.83637783503968</v>
      </c>
      <c r="K276">
        <f t="shared" si="68"/>
        <v>699.49380568469724</v>
      </c>
      <c r="L276">
        <f t="shared" si="69"/>
        <v>700</v>
      </c>
      <c r="M276">
        <f>'Input + Tire Forces'!$L$15+J276</f>
        <v>448.83637783503968</v>
      </c>
      <c r="N276">
        <f>'Input + Tire Forces'!$L$16-J276</f>
        <v>251.16362216496032</v>
      </c>
      <c r="O276">
        <f t="shared" si="70"/>
        <v>1.466494590871956</v>
      </c>
      <c r="P276">
        <f t="shared" si="71"/>
        <v>0.16434579596857213</v>
      </c>
    </row>
    <row r="277" spans="6:16" x14ac:dyDescent="0.3">
      <c r="F277">
        <f t="shared" si="72"/>
        <v>85</v>
      </c>
      <c r="G277">
        <f t="shared" si="64"/>
        <v>699.35462779925012</v>
      </c>
      <c r="H277">
        <f t="shared" si="65"/>
        <v>43.857540740740731</v>
      </c>
      <c r="I277">
        <f t="shared" si="66"/>
        <v>1.0617316693428442</v>
      </c>
      <c r="J277">
        <f t="shared" si="67"/>
        <v>119.88865144972969</v>
      </c>
      <c r="K277">
        <f t="shared" si="68"/>
        <v>743.21216853999101</v>
      </c>
      <c r="L277">
        <f t="shared" si="69"/>
        <v>700</v>
      </c>
      <c r="M277">
        <f>'Input + Tire Forces'!$L$15+J277</f>
        <v>455.88865144972971</v>
      </c>
      <c r="N277">
        <f>'Input + Tire Forces'!$L$16-J277</f>
        <v>244.11134855027029</v>
      </c>
      <c r="O277">
        <f t="shared" si="70"/>
        <v>1.5340470212963113</v>
      </c>
      <c r="P277">
        <f t="shared" si="71"/>
        <v>0.17966203128696029</v>
      </c>
    </row>
    <row r="278" spans="6:16" x14ac:dyDescent="0.3">
      <c r="F278">
        <f t="shared" si="72"/>
        <v>90</v>
      </c>
      <c r="G278">
        <f t="shared" si="64"/>
        <v>740.49313531685311</v>
      </c>
      <c r="H278">
        <f t="shared" si="65"/>
        <v>46.437396078431362</v>
      </c>
      <c r="I278">
        <f t="shared" si="66"/>
        <v>1.124186473421835</v>
      </c>
      <c r="J278">
        <f t="shared" si="67"/>
        <v>126.94092506441966</v>
      </c>
      <c r="K278">
        <f t="shared" si="68"/>
        <v>786.93053139528445</v>
      </c>
      <c r="L278">
        <f t="shared" si="69"/>
        <v>700</v>
      </c>
      <c r="M278">
        <f>'Input + Tire Forces'!$L$15+J278</f>
        <v>462.94092506441967</v>
      </c>
      <c r="N278">
        <f>'Input + Tire Forces'!$L$16-J278</f>
        <v>237.05907493558033</v>
      </c>
      <c r="O278">
        <f t="shared" si="70"/>
        <v>1.5995413134274339</v>
      </c>
      <c r="P278">
        <f t="shared" si="71"/>
        <v>0.19588955238710226</v>
      </c>
    </row>
    <row r="279" spans="6:16" x14ac:dyDescent="0.3">
      <c r="F279">
        <f t="shared" si="72"/>
        <v>95</v>
      </c>
      <c r="G279">
        <f t="shared" si="64"/>
        <v>781.6316428344561</v>
      </c>
      <c r="H279">
        <f t="shared" si="65"/>
        <v>49.017251416121994</v>
      </c>
      <c r="I279">
        <f t="shared" si="66"/>
        <v>1.1866412775008259</v>
      </c>
      <c r="J279">
        <f t="shared" si="67"/>
        <v>133.99319867910967</v>
      </c>
      <c r="K279">
        <f t="shared" si="68"/>
        <v>830.64889425057811</v>
      </c>
      <c r="L279">
        <f t="shared" si="69"/>
        <v>700</v>
      </c>
      <c r="M279">
        <f>'Input + Tire Forces'!$L$15+J279</f>
        <v>469.9931986791097</v>
      </c>
      <c r="N279">
        <f>'Input + Tire Forces'!$L$16-J279</f>
        <v>230.00680132089033</v>
      </c>
      <c r="O279">
        <f t="shared" si="70"/>
        <v>1.6630701146978069</v>
      </c>
      <c r="P279">
        <f t="shared" si="71"/>
        <v>0.21311218248601421</v>
      </c>
    </row>
    <row r="280" spans="6:16" x14ac:dyDescent="0.3">
      <c r="F280">
        <f t="shared" si="72"/>
        <v>100</v>
      </c>
      <c r="G280">
        <f t="shared" si="64"/>
        <v>822.77015035205898</v>
      </c>
      <c r="H280">
        <f t="shared" si="65"/>
        <v>51.597106753812639</v>
      </c>
      <c r="I280">
        <f t="shared" si="66"/>
        <v>1.2490960815798167</v>
      </c>
      <c r="J280">
        <f t="shared" si="67"/>
        <v>141.04547229379963</v>
      </c>
      <c r="K280">
        <f t="shared" si="68"/>
        <v>874.36725710587166</v>
      </c>
      <c r="L280">
        <f t="shared" si="69"/>
        <v>700</v>
      </c>
      <c r="M280">
        <f>'Input + Tire Forces'!$L$15+J280</f>
        <v>477.04547229379966</v>
      </c>
      <c r="N280">
        <f>'Input + Tire Forces'!$L$16-J280</f>
        <v>222.95452770620037</v>
      </c>
      <c r="O280">
        <f t="shared" si="70"/>
        <v>1.7247205940261743</v>
      </c>
      <c r="P280">
        <f t="shared" si="71"/>
        <v>0.23142435044784121</v>
      </c>
    </row>
    <row r="281" spans="6:16" x14ac:dyDescent="0.3">
      <c r="F281">
        <f>F280+5</f>
        <v>105</v>
      </c>
      <c r="G281">
        <f t="shared" si="64"/>
        <v>863.90865786966174</v>
      </c>
      <c r="H281">
        <f t="shared" si="65"/>
        <v>54.176962091503256</v>
      </c>
      <c r="I281">
        <f t="shared" si="66"/>
        <v>1.3115508856588072</v>
      </c>
      <c r="J281">
        <f t="shared" si="67"/>
        <v>148.09774590848957</v>
      </c>
      <c r="K281">
        <f t="shared" si="68"/>
        <v>918.08561996116498</v>
      </c>
      <c r="L281">
        <f t="shared" si="69"/>
        <v>700</v>
      </c>
      <c r="M281">
        <f>'Input + Tire Forces'!$L$15+J281</f>
        <v>484.09774590848957</v>
      </c>
      <c r="N281">
        <f>'Input + Tire Forces'!$L$16-J281</f>
        <v>215.90225409151043</v>
      </c>
      <c r="O281">
        <f t="shared" si="70"/>
        <v>1.7845748408689532</v>
      </c>
      <c r="P281">
        <f t="shared" si="71"/>
        <v>0.25093282290855695</v>
      </c>
    </row>
    <row r="282" spans="6:16" x14ac:dyDescent="0.3">
      <c r="F282">
        <f t="shared" ref="F282:F290" si="73">F281+5</f>
        <v>110</v>
      </c>
      <c r="G282">
        <f t="shared" si="64"/>
        <v>905.04716538726484</v>
      </c>
      <c r="H282">
        <f t="shared" si="65"/>
        <v>56.756817429193894</v>
      </c>
      <c r="I282">
        <f t="shared" si="66"/>
        <v>1.3740056897377981</v>
      </c>
      <c r="J282">
        <f t="shared" si="67"/>
        <v>155.15001952317957</v>
      </c>
      <c r="K282">
        <f t="shared" si="68"/>
        <v>961.80398281645864</v>
      </c>
      <c r="L282">
        <f t="shared" si="69"/>
        <v>700</v>
      </c>
      <c r="M282">
        <f>'Input + Tire Forces'!$L$15+J282</f>
        <v>491.15001952317959</v>
      </c>
      <c r="N282">
        <f>'Input + Tire Forces'!$L$16-J282</f>
        <v>208.84998047682043</v>
      </c>
      <c r="O282">
        <f t="shared" si="70"/>
        <v>1.8427102298925015</v>
      </c>
      <c r="P282">
        <f t="shared" si="71"/>
        <v>0.27175878733440029</v>
      </c>
    </row>
    <row r="283" spans="6:16" x14ac:dyDescent="0.3">
      <c r="F283">
        <f t="shared" si="73"/>
        <v>115</v>
      </c>
      <c r="G283">
        <f t="shared" si="64"/>
        <v>946.18567290486772</v>
      </c>
      <c r="H283">
        <f t="shared" si="65"/>
        <v>59.336672766884519</v>
      </c>
      <c r="I283">
        <f t="shared" si="66"/>
        <v>1.4364604938167889</v>
      </c>
      <c r="J283">
        <f t="shared" si="67"/>
        <v>162.20229313786953</v>
      </c>
      <c r="K283">
        <f t="shared" si="68"/>
        <v>1005.5223456717522</v>
      </c>
      <c r="L283">
        <f t="shared" si="69"/>
        <v>700</v>
      </c>
      <c r="M283">
        <f>'Input + Tire Forces'!$L$15+J283</f>
        <v>498.20229313786956</v>
      </c>
      <c r="N283">
        <f>'Input + Tire Forces'!$L$16-J283</f>
        <v>201.79770686213047</v>
      </c>
      <c r="O283">
        <f t="shared" si="70"/>
        <v>1.899199754672799</v>
      </c>
      <c r="P283">
        <f t="shared" si="71"/>
        <v>0.29404037186321313</v>
      </c>
    </row>
    <row r="284" spans="6:16" x14ac:dyDescent="0.3">
      <c r="F284">
        <f t="shared" si="73"/>
        <v>120</v>
      </c>
      <c r="G284">
        <f t="shared" si="64"/>
        <v>987.3241804224707</v>
      </c>
      <c r="H284">
        <f t="shared" si="65"/>
        <v>61.91652810457515</v>
      </c>
      <c r="I284">
        <f t="shared" si="66"/>
        <v>1.4989152978957798</v>
      </c>
      <c r="J284">
        <f t="shared" si="67"/>
        <v>169.25456675255953</v>
      </c>
      <c r="K284">
        <f t="shared" si="68"/>
        <v>1049.2407085270459</v>
      </c>
      <c r="L284">
        <f t="shared" si="69"/>
        <v>700</v>
      </c>
      <c r="M284">
        <f>'Input + Tire Forces'!$L$15+J284</f>
        <v>505.25456675255953</v>
      </c>
      <c r="N284">
        <f>'Input + Tire Forces'!$L$16-J284</f>
        <v>194.74543324744047</v>
      </c>
      <c r="O284">
        <f t="shared" si="70"/>
        <v>1.9541123334487289</v>
      </c>
      <c r="P284">
        <f t="shared" si="71"/>
        <v>0.31793571264854764</v>
      </c>
    </row>
    <row r="285" spans="6:16" x14ac:dyDescent="0.3">
      <c r="F285">
        <f t="shared" si="73"/>
        <v>125</v>
      </c>
      <c r="G285">
        <f t="shared" si="64"/>
        <v>1028.4626879400737</v>
      </c>
      <c r="H285">
        <f t="shared" si="65"/>
        <v>64.496383442265781</v>
      </c>
      <c r="I285">
        <f t="shared" si="66"/>
        <v>1.5613701019747708</v>
      </c>
      <c r="J285">
        <f t="shared" si="67"/>
        <v>176.30684036724952</v>
      </c>
      <c r="K285">
        <f t="shared" si="68"/>
        <v>1092.9590713823395</v>
      </c>
      <c r="L285">
        <f t="shared" si="69"/>
        <v>700</v>
      </c>
      <c r="M285">
        <f>'Input + Tire Forces'!$L$15+J285</f>
        <v>512.30684036724949</v>
      </c>
      <c r="N285">
        <f>'Input + Tire Forces'!$L$16-J285</f>
        <v>187.69315963275048</v>
      </c>
      <c r="O285">
        <f t="shared" si="70"/>
        <v>2.0075130896218671</v>
      </c>
      <c r="P285">
        <f t="shared" si="71"/>
        <v>0.34362671270739181</v>
      </c>
    </row>
    <row r="286" spans="6:16" x14ac:dyDescent="0.3">
      <c r="F286">
        <f t="shared" si="73"/>
        <v>130</v>
      </c>
      <c r="G286">
        <f t="shared" si="64"/>
        <v>1069.6011954576768</v>
      </c>
      <c r="H286">
        <f t="shared" si="65"/>
        <v>67.076238779956412</v>
      </c>
      <c r="I286">
        <f t="shared" si="66"/>
        <v>1.6238249060537617</v>
      </c>
      <c r="J286">
        <f t="shared" si="67"/>
        <v>183.35911398193952</v>
      </c>
      <c r="K286">
        <f t="shared" si="68"/>
        <v>1136.6774342376332</v>
      </c>
      <c r="L286">
        <f t="shared" si="69"/>
        <v>700</v>
      </c>
      <c r="M286">
        <f>'Input + Tire Forces'!$L$15+J286</f>
        <v>519.35911398193957</v>
      </c>
      <c r="N286">
        <f>'Input + Tire Forces'!$L$16-J286</f>
        <v>180.64088601806048</v>
      </c>
      <c r="O286">
        <f t="shared" si="70"/>
        <v>2.0594636094031684</v>
      </c>
      <c r="P286">
        <f t="shared" si="71"/>
        <v>0.37132368124705789</v>
      </c>
    </row>
    <row r="287" spans="6:16" x14ac:dyDescent="0.3">
      <c r="F287">
        <f t="shared" si="73"/>
        <v>135</v>
      </c>
      <c r="G287">
        <f t="shared" si="64"/>
        <v>1110.7397029752794</v>
      </c>
      <c r="H287">
        <f t="shared" si="65"/>
        <v>69.656094117647044</v>
      </c>
      <c r="I287">
        <f t="shared" si="66"/>
        <v>1.686279710132752</v>
      </c>
      <c r="J287">
        <f t="shared" si="67"/>
        <v>190.41138759662945</v>
      </c>
      <c r="K287">
        <f t="shared" si="68"/>
        <v>1180.3957970929264</v>
      </c>
      <c r="L287">
        <f t="shared" si="69"/>
        <v>700</v>
      </c>
      <c r="M287">
        <f>'Input + Tire Forces'!$L$15+J287</f>
        <v>526.41138759662942</v>
      </c>
      <c r="N287">
        <f>'Input + Tire Forces'!$L$16-J287</f>
        <v>173.58861240337055</v>
      </c>
      <c r="O287">
        <f t="shared" si="70"/>
        <v>2.1100221787496745</v>
      </c>
      <c r="P287">
        <f t="shared" si="71"/>
        <v>0.40127110386588088</v>
      </c>
    </row>
    <row r="288" spans="6:16" x14ac:dyDescent="0.3">
      <c r="F288">
        <f t="shared" si="73"/>
        <v>140</v>
      </c>
      <c r="G288">
        <f t="shared" si="64"/>
        <v>1151.8782104928821</v>
      </c>
      <c r="H288">
        <f t="shared" si="65"/>
        <v>72.235949455337675</v>
      </c>
      <c r="I288">
        <f t="shared" si="66"/>
        <v>1.7487345142117425</v>
      </c>
      <c r="J288">
        <f t="shared" si="67"/>
        <v>197.46366121131939</v>
      </c>
      <c r="K288">
        <f t="shared" si="68"/>
        <v>1224.1141599482198</v>
      </c>
      <c r="L288">
        <f t="shared" si="69"/>
        <v>700</v>
      </c>
      <c r="M288">
        <f>'Input + Tire Forces'!$L$15+J288</f>
        <v>533.46366121131939</v>
      </c>
      <c r="N288">
        <f>'Input + Tire Forces'!$L$16-J288</f>
        <v>166.53633878868061</v>
      </c>
      <c r="O288">
        <f t="shared" si="70"/>
        <v>2.1592440015077088</v>
      </c>
      <c r="P288">
        <f t="shared" si="71"/>
        <v>0.43375487884958547</v>
      </c>
    </row>
    <row r="289" spans="6:16" x14ac:dyDescent="0.3">
      <c r="F289">
        <f t="shared" si="73"/>
        <v>145</v>
      </c>
      <c r="G289">
        <f t="shared" si="64"/>
        <v>1193.0167180104854</v>
      </c>
      <c r="H289">
        <f t="shared" si="65"/>
        <v>74.81580479302832</v>
      </c>
      <c r="I289">
        <f t="shared" si="66"/>
        <v>1.8111893182907339</v>
      </c>
      <c r="J289">
        <f t="shared" si="67"/>
        <v>204.51593482600944</v>
      </c>
      <c r="K289">
        <f t="shared" si="68"/>
        <v>1267.8325228035137</v>
      </c>
      <c r="L289">
        <f t="shared" si="69"/>
        <v>700</v>
      </c>
      <c r="M289">
        <f>'Input + Tire Forces'!$L$15+J289</f>
        <v>540.51593482600947</v>
      </c>
      <c r="N289">
        <f>'Input + Tire Forces'!$L$16-J289</f>
        <v>159.48406517399056</v>
      </c>
      <c r="O289">
        <f t="shared" si="70"/>
        <v>2.207181400478996</v>
      </c>
      <c r="P289">
        <f t="shared" si="71"/>
        <v>0.46911147337138259</v>
      </c>
    </row>
    <row r="290" spans="6:16" x14ac:dyDescent="0.3">
      <c r="F290">
        <f t="shared" si="73"/>
        <v>150</v>
      </c>
      <c r="G290">
        <f t="shared" si="64"/>
        <v>1234.1552255280885</v>
      </c>
      <c r="H290">
        <f t="shared" si="65"/>
        <v>77.395660130718952</v>
      </c>
      <c r="I290">
        <f t="shared" si="66"/>
        <v>1.8736441223697249</v>
      </c>
      <c r="J290">
        <f t="shared" si="67"/>
        <v>211.56820844069944</v>
      </c>
      <c r="K290">
        <f t="shared" si="68"/>
        <v>1311.5508856588074</v>
      </c>
      <c r="L290">
        <f t="shared" si="69"/>
        <v>700</v>
      </c>
      <c r="M290">
        <f>'Input + Tire Forces'!$L$15+J290</f>
        <v>547.56820844069944</v>
      </c>
      <c r="N290">
        <f>'Input + Tire Forces'!$L$16-J290</f>
        <v>152.43179155930056</v>
      </c>
      <c r="O290">
        <f t="shared" si="70"/>
        <v>2.2538840029492784</v>
      </c>
      <c r="P290">
        <f t="shared" si="71"/>
        <v>0.50773962136769679</v>
      </c>
    </row>
    <row r="291" spans="6:16" x14ac:dyDescent="0.3">
      <c r="F291">
        <f>F290+5</f>
        <v>155</v>
      </c>
      <c r="G291">
        <f t="shared" si="64"/>
        <v>1275.2937330456914</v>
      </c>
      <c r="H291">
        <f t="shared" si="65"/>
        <v>79.975515468409583</v>
      </c>
      <c r="I291">
        <f t="shared" si="66"/>
        <v>1.9360989264487158</v>
      </c>
      <c r="J291">
        <f t="shared" si="67"/>
        <v>218.62048205538943</v>
      </c>
      <c r="K291">
        <f t="shared" si="68"/>
        <v>1355.269248514101</v>
      </c>
      <c r="L291">
        <f t="shared" si="69"/>
        <v>700</v>
      </c>
      <c r="M291">
        <f>'Input + Tire Forces'!$L$15+J291</f>
        <v>554.6204820553894</v>
      </c>
      <c r="N291">
        <f>'Input + Tire Forces'!$L$16-J291</f>
        <v>145.37951794461057</v>
      </c>
      <c r="O291">
        <f t="shared" si="70"/>
        <v>2.2993989120624092</v>
      </c>
      <c r="P291">
        <f t="shared" si="71"/>
        <v>0.55011542615569931</v>
      </c>
    </row>
    <row r="292" spans="6:16" x14ac:dyDescent="0.3">
      <c r="F292">
        <f t="shared" ref="F292:F300" si="74">F291+5</f>
        <v>160</v>
      </c>
      <c r="G292">
        <f t="shared" si="64"/>
        <v>1316.4322405632943</v>
      </c>
      <c r="H292">
        <f t="shared" si="65"/>
        <v>82.555370806100214</v>
      </c>
      <c r="I292">
        <f t="shared" si="66"/>
        <v>1.9985537305277064</v>
      </c>
      <c r="J292">
        <f t="shared" si="67"/>
        <v>225.67275567007937</v>
      </c>
      <c r="K292">
        <f t="shared" si="68"/>
        <v>1398.9876113693945</v>
      </c>
      <c r="L292">
        <f t="shared" si="69"/>
        <v>700</v>
      </c>
      <c r="M292">
        <f>'Input + Tire Forces'!$L$15+J292</f>
        <v>561.67275567007937</v>
      </c>
      <c r="N292">
        <f>'Input + Tire Forces'!$L$16-J292</f>
        <v>138.32724432992063</v>
      </c>
      <c r="O292">
        <f t="shared" si="70"/>
        <v>2.3437708652839708</v>
      </c>
      <c r="P292">
        <f t="shared" si="71"/>
        <v>0.5968120828692256</v>
      </c>
    </row>
    <row r="293" spans="6:16" x14ac:dyDescent="0.3">
      <c r="F293">
        <f t="shared" si="74"/>
        <v>165</v>
      </c>
      <c r="G293">
        <f t="shared" si="64"/>
        <v>1357.5707480808971</v>
      </c>
      <c r="H293">
        <f t="shared" si="65"/>
        <v>85.135226143790817</v>
      </c>
      <c r="I293">
        <f t="shared" si="66"/>
        <v>2.0610085346066969</v>
      </c>
      <c r="J293">
        <f t="shared" si="67"/>
        <v>232.72502928476931</v>
      </c>
      <c r="K293">
        <f t="shared" si="68"/>
        <v>1442.7059742246879</v>
      </c>
      <c r="L293">
        <f t="shared" si="69"/>
        <v>700</v>
      </c>
      <c r="M293">
        <f>'Input + Tire Forces'!$L$15+J293</f>
        <v>568.72502928476933</v>
      </c>
      <c r="N293">
        <f>'Input + Tire Forces'!$L$16-J293</f>
        <v>131.27497071523069</v>
      </c>
      <c r="O293">
        <f t="shared" si="70"/>
        <v>2.3870423810750565</v>
      </c>
      <c r="P293">
        <f t="shared" si="71"/>
        <v>0.64852595799446877</v>
      </c>
    </row>
    <row r="294" spans="6:16" x14ac:dyDescent="0.3">
      <c r="F294">
        <f t="shared" si="74"/>
        <v>170</v>
      </c>
      <c r="G294">
        <f t="shared" si="64"/>
        <v>1398.7092555985002</v>
      </c>
      <c r="H294">
        <f t="shared" si="65"/>
        <v>87.715081481481462</v>
      </c>
      <c r="I294">
        <f t="shared" si="66"/>
        <v>2.1234633386856885</v>
      </c>
      <c r="J294">
        <f t="shared" si="67"/>
        <v>239.77730289945939</v>
      </c>
      <c r="K294">
        <f t="shared" si="68"/>
        <v>1486.424337079982</v>
      </c>
      <c r="L294">
        <f t="shared" si="69"/>
        <v>700</v>
      </c>
      <c r="M294">
        <f>'Input + Tire Forces'!$L$15+J294</f>
        <v>575.77730289945941</v>
      </c>
      <c r="N294">
        <f>'Input + Tire Forces'!$L$16-J294</f>
        <v>124.22269710054061</v>
      </c>
      <c r="O294">
        <f t="shared" si="70"/>
        <v>2.4292538947870597</v>
      </c>
      <c r="P294">
        <f t="shared" si="71"/>
        <v>0.70611155230745448</v>
      </c>
    </row>
    <row r="295" spans="6:16" x14ac:dyDescent="0.3">
      <c r="F295">
        <f t="shared" si="74"/>
        <v>175</v>
      </c>
      <c r="G295">
        <f t="shared" si="64"/>
        <v>1439.8477631161031</v>
      </c>
      <c r="H295">
        <f t="shared" si="65"/>
        <v>90.294936819172094</v>
      </c>
      <c r="I295">
        <f t="shared" si="66"/>
        <v>2.1859181427646788</v>
      </c>
      <c r="J295">
        <f t="shared" si="67"/>
        <v>246.8295765141493</v>
      </c>
      <c r="K295">
        <f t="shared" si="68"/>
        <v>1530.1426999352752</v>
      </c>
      <c r="L295">
        <f t="shared" si="69"/>
        <v>700</v>
      </c>
      <c r="M295">
        <f>'Input + Tire Forces'!$L$15+J295</f>
        <v>582.82957651414927</v>
      </c>
      <c r="N295">
        <f>'Input + Tire Forces'!$L$16-J295</f>
        <v>117.1704234858507</v>
      </c>
      <c r="O295">
        <f t="shared" si="70"/>
        <v>2.4704438846904471</v>
      </c>
      <c r="P295">
        <f t="shared" si="71"/>
        <v>0.77062908994329915</v>
      </c>
    </row>
    <row r="296" spans="6:16" x14ac:dyDescent="0.3">
      <c r="F296">
        <f t="shared" si="74"/>
        <v>180</v>
      </c>
      <c r="G296">
        <f t="shared" si="64"/>
        <v>1480.9862706337062</v>
      </c>
      <c r="H296">
        <f t="shared" si="65"/>
        <v>92.874792156862725</v>
      </c>
      <c r="I296">
        <f t="shared" si="66"/>
        <v>2.24837294684367</v>
      </c>
      <c r="J296">
        <f t="shared" si="67"/>
        <v>253.88185012883932</v>
      </c>
      <c r="K296">
        <f t="shared" si="68"/>
        <v>1573.8610627905689</v>
      </c>
      <c r="L296">
        <f t="shared" si="69"/>
        <v>700</v>
      </c>
      <c r="M296">
        <f>'Input + Tire Forces'!$L$15+J296</f>
        <v>589.88185012883935</v>
      </c>
      <c r="N296">
        <f>'Input + Tire Forces'!$L$16-J296</f>
        <v>110.11814987116068</v>
      </c>
      <c r="O296">
        <f t="shared" si="70"/>
        <v>2.5106489889631898</v>
      </c>
      <c r="P296">
        <f t="shared" si="71"/>
        <v>0.84341039388626804</v>
      </c>
    </row>
    <row r="297" spans="6:16" x14ac:dyDescent="0.3">
      <c r="F297">
        <f t="shared" si="74"/>
        <v>185</v>
      </c>
      <c r="G297">
        <f t="shared" si="64"/>
        <v>1522.1247781513089</v>
      </c>
      <c r="H297">
        <f t="shared" si="65"/>
        <v>95.45464749455337</v>
      </c>
      <c r="I297">
        <f t="shared" si="66"/>
        <v>2.3108277509226607</v>
      </c>
      <c r="J297">
        <f t="shared" si="67"/>
        <v>260.93412374352931</v>
      </c>
      <c r="K297">
        <f t="shared" si="68"/>
        <v>1617.5794256458626</v>
      </c>
      <c r="L297">
        <f t="shared" si="69"/>
        <v>700</v>
      </c>
      <c r="M297">
        <f>'Input + Tire Forces'!$L$15+J297</f>
        <v>596.93412374352931</v>
      </c>
      <c r="N297">
        <f>'Input + Tire Forces'!$L$16-J297</f>
        <v>103.06587625647069</v>
      </c>
      <c r="O297">
        <f t="shared" si="70"/>
        <v>2.549904114386472</v>
      </c>
      <c r="P297">
        <f t="shared" si="71"/>
        <v>0.92615180660786878</v>
      </c>
    </row>
    <row r="298" spans="6:16" x14ac:dyDescent="0.3">
      <c r="F298">
        <f t="shared" si="74"/>
        <v>190</v>
      </c>
      <c r="G298">
        <f t="shared" si="64"/>
        <v>1563.2632856689122</v>
      </c>
      <c r="H298">
        <f t="shared" si="65"/>
        <v>98.034502832243987</v>
      </c>
      <c r="I298">
        <f t="shared" si="66"/>
        <v>2.3732825550016519</v>
      </c>
      <c r="J298">
        <f t="shared" si="67"/>
        <v>267.98639735821934</v>
      </c>
      <c r="K298">
        <f t="shared" si="68"/>
        <v>1661.2977885011562</v>
      </c>
      <c r="L298">
        <f t="shared" si="69"/>
        <v>700</v>
      </c>
      <c r="M298">
        <f>'Input + Tire Forces'!$L$15+J298</f>
        <v>603.98639735821939</v>
      </c>
      <c r="N298">
        <f>'Input + Tire Forces'!$L$16-J298</f>
        <v>96.013602641780665</v>
      </c>
      <c r="O298">
        <f t="shared" si="70"/>
        <v>2.5882425374254803</v>
      </c>
      <c r="P298">
        <f t="shared" si="71"/>
        <v>1.0210480612627686</v>
      </c>
    </row>
    <row r="299" spans="6:16" x14ac:dyDescent="0.3">
      <c r="F299">
        <f t="shared" si="74"/>
        <v>195</v>
      </c>
      <c r="G299">
        <f t="shared" si="64"/>
        <v>1604.4017931865149</v>
      </c>
      <c r="H299">
        <f t="shared" si="65"/>
        <v>100.61435816993462</v>
      </c>
      <c r="I299">
        <f t="shared" si="66"/>
        <v>2.4357373590806422</v>
      </c>
      <c r="J299">
        <f t="shared" si="67"/>
        <v>275.03867097290924</v>
      </c>
      <c r="K299">
        <f t="shared" si="68"/>
        <v>1705.0161513564494</v>
      </c>
      <c r="L299">
        <f t="shared" si="69"/>
        <v>700</v>
      </c>
      <c r="M299">
        <f>'Input + Tire Forces'!$L$15+J299</f>
        <v>611.03867097290924</v>
      </c>
      <c r="N299">
        <f>'Input + Tire Forces'!$L$16-J299</f>
        <v>88.961329027090756</v>
      </c>
      <c r="O299">
        <f t="shared" si="70"/>
        <v>2.6256959983104684</v>
      </c>
      <c r="P299">
        <f t="shared" si="71"/>
        <v>1.1309898274934185</v>
      </c>
    </row>
    <row r="300" spans="6:16" x14ac:dyDescent="0.3">
      <c r="F300">
        <f t="shared" si="74"/>
        <v>200</v>
      </c>
      <c r="G300">
        <f t="shared" si="64"/>
        <v>1645.540300704118</v>
      </c>
      <c r="H300">
        <f t="shared" si="65"/>
        <v>103.19421350762528</v>
      </c>
      <c r="I300">
        <f t="shared" si="66"/>
        <v>2.4981921631596333</v>
      </c>
      <c r="J300">
        <f t="shared" si="67"/>
        <v>282.09094458759927</v>
      </c>
      <c r="K300">
        <f t="shared" si="68"/>
        <v>1748.7345142117433</v>
      </c>
      <c r="L300">
        <f t="shared" si="69"/>
        <v>700</v>
      </c>
      <c r="M300">
        <f>'Input + Tire Forces'!$L$15+J300</f>
        <v>618.09094458759932</v>
      </c>
      <c r="N300">
        <f>'Input + Tire Forces'!$L$16-J300</f>
        <v>81.909055412400733</v>
      </c>
      <c r="O300">
        <f t="shared" si="70"/>
        <v>2.6622947886771744</v>
      </c>
      <c r="P300">
        <f t="shared" si="71"/>
        <v>1.2598633080073591</v>
      </c>
    </row>
  </sheetData>
  <mergeCells count="2">
    <mergeCell ref="AH1:AJ1"/>
    <mergeCell ref="AL1:AM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A0F77-8E1A-4634-AAF5-55F239CEF0F7}">
  <dimension ref="A1:AN23"/>
  <sheetViews>
    <sheetView zoomScale="64" workbookViewId="0">
      <selection activeCell="Q28" sqref="Q28"/>
    </sheetView>
  </sheetViews>
  <sheetFormatPr defaultRowHeight="14.4" x14ac:dyDescent="0.3"/>
  <cols>
    <col min="1" max="1" width="10.77734375" customWidth="1"/>
    <col min="28" max="28" width="9.21875" customWidth="1"/>
    <col min="29" max="29" width="10.33203125" customWidth="1"/>
    <col min="40" max="40" width="10.88671875" customWidth="1"/>
  </cols>
  <sheetData>
    <row r="1" spans="1:40" x14ac:dyDescent="0.3">
      <c r="B1" s="25" t="s">
        <v>363</v>
      </c>
      <c r="C1" s="25" t="s">
        <v>364</v>
      </c>
      <c r="D1" s="25" t="s">
        <v>365</v>
      </c>
      <c r="E1" s="25" t="s">
        <v>364</v>
      </c>
      <c r="F1" s="25" t="s">
        <v>366</v>
      </c>
      <c r="G1" s="25" t="s">
        <v>364</v>
      </c>
      <c r="H1" s="25" t="s">
        <v>367</v>
      </c>
      <c r="I1" s="25" t="s">
        <v>364</v>
      </c>
      <c r="J1" s="25" t="s">
        <v>368</v>
      </c>
      <c r="K1" s="25" t="s">
        <v>364</v>
      </c>
      <c r="L1" s="25" t="s">
        <v>369</v>
      </c>
      <c r="M1" s="25" t="s">
        <v>364</v>
      </c>
      <c r="N1" s="25" t="s">
        <v>370</v>
      </c>
      <c r="O1" s="25" t="s">
        <v>364</v>
      </c>
      <c r="P1" s="25" t="s">
        <v>371</v>
      </c>
      <c r="Q1" s="25" t="s">
        <v>364</v>
      </c>
      <c r="R1" s="25" t="s">
        <v>372</v>
      </c>
      <c r="S1" s="25" t="s">
        <v>364</v>
      </c>
      <c r="T1" s="25" t="s">
        <v>373</v>
      </c>
      <c r="U1" s="25" t="s">
        <v>364</v>
      </c>
      <c r="V1" s="98" t="s">
        <v>374</v>
      </c>
      <c r="W1" s="98" t="s">
        <v>364</v>
      </c>
      <c r="X1" s="98" t="s">
        <v>375</v>
      </c>
      <c r="Y1" s="98" t="s">
        <v>364</v>
      </c>
      <c r="Z1" s="98" t="s">
        <v>376</v>
      </c>
      <c r="AA1" s="98" t="s">
        <v>364</v>
      </c>
      <c r="AB1" s="98" t="s">
        <v>377</v>
      </c>
      <c r="AC1" s="98" t="s">
        <v>364</v>
      </c>
      <c r="AD1" s="98" t="s">
        <v>378</v>
      </c>
      <c r="AE1" s="98" t="s">
        <v>364</v>
      </c>
      <c r="AF1" s="98" t="s">
        <v>379</v>
      </c>
      <c r="AG1" s="98" t="s">
        <v>364</v>
      </c>
      <c r="AH1" s="98" t="s">
        <v>380</v>
      </c>
      <c r="AI1" s="98" t="s">
        <v>364</v>
      </c>
      <c r="AJ1" s="98" t="s">
        <v>381</v>
      </c>
      <c r="AK1" s="98" t="s">
        <v>364</v>
      </c>
      <c r="AL1" s="98" t="s">
        <v>382</v>
      </c>
      <c r="AM1" s="98" t="s">
        <v>364</v>
      </c>
      <c r="AN1" s="25" t="s">
        <v>345</v>
      </c>
    </row>
    <row r="2" spans="1:40" x14ac:dyDescent="0.3">
      <c r="A2" s="100" t="s">
        <v>344</v>
      </c>
    </row>
    <row r="3" spans="1:40" x14ac:dyDescent="0.3">
      <c r="A3" s="100" t="s">
        <v>354</v>
      </c>
    </row>
    <row r="4" spans="1:40" x14ac:dyDescent="0.3">
      <c r="A4" s="100" t="s">
        <v>353</v>
      </c>
    </row>
    <row r="5" spans="1:40" x14ac:dyDescent="0.3">
      <c r="A5" s="100" t="s">
        <v>352</v>
      </c>
    </row>
    <row r="6" spans="1:40" x14ac:dyDescent="0.3">
      <c r="A6" s="100" t="s">
        <v>351</v>
      </c>
    </row>
    <row r="7" spans="1:40" x14ac:dyDescent="0.3">
      <c r="A7" s="100" t="s">
        <v>343</v>
      </c>
    </row>
    <row r="8" spans="1:40" x14ac:dyDescent="0.3">
      <c r="A8" s="100" t="s">
        <v>350</v>
      </c>
    </row>
    <row r="9" spans="1:40" x14ac:dyDescent="0.3">
      <c r="A9" s="100" t="s">
        <v>349</v>
      </c>
    </row>
    <row r="10" spans="1:40" x14ac:dyDescent="0.3">
      <c r="A10" s="100" t="s">
        <v>348</v>
      </c>
    </row>
    <row r="11" spans="1:40" x14ac:dyDescent="0.3">
      <c r="A11" s="100" t="s">
        <v>347</v>
      </c>
    </row>
    <row r="12" spans="1:40" x14ac:dyDescent="0.3">
      <c r="A12" s="99" t="s">
        <v>342</v>
      </c>
    </row>
    <row r="13" spans="1:40" x14ac:dyDescent="0.3">
      <c r="A13" s="100" t="s">
        <v>355</v>
      </c>
    </row>
    <row r="14" spans="1:40" x14ac:dyDescent="0.3">
      <c r="A14" s="100" t="s">
        <v>356</v>
      </c>
    </row>
    <row r="15" spans="1:40" x14ac:dyDescent="0.3">
      <c r="A15" s="100" t="s">
        <v>357</v>
      </c>
    </row>
    <row r="16" spans="1:40" x14ac:dyDescent="0.3">
      <c r="A16" s="100" t="s">
        <v>358</v>
      </c>
    </row>
    <row r="17" spans="1:1" x14ac:dyDescent="0.3">
      <c r="A17" s="100" t="s">
        <v>341</v>
      </c>
    </row>
    <row r="18" spans="1:1" x14ac:dyDescent="0.3">
      <c r="A18" s="100" t="s">
        <v>359</v>
      </c>
    </row>
    <row r="19" spans="1:1" x14ac:dyDescent="0.3">
      <c r="A19" s="100" t="s">
        <v>360</v>
      </c>
    </row>
    <row r="20" spans="1:1" x14ac:dyDescent="0.3">
      <c r="A20" s="100" t="s">
        <v>361</v>
      </c>
    </row>
    <row r="21" spans="1:1" x14ac:dyDescent="0.3">
      <c r="A21" s="100" t="s">
        <v>362</v>
      </c>
    </row>
    <row r="22" spans="1:1" x14ac:dyDescent="0.3">
      <c r="A22" s="100" t="s">
        <v>340</v>
      </c>
    </row>
    <row r="23" spans="1:1" x14ac:dyDescent="0.3">
      <c r="A23" s="99" t="s">
        <v>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CD85A93-D179-4152-BAA7-51E9E89C7FBC}"/>
</file>

<file path=customXml/itemProps2.xml><?xml version="1.0" encoding="utf-8"?>
<ds:datastoreItem xmlns:ds="http://schemas.openxmlformats.org/officeDocument/2006/customXml" ds:itemID="{87F75019-783E-49D4-9D63-CEAEF7160A0D}"/>
</file>

<file path=customXml/itemProps3.xml><?xml version="1.0" encoding="utf-8"?>
<ds:datastoreItem xmlns:ds="http://schemas.openxmlformats.org/officeDocument/2006/customXml" ds:itemID="{3534A126-DFCA-4C9D-BF7E-67ED1D0522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Order</vt:lpstr>
      <vt:lpstr>Input + Tire Forces</vt:lpstr>
      <vt:lpstr>Steering</vt:lpstr>
      <vt:lpstr>Slip Angle</vt:lpstr>
      <vt:lpstr>Steering Angle Sweep</vt:lpstr>
      <vt:lpstr>Geo Points + Force Sim</vt:lpstr>
      <vt:lpstr>Springs and Dampers</vt:lpstr>
      <vt:lpstr>TTX25 Data</vt:lpstr>
      <vt:lpstr>ARB</vt:lpstr>
      <vt:lpstr>Braking + Initial DF Sim</vt:lpstr>
      <vt:lpstr>Time + Accel Sim --</vt:lpstr>
      <vt:lpstr>Velocity &amp; G's Sim</vt:lpstr>
      <vt:lpstr>Optimal Steer Angle Sim</vt:lpstr>
      <vt:lpstr>K_ARB vs. Roll Gradient Sim</vt:lpstr>
      <vt:lpstr>Driver Force -&gt; Lock Up Sim</vt:lpstr>
      <vt:lpstr>YMD 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Goswami</dc:creator>
  <cp:lastModifiedBy>Yash Goswami</cp:lastModifiedBy>
  <dcterms:created xsi:type="dcterms:W3CDTF">2022-10-05T01:36:45Z</dcterms:created>
  <dcterms:modified xsi:type="dcterms:W3CDTF">2023-01-06T03:48:42Z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