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765" documentId="13_ncr:1_{25B62D78-2787-4D6A-9F3E-D571215EA930}" xr6:coauthVersionLast="47" xr6:coauthVersionMax="47" xr10:uidLastSave="{F1F58E54-1F10-4160-AA16-805195F5B0EC}"/>
  <bookViews>
    <workbookView xWindow="-110" yWindow="-110" windowWidth="25820" windowHeight="15500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3" l="1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4" i="18"/>
  <c r="G3" i="18"/>
  <c r="B9" i="18" s="1"/>
  <c r="C8" i="18"/>
  <c r="B8" i="18"/>
  <c r="C3" i="18"/>
  <c r="B3" i="18"/>
  <c r="B4" i="18" l="1"/>
  <c r="C9" i="18"/>
  <c r="F42" i="4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<sst xmlns="http://schemas.openxmlformats.org/spreadsheetml/2006/main" count="739" uniqueCount="302">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</sst>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5" borderId="0" xfId="0" applyFont="1" applyFill="1"/>
    <xf numFmtId="0" fontId="0" fillId="15" borderId="0" xfId="0" applyFill="1"/>
    <xf numFmtId="0" fontId="6" fillId="17" borderId="0" xfId="0" applyFont="1" applyFill="1"/>
    <xf numFmtId="0" fontId="6" fillId="25" borderId="0" xfId="0" applyFont="1" applyFill="1"/>
    <xf numFmtId="0" fontId="0" fillId="25" borderId="0" xfId="0" applyFill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tabSelected="1" topLeftCell="A8" workbookViewId="0">
      <selection activeCell="F36" sqref="F36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4" t="s">
        <v>0</v>
      </c>
    </row>
    <row r="3" spans="1:12" x14ac:dyDescent="0.35">
      <c r="A3" s="46" t="s">
        <v>1</v>
      </c>
      <c r="D3" s="110"/>
      <c r="E3" s="108" t="s">
        <v>2</v>
      </c>
    </row>
    <row r="4" spans="1:12" x14ac:dyDescent="0.35">
      <c r="A4" s="148" t="s">
        <v>3</v>
      </c>
      <c r="B4">
        <v>650</v>
      </c>
      <c r="C4" t="s">
        <v>4</v>
      </c>
      <c r="E4" s="109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8" t="s">
        <v>7</v>
      </c>
      <c r="B5">
        <v>0.45</v>
      </c>
      <c r="E5" s="109" t="s">
        <v>8</v>
      </c>
      <c r="F5">
        <v>450</v>
      </c>
    </row>
    <row r="6" spans="1:12" x14ac:dyDescent="0.35">
      <c r="A6" s="148" t="s">
        <v>9</v>
      </c>
      <c r="B6">
        <v>61</v>
      </c>
      <c r="E6" s="109" t="s">
        <v>10</v>
      </c>
      <c r="F6" s="48">
        <v>0</v>
      </c>
      <c r="G6" s="151" t="s">
        <v>11</v>
      </c>
      <c r="H6" s="151" t="s">
        <v>12</v>
      </c>
      <c r="I6" t="s">
        <v>13</v>
      </c>
      <c r="J6" s="151" t="s">
        <v>14</v>
      </c>
      <c r="K6">
        <v>1000</v>
      </c>
      <c r="L6" t="s">
        <v>13</v>
      </c>
    </row>
    <row r="7" spans="1:12" x14ac:dyDescent="0.35">
      <c r="A7" s="148" t="s">
        <v>15</v>
      </c>
      <c r="B7">
        <v>48</v>
      </c>
      <c r="E7" s="109" t="s">
        <v>16</v>
      </c>
      <c r="F7" s="48">
        <v>0</v>
      </c>
      <c r="G7" s="151" t="s">
        <v>17</v>
      </c>
      <c r="H7" s="151" t="s">
        <v>12</v>
      </c>
      <c r="I7" t="s">
        <v>13</v>
      </c>
      <c r="J7" s="151" t="s">
        <v>18</v>
      </c>
      <c r="K7">
        <v>1000</v>
      </c>
      <c r="L7" t="s">
        <v>13</v>
      </c>
    </row>
    <row r="8" spans="1:12" x14ac:dyDescent="0.35">
      <c r="A8" s="148" t="s">
        <v>19</v>
      </c>
      <c r="B8">
        <v>44</v>
      </c>
      <c r="E8" s="109" t="s">
        <v>20</v>
      </c>
      <c r="F8">
        <v>1</v>
      </c>
    </row>
    <row r="9" spans="1:12" x14ac:dyDescent="0.35">
      <c r="A9" s="148" t="s">
        <v>21</v>
      </c>
      <c r="B9">
        <v>8.5</v>
      </c>
      <c r="E9" s="109" t="s">
        <v>22</v>
      </c>
      <c r="F9">
        <v>1</v>
      </c>
    </row>
    <row r="10" spans="1:12" x14ac:dyDescent="0.35">
      <c r="A10" s="148" t="s">
        <v>23</v>
      </c>
      <c r="B10">
        <v>8</v>
      </c>
      <c r="E10" s="109" t="s">
        <v>24</v>
      </c>
      <c r="F10">
        <v>1</v>
      </c>
    </row>
    <row r="11" spans="1:12" x14ac:dyDescent="0.35">
      <c r="A11" s="148" t="s">
        <v>25</v>
      </c>
      <c r="B11">
        <v>8</v>
      </c>
      <c r="E11" s="109" t="s">
        <v>26</v>
      </c>
      <c r="F11">
        <v>1</v>
      </c>
    </row>
    <row r="12" spans="1:12" x14ac:dyDescent="0.35">
      <c r="A12" s="148" t="s">
        <v>27</v>
      </c>
      <c r="B12">
        <v>8</v>
      </c>
      <c r="E12" s="109" t="s">
        <v>28</v>
      </c>
      <c r="F12">
        <v>12</v>
      </c>
    </row>
    <row r="13" spans="1:12" x14ac:dyDescent="0.35">
      <c r="A13" s="148" t="s">
        <v>29</v>
      </c>
      <c r="B13">
        <v>0.93740000000000001</v>
      </c>
      <c r="E13" s="109" t="s">
        <v>30</v>
      </c>
      <c r="F13">
        <v>12</v>
      </c>
    </row>
    <row r="14" spans="1:12" x14ac:dyDescent="0.35">
      <c r="A14" s="148" t="s">
        <v>31</v>
      </c>
      <c r="B14">
        <v>1.6571</v>
      </c>
      <c r="E14" s="109" t="s">
        <v>32</v>
      </c>
      <c r="F14">
        <v>12</v>
      </c>
    </row>
    <row r="15" spans="1:12" x14ac:dyDescent="0.35">
      <c r="A15" s="149" t="s">
        <v>33</v>
      </c>
      <c r="B15">
        <f>1-B5</f>
        <v>0.55000000000000004</v>
      </c>
      <c r="C15" s="107" t="s">
        <v>34</v>
      </c>
      <c r="E15" s="109" t="s">
        <v>35</v>
      </c>
      <c r="F15">
        <v>12</v>
      </c>
    </row>
    <row r="16" spans="1:12" x14ac:dyDescent="0.35">
      <c r="A16" s="149" t="s">
        <v>36</v>
      </c>
      <c r="B16">
        <f>B6*B15</f>
        <v>33.550000000000004</v>
      </c>
      <c r="D16" s="46"/>
      <c r="E16" s="109" t="s">
        <v>37</v>
      </c>
      <c r="F16">
        <v>-0.12655</v>
      </c>
    </row>
    <row r="17" spans="1:7" x14ac:dyDescent="0.35">
      <c r="A17" s="149" t="s">
        <v>38</v>
      </c>
      <c r="B17">
        <f>B6*B5</f>
        <v>27.45</v>
      </c>
      <c r="E17" s="109" t="s">
        <v>39</v>
      </c>
      <c r="F17">
        <v>-0.5</v>
      </c>
    </row>
    <row r="18" spans="1:7" x14ac:dyDescent="0.35">
      <c r="A18" s="149" t="s">
        <v>40</v>
      </c>
      <c r="B18">
        <f>(B5*B4)/2</f>
        <v>146.25</v>
      </c>
      <c r="E18" s="109" t="s">
        <v>41</v>
      </c>
      <c r="F18">
        <v>0</v>
      </c>
    </row>
    <row r="19" spans="1:7" x14ac:dyDescent="0.35">
      <c r="A19" s="149" t="s">
        <v>42</v>
      </c>
      <c r="B19">
        <f>(B15*B4)/2</f>
        <v>178.75000000000003</v>
      </c>
      <c r="E19" s="109" t="s">
        <v>43</v>
      </c>
      <c r="F19">
        <v>0</v>
      </c>
    </row>
    <row r="20" spans="1:7" x14ac:dyDescent="0.35">
      <c r="A20" s="149" t="s">
        <v>44</v>
      </c>
      <c r="B20">
        <f>B9-B13</f>
        <v>7.5625999999999998</v>
      </c>
      <c r="E20" s="109" t="s">
        <v>45</v>
      </c>
      <c r="F20">
        <v>0</v>
      </c>
    </row>
    <row r="21" spans="1:7" x14ac:dyDescent="0.35">
      <c r="A21" s="149" t="s">
        <v>46</v>
      </c>
      <c r="B21">
        <f>B9-B14</f>
        <v>6.8429000000000002</v>
      </c>
      <c r="E21" s="109" t="s">
        <v>47</v>
      </c>
      <c r="F21">
        <v>8</v>
      </c>
    </row>
    <row r="22" spans="1:7" x14ac:dyDescent="0.35">
      <c r="A22" s="149" t="s">
        <v>48</v>
      </c>
      <c r="B22">
        <f>B20+(((B21-B20)/B6)*B16)</f>
        <v>7.1667649999999998</v>
      </c>
      <c r="E22" s="109" t="s">
        <v>49</v>
      </c>
      <c r="F22">
        <v>8</v>
      </c>
    </row>
    <row r="24" spans="1:7" x14ac:dyDescent="0.35">
      <c r="A24" s="112" t="s">
        <v>50</v>
      </c>
      <c r="E24" s="115" t="s">
        <v>51</v>
      </c>
      <c r="F24" s="146"/>
      <c r="G24" s="146"/>
    </row>
    <row r="25" spans="1:7" x14ac:dyDescent="0.35">
      <c r="A25" s="111" t="s">
        <v>52</v>
      </c>
      <c r="B25">
        <v>0</v>
      </c>
      <c r="C25" t="s">
        <v>4</v>
      </c>
      <c r="E25" s="147" t="s">
        <v>53</v>
      </c>
      <c r="F25">
        <v>1.45</v>
      </c>
      <c r="G25" t="s">
        <v>4</v>
      </c>
    </row>
    <row r="26" spans="1:7" x14ac:dyDescent="0.35">
      <c r="A26" s="111" t="s">
        <v>54</v>
      </c>
      <c r="B26">
        <v>0</v>
      </c>
      <c r="E26" s="147" t="s">
        <v>55</v>
      </c>
      <c r="F26">
        <v>1</v>
      </c>
    </row>
    <row r="27" spans="1:7" x14ac:dyDescent="0.35">
      <c r="A27" s="111" t="s">
        <v>56</v>
      </c>
      <c r="B27">
        <v>1019.902</v>
      </c>
      <c r="E27" s="147" t="s">
        <v>57</v>
      </c>
      <c r="F27">
        <v>0.3</v>
      </c>
    </row>
    <row r="28" spans="1:7" x14ac:dyDescent="0.35">
      <c r="A28" s="111" t="s">
        <v>58</v>
      </c>
      <c r="B28" s="48">
        <v>4.3000000000000002E-5</v>
      </c>
      <c r="E28" s="147" t="s">
        <v>59</v>
      </c>
      <c r="F28">
        <v>4</v>
      </c>
    </row>
    <row r="29" spans="1:7" x14ac:dyDescent="0.35">
      <c r="A29" s="111" t="s">
        <v>60</v>
      </c>
      <c r="B29">
        <v>0.4</v>
      </c>
      <c r="E29" s="147" t="s">
        <v>61</v>
      </c>
      <c r="F29">
        <v>0.625</v>
      </c>
    </row>
    <row r="30" spans="1:7" x14ac:dyDescent="0.35">
      <c r="A30" s="113" t="s">
        <v>62</v>
      </c>
      <c r="B30">
        <f>1-B29</f>
        <v>0.6</v>
      </c>
      <c r="C30" s="107" t="s">
        <v>34</v>
      </c>
      <c r="E30" s="147" t="s">
        <v>63</v>
      </c>
      <c r="F30">
        <v>6.28</v>
      </c>
    </row>
    <row r="31" spans="1:7" x14ac:dyDescent="0.35">
      <c r="E31" s="147" t="s">
        <v>64</v>
      </c>
      <c r="F31">
        <v>1.45</v>
      </c>
    </row>
    <row r="32" spans="1:7" s="146" customFormat="1" x14ac:dyDescent="0.35">
      <c r="A32" s="110" t="s">
        <v>65</v>
      </c>
      <c r="B32"/>
      <c r="C32"/>
      <c r="E32" s="147" t="s">
        <v>66</v>
      </c>
      <c r="F32">
        <v>1</v>
      </c>
      <c r="G32"/>
    </row>
    <row r="33" spans="1:7" x14ac:dyDescent="0.35">
      <c r="A33" s="102" t="s">
        <v>67</v>
      </c>
      <c r="B33">
        <v>3.8570000000000002</v>
      </c>
      <c r="C33" t="s">
        <v>4</v>
      </c>
      <c r="E33" s="147" t="s">
        <v>68</v>
      </c>
      <c r="F33">
        <v>0.3</v>
      </c>
    </row>
    <row r="34" spans="1:7" x14ac:dyDescent="0.35">
      <c r="E34" s="147" t="s">
        <v>69</v>
      </c>
      <c r="F34">
        <v>2</v>
      </c>
    </row>
    <row r="35" spans="1:7" x14ac:dyDescent="0.35">
      <c r="B35">
        <v>-4.1486000000000001</v>
      </c>
      <c r="E35" s="147" t="s">
        <v>70</v>
      </c>
      <c r="F35">
        <v>0.625</v>
      </c>
    </row>
    <row r="36" spans="1:7" x14ac:dyDescent="0.35">
      <c r="B36">
        <v>1.425</v>
      </c>
      <c r="E36" s="147" t="s">
        <v>71</v>
      </c>
      <c r="F36">
        <v>6.8</v>
      </c>
    </row>
    <row r="37" spans="1:7" x14ac:dyDescent="0.35">
      <c r="E37" s="147" t="s">
        <v>72</v>
      </c>
      <c r="F37">
        <v>6</v>
      </c>
    </row>
    <row r="38" spans="1:7" x14ac:dyDescent="0.35">
      <c r="B38" s="48"/>
      <c r="E38" s="147" t="s">
        <v>73</v>
      </c>
      <c r="F38">
        <v>0.5</v>
      </c>
    </row>
    <row r="39" spans="1:7" x14ac:dyDescent="0.35">
      <c r="E39" s="150" t="s">
        <v>74</v>
      </c>
      <c r="F39">
        <f>(PI()*(F26/2)^2)*F28</f>
        <v>3.1415926535897931</v>
      </c>
      <c r="G39" t="s">
        <v>34</v>
      </c>
    </row>
    <row r="40" spans="1:7" x14ac:dyDescent="0.35">
      <c r="E40" s="150" t="s">
        <v>75</v>
      </c>
      <c r="F40">
        <f>(PI()*(F29/2)^2)</f>
        <v>0.30679615757712825</v>
      </c>
    </row>
    <row r="41" spans="1:7" x14ac:dyDescent="0.35">
      <c r="E41" s="150" t="s">
        <v>76</v>
      </c>
      <c r="F41">
        <f>(PI()*(F32/2)^2)*F34</f>
        <v>1.5707963267948966</v>
      </c>
    </row>
    <row r="42" spans="1:7" x14ac:dyDescent="0.35">
      <c r="E42" s="150" t="s">
        <v>77</v>
      </c>
      <c r="F42">
        <f>(PI()*(F35/2)^2)</f>
        <v>0.30679615757712825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5"/>
    </row>
    <row r="2" spans="1:50" ht="15.5" x14ac:dyDescent="0.35">
      <c r="L2" s="99" t="s">
        <v>79</v>
      </c>
      <c r="Q2" s="99" t="s">
        <v>80</v>
      </c>
      <c r="V2" s="99" t="s">
        <v>81</v>
      </c>
      <c r="AA2" s="99" t="s">
        <v>82</v>
      </c>
      <c r="AF2" s="116" t="s">
        <v>83</v>
      </c>
    </row>
    <row r="3" spans="1:50" ht="15" thickBot="1" x14ac:dyDescent="0.4">
      <c r="AF3" s="117" t="s">
        <v>84</v>
      </c>
      <c r="AG3" s="118"/>
      <c r="AH3" s="119" t="s">
        <v>85</v>
      </c>
      <c r="AI3" s="118"/>
      <c r="AJ3" s="120"/>
    </row>
    <row r="4" spans="1:50" ht="15" thickBot="1" x14ac:dyDescent="0.4">
      <c r="AF4" s="121" t="s">
        <v>86</v>
      </c>
      <c r="AG4" s="122" t="s">
        <v>87</v>
      </c>
      <c r="AH4" s="122" t="s">
        <v>88</v>
      </c>
      <c r="AI4" s="122" t="s">
        <v>89</v>
      </c>
      <c r="AJ4" s="123" t="s">
        <v>90</v>
      </c>
    </row>
    <row r="5" spans="1:50" x14ac:dyDescent="0.35">
      <c r="AF5" s="124">
        <v>6</v>
      </c>
      <c r="AG5" s="125">
        <v>4</v>
      </c>
      <c r="AH5" s="125">
        <v>47</v>
      </c>
      <c r="AI5" s="125">
        <v>44</v>
      </c>
      <c r="AJ5" s="126">
        <v>48</v>
      </c>
    </row>
    <row r="6" spans="1:50" ht="15" thickBot="1" x14ac:dyDescent="0.4">
      <c r="AF6" s="127">
        <v>9</v>
      </c>
      <c r="AG6" s="128">
        <v>5</v>
      </c>
      <c r="AH6" s="128">
        <v>45</v>
      </c>
      <c r="AI6" s="128">
        <v>43</v>
      </c>
      <c r="AJ6" s="129">
        <v>49</v>
      </c>
    </row>
    <row r="7" spans="1:50" ht="15" thickBot="1" x14ac:dyDescent="0.4">
      <c r="AF7" s="130"/>
      <c r="AG7" s="131"/>
      <c r="AH7" s="131"/>
      <c r="AI7" s="131"/>
      <c r="AJ7" s="132"/>
    </row>
    <row r="8" spans="1:50" x14ac:dyDescent="0.35">
      <c r="AF8" s="133"/>
      <c r="AG8" s="134"/>
      <c r="AH8" s="134"/>
      <c r="AI8" s="134"/>
      <c r="AJ8" s="135"/>
    </row>
    <row r="9" spans="1:50" ht="21" x14ac:dyDescent="0.35">
      <c r="A9" s="99" t="s">
        <v>79</v>
      </c>
      <c r="AF9" s="136"/>
    </row>
    <row r="10" spans="1:50" ht="15.5" x14ac:dyDescent="0.35">
      <c r="AF10" s="116"/>
    </row>
    <row r="11" spans="1:50" ht="15.5" x14ac:dyDescent="0.35">
      <c r="AF11" s="116"/>
      <c r="AX11" s="46"/>
    </row>
    <row r="12" spans="1:50" x14ac:dyDescent="0.35">
      <c r="AF12" s="137"/>
      <c r="AG12" s="137"/>
      <c r="AH12" s="137"/>
      <c r="AI12" s="137"/>
      <c r="AJ12" s="137"/>
      <c r="AK12" s="137"/>
      <c r="AL12" s="137"/>
      <c r="AM12" s="137"/>
    </row>
    <row r="13" spans="1:50" x14ac:dyDescent="0.35">
      <c r="AF13" s="137"/>
      <c r="AG13" s="137"/>
      <c r="AH13" s="137"/>
      <c r="AI13" s="137"/>
      <c r="AJ13" s="137"/>
      <c r="AK13" s="137"/>
      <c r="AL13" s="137"/>
      <c r="AM13" s="137"/>
    </row>
    <row r="14" spans="1:50" x14ac:dyDescent="0.35">
      <c r="AF14" s="137"/>
      <c r="AG14" s="137"/>
      <c r="AH14" s="137"/>
      <c r="AI14" s="137"/>
      <c r="AJ14" s="137"/>
      <c r="AK14" s="137"/>
      <c r="AL14" s="137"/>
      <c r="AM14" s="137"/>
    </row>
    <row r="15" spans="1:50" x14ac:dyDescent="0.35">
      <c r="AF15" s="138"/>
      <c r="AG15" s="138"/>
      <c r="AH15" s="138"/>
      <c r="AI15" s="138"/>
      <c r="AJ15" s="138"/>
      <c r="AK15" s="138"/>
      <c r="AL15" s="138"/>
      <c r="AM15" s="138"/>
    </row>
    <row r="16" spans="1:50" x14ac:dyDescent="0.35">
      <c r="AF16" s="138"/>
      <c r="AG16" s="138"/>
      <c r="AH16" s="138"/>
      <c r="AI16" s="138"/>
      <c r="AJ16" s="138"/>
      <c r="AK16" s="138"/>
      <c r="AL16" s="138"/>
      <c r="AM16" s="138"/>
    </row>
    <row r="17" spans="1:39" x14ac:dyDescent="0.35">
      <c r="AF17" s="138"/>
      <c r="AG17" s="138"/>
      <c r="AH17" s="138"/>
      <c r="AI17" s="138"/>
      <c r="AJ17" s="138"/>
      <c r="AK17" s="138"/>
      <c r="AL17" s="138"/>
      <c r="AM17" s="138"/>
    </row>
    <row r="18" spans="1:39" x14ac:dyDescent="0.35">
      <c r="AF18" s="138"/>
      <c r="AG18" s="138"/>
      <c r="AH18" s="138"/>
      <c r="AI18" s="138"/>
      <c r="AJ18" s="138"/>
      <c r="AK18" s="138"/>
      <c r="AL18" s="138"/>
      <c r="AM18" s="138"/>
    </row>
    <row r="19" spans="1:39" x14ac:dyDescent="0.35">
      <c r="AF19" s="138"/>
      <c r="AG19" s="138"/>
      <c r="AH19" s="138"/>
      <c r="AI19" s="138"/>
      <c r="AJ19" s="138"/>
      <c r="AK19" s="138"/>
      <c r="AL19" s="138"/>
      <c r="AM19" s="138"/>
    </row>
    <row r="20" spans="1:39" x14ac:dyDescent="0.35">
      <c r="AF20" s="138"/>
      <c r="AG20" s="138"/>
      <c r="AH20" s="138"/>
      <c r="AI20" s="138"/>
      <c r="AJ20" s="138"/>
      <c r="AK20" s="138"/>
      <c r="AL20" s="138"/>
      <c r="AM20" s="138"/>
    </row>
    <row r="21" spans="1:39" x14ac:dyDescent="0.35">
      <c r="AF21" s="138"/>
      <c r="AG21" s="138"/>
      <c r="AH21" s="138"/>
      <c r="AI21" s="138"/>
      <c r="AJ21" s="138"/>
      <c r="AK21" s="138"/>
      <c r="AL21" s="138"/>
      <c r="AM21" s="138"/>
    </row>
    <row r="22" spans="1:39" x14ac:dyDescent="0.35">
      <c r="A22" s="99" t="s">
        <v>80</v>
      </c>
      <c r="AF22" s="138"/>
      <c r="AG22" s="138"/>
      <c r="AH22" s="138"/>
      <c r="AI22" s="138"/>
      <c r="AJ22" s="138"/>
      <c r="AK22" s="138"/>
      <c r="AL22" s="138"/>
      <c r="AM22" s="138"/>
    </row>
    <row r="23" spans="1:39" x14ac:dyDescent="0.35">
      <c r="AF23" s="138"/>
      <c r="AG23" s="138"/>
      <c r="AH23" s="138"/>
      <c r="AI23" s="138"/>
      <c r="AJ23" s="138"/>
      <c r="AK23" s="138"/>
      <c r="AL23" s="138"/>
      <c r="AM23" s="138"/>
    </row>
    <row r="24" spans="1:39" x14ac:dyDescent="0.35">
      <c r="AF24" s="138"/>
      <c r="AG24" s="138"/>
      <c r="AH24" s="138"/>
      <c r="AI24" s="138"/>
      <c r="AJ24" s="138"/>
      <c r="AK24" s="138"/>
      <c r="AL24" s="138"/>
      <c r="AM24" s="138"/>
    </row>
    <row r="25" spans="1:39" x14ac:dyDescent="0.35">
      <c r="AF25" s="138"/>
      <c r="AG25" s="138"/>
      <c r="AH25" s="138"/>
      <c r="AI25" s="138"/>
      <c r="AJ25" s="138"/>
      <c r="AK25" s="138"/>
      <c r="AL25" s="138"/>
      <c r="AM25" s="138"/>
    </row>
    <row r="26" spans="1:39" x14ac:dyDescent="0.35">
      <c r="AF26" s="138"/>
      <c r="AG26" s="138"/>
      <c r="AH26" s="138"/>
      <c r="AI26" s="138"/>
      <c r="AJ26" s="138"/>
      <c r="AK26" s="138"/>
      <c r="AL26" s="138"/>
      <c r="AM26" s="138"/>
    </row>
    <row r="27" spans="1:39" x14ac:dyDescent="0.35">
      <c r="AF27" s="138"/>
      <c r="AG27" s="138"/>
      <c r="AH27" s="138"/>
      <c r="AI27" s="138"/>
      <c r="AJ27" s="138"/>
      <c r="AK27" s="138"/>
      <c r="AL27" s="138"/>
      <c r="AM27" s="138"/>
    </row>
    <row r="28" spans="1:39" x14ac:dyDescent="0.35">
      <c r="AF28" s="138"/>
      <c r="AG28" s="138"/>
      <c r="AH28" s="138"/>
      <c r="AI28" s="138"/>
      <c r="AJ28" s="138"/>
      <c r="AK28" s="138"/>
      <c r="AL28" s="138"/>
      <c r="AM28" s="138"/>
    </row>
    <row r="29" spans="1:39" x14ac:dyDescent="0.35">
      <c r="AF29" s="138"/>
      <c r="AG29" s="138"/>
      <c r="AH29" s="138"/>
      <c r="AI29" s="138"/>
      <c r="AJ29" s="138"/>
      <c r="AK29" s="138"/>
      <c r="AL29" s="138"/>
      <c r="AM29" s="138"/>
    </row>
    <row r="30" spans="1:39" x14ac:dyDescent="0.35">
      <c r="AF30" s="138"/>
      <c r="AG30" s="138"/>
      <c r="AH30" s="138"/>
      <c r="AI30" s="138"/>
      <c r="AJ30" s="138"/>
      <c r="AK30" s="138"/>
      <c r="AL30" s="138"/>
      <c r="AM30" s="138"/>
    </row>
    <row r="31" spans="1:39" x14ac:dyDescent="0.35">
      <c r="L31" s="99"/>
      <c r="Q31" s="99"/>
      <c r="AF31" s="138"/>
      <c r="AG31" s="138"/>
      <c r="AH31" s="138"/>
      <c r="AI31" s="138"/>
      <c r="AJ31" s="138"/>
      <c r="AK31" s="138"/>
      <c r="AL31" s="138"/>
      <c r="AM31" s="138"/>
    </row>
    <row r="32" spans="1:39" x14ac:dyDescent="0.35">
      <c r="AF32" s="138"/>
      <c r="AG32" s="138"/>
      <c r="AH32" s="138"/>
      <c r="AI32" s="138"/>
      <c r="AJ32" s="138"/>
      <c r="AK32" s="138"/>
      <c r="AL32" s="138"/>
      <c r="AM32" s="138"/>
    </row>
    <row r="33" spans="1:39" x14ac:dyDescent="0.35">
      <c r="AF33" s="138"/>
      <c r="AG33" s="138"/>
      <c r="AH33" s="138"/>
      <c r="AI33" s="138"/>
      <c r="AJ33" s="138"/>
      <c r="AK33" s="138"/>
      <c r="AL33" s="138"/>
      <c r="AM33" s="138"/>
    </row>
    <row r="34" spans="1:39" x14ac:dyDescent="0.35">
      <c r="AF34" s="138"/>
      <c r="AG34" s="138"/>
      <c r="AH34" s="138"/>
      <c r="AI34" s="138"/>
      <c r="AJ34" s="138"/>
      <c r="AK34" s="138"/>
      <c r="AL34" s="138"/>
      <c r="AM34" s="138"/>
    </row>
    <row r="35" spans="1:39" x14ac:dyDescent="0.35">
      <c r="A35" s="99" t="s">
        <v>81</v>
      </c>
      <c r="AF35" s="138"/>
      <c r="AG35" s="138"/>
      <c r="AH35" s="138"/>
      <c r="AI35" s="138"/>
      <c r="AJ35" s="138"/>
      <c r="AK35" s="138"/>
      <c r="AL35" s="138"/>
      <c r="AM35" s="138"/>
    </row>
    <row r="36" spans="1:39" x14ac:dyDescent="0.35">
      <c r="AF36" s="138"/>
      <c r="AG36" s="138"/>
      <c r="AH36" s="138"/>
      <c r="AI36" s="138"/>
      <c r="AJ36" s="138"/>
      <c r="AK36" s="138"/>
      <c r="AL36" s="138"/>
      <c r="AM36" s="138"/>
    </row>
    <row r="37" spans="1:39" x14ac:dyDescent="0.35">
      <c r="AF37" s="138"/>
      <c r="AG37" s="138"/>
      <c r="AH37" s="138"/>
      <c r="AI37" s="138"/>
      <c r="AJ37" s="138"/>
      <c r="AK37" s="138"/>
      <c r="AL37" s="138"/>
      <c r="AM37" s="138"/>
    </row>
    <row r="38" spans="1:39" x14ac:dyDescent="0.35">
      <c r="AF38" s="138"/>
      <c r="AG38" s="138"/>
      <c r="AH38" s="138"/>
      <c r="AI38" s="138"/>
      <c r="AJ38" s="138"/>
      <c r="AK38" s="138"/>
      <c r="AL38" s="138"/>
      <c r="AM38" s="138"/>
    </row>
    <row r="39" spans="1:39" x14ac:dyDescent="0.35">
      <c r="AF39" s="138"/>
      <c r="AG39" s="138"/>
      <c r="AH39" s="138"/>
      <c r="AI39" s="138"/>
      <c r="AJ39" s="138"/>
      <c r="AK39" s="138"/>
      <c r="AL39" s="138"/>
      <c r="AM39" s="138"/>
    </row>
    <row r="40" spans="1:39" x14ac:dyDescent="0.35">
      <c r="AF40" s="138"/>
      <c r="AG40" s="138"/>
      <c r="AH40" s="138"/>
      <c r="AI40" s="138"/>
      <c r="AJ40" s="138"/>
      <c r="AK40" s="138"/>
      <c r="AL40" s="138"/>
      <c r="AM40" s="138"/>
    </row>
    <row r="41" spans="1:39" x14ac:dyDescent="0.35">
      <c r="AF41" s="138"/>
      <c r="AG41" s="138"/>
      <c r="AH41" s="138"/>
      <c r="AI41" s="138"/>
      <c r="AJ41" s="138"/>
      <c r="AK41" s="138"/>
      <c r="AL41" s="138"/>
      <c r="AM41" s="138"/>
    </row>
    <row r="42" spans="1:39" x14ac:dyDescent="0.35">
      <c r="AF42" s="138"/>
      <c r="AG42" s="138"/>
      <c r="AH42" s="138"/>
      <c r="AI42" s="138"/>
      <c r="AJ42" s="138"/>
      <c r="AK42" s="138"/>
      <c r="AL42" s="138"/>
      <c r="AM42" s="138"/>
    </row>
    <row r="43" spans="1:39" x14ac:dyDescent="0.35">
      <c r="AF43" s="138"/>
      <c r="AG43" s="138"/>
      <c r="AH43" s="138"/>
      <c r="AI43" s="138"/>
      <c r="AJ43" s="138"/>
      <c r="AK43" s="138"/>
      <c r="AL43" s="138"/>
      <c r="AM43" s="138"/>
    </row>
    <row r="44" spans="1:39" x14ac:dyDescent="0.35">
      <c r="AF44" s="138"/>
      <c r="AG44" s="138"/>
      <c r="AH44" s="138"/>
      <c r="AI44" s="138"/>
      <c r="AJ44" s="138"/>
      <c r="AK44" s="138"/>
      <c r="AL44" s="138"/>
      <c r="AM44" s="138"/>
    </row>
    <row r="45" spans="1:39" x14ac:dyDescent="0.35">
      <c r="AF45" s="138"/>
      <c r="AG45" s="138"/>
      <c r="AH45" s="138"/>
      <c r="AI45" s="138"/>
      <c r="AJ45" s="138"/>
      <c r="AK45" s="138"/>
      <c r="AL45" s="138"/>
      <c r="AM45" s="138"/>
    </row>
    <row r="46" spans="1:39" x14ac:dyDescent="0.35">
      <c r="AF46" s="138"/>
      <c r="AG46" s="138"/>
      <c r="AH46" s="138"/>
      <c r="AI46" s="138"/>
      <c r="AJ46" s="138"/>
      <c r="AK46" s="138"/>
      <c r="AL46" s="138"/>
      <c r="AM46" s="138"/>
    </row>
    <row r="47" spans="1:39" x14ac:dyDescent="0.35">
      <c r="AF47" s="138"/>
      <c r="AG47" s="138"/>
      <c r="AH47" s="138"/>
      <c r="AI47" s="138"/>
      <c r="AJ47" s="138"/>
      <c r="AK47" s="138"/>
      <c r="AL47" s="138"/>
      <c r="AM47" s="138"/>
    </row>
    <row r="48" spans="1:39" x14ac:dyDescent="0.35">
      <c r="A48" s="99" t="s">
        <v>82</v>
      </c>
      <c r="AF48" s="138"/>
      <c r="AG48" s="138"/>
      <c r="AH48" s="138"/>
      <c r="AI48" s="138"/>
      <c r="AJ48" s="138"/>
      <c r="AK48" s="138"/>
      <c r="AL48" s="138"/>
      <c r="AM48" s="138"/>
    </row>
    <row r="49" spans="32:39" x14ac:dyDescent="0.35">
      <c r="AF49" s="138"/>
      <c r="AG49" s="138"/>
      <c r="AH49" s="138"/>
      <c r="AI49" s="138"/>
      <c r="AJ49" s="138"/>
      <c r="AK49" s="138"/>
      <c r="AL49" s="138"/>
      <c r="AM49" s="138"/>
    </row>
    <row r="50" spans="32:39" x14ac:dyDescent="0.35">
      <c r="AF50" s="138"/>
      <c r="AG50" s="138"/>
      <c r="AH50" s="138"/>
      <c r="AI50" s="138"/>
      <c r="AJ50" s="138"/>
      <c r="AK50" s="138"/>
      <c r="AL50" s="138"/>
      <c r="AM50" s="138"/>
    </row>
    <row r="51" spans="32:39" x14ac:dyDescent="0.35">
      <c r="AF51" s="138"/>
      <c r="AG51" s="138"/>
      <c r="AH51" s="138"/>
      <c r="AI51" s="138"/>
      <c r="AJ51" s="138"/>
      <c r="AK51" s="138"/>
      <c r="AL51" s="138"/>
      <c r="AM51" s="138"/>
    </row>
    <row r="52" spans="32:39" x14ac:dyDescent="0.35">
      <c r="AF52" s="138"/>
      <c r="AG52" s="138"/>
      <c r="AH52" s="138"/>
      <c r="AI52" s="138"/>
      <c r="AJ52" s="138"/>
      <c r="AK52" s="138"/>
      <c r="AL52" s="138"/>
      <c r="AM52" s="138"/>
    </row>
    <row r="53" spans="32:39" x14ac:dyDescent="0.35">
      <c r="AF53" s="138"/>
      <c r="AG53" s="138"/>
      <c r="AH53" s="138"/>
      <c r="AI53" s="138"/>
      <c r="AJ53" s="138"/>
      <c r="AK53" s="138"/>
      <c r="AL53" s="138"/>
      <c r="AM53" s="138"/>
    </row>
    <row r="54" spans="32:39" x14ac:dyDescent="0.35">
      <c r="AF54" s="138"/>
      <c r="AG54" s="138"/>
      <c r="AH54" s="138"/>
      <c r="AI54" s="138"/>
      <c r="AJ54" s="138"/>
      <c r="AK54" s="138"/>
      <c r="AL54" s="138"/>
      <c r="AM54" s="138"/>
    </row>
    <row r="55" spans="32:39" x14ac:dyDescent="0.35">
      <c r="AF55" s="138"/>
      <c r="AG55" s="138"/>
      <c r="AH55" s="138"/>
      <c r="AI55" s="138"/>
      <c r="AJ55" s="138"/>
      <c r="AK55" s="138"/>
      <c r="AL55" s="138"/>
      <c r="AM55" s="138"/>
    </row>
    <row r="56" spans="32:39" x14ac:dyDescent="0.35">
      <c r="AF56" s="138"/>
      <c r="AG56" s="138"/>
      <c r="AH56" s="138"/>
      <c r="AI56" s="138"/>
      <c r="AJ56" s="138"/>
      <c r="AK56" s="138"/>
      <c r="AL56" s="138"/>
      <c r="AM56" s="138"/>
    </row>
    <row r="57" spans="32:39" x14ac:dyDescent="0.35">
      <c r="AF57" s="138"/>
      <c r="AG57" s="138"/>
      <c r="AH57" s="138"/>
      <c r="AI57" s="138"/>
      <c r="AJ57" s="138"/>
      <c r="AK57" s="138"/>
      <c r="AL57" s="138"/>
      <c r="AM57" s="138"/>
    </row>
    <row r="58" spans="32:39" x14ac:dyDescent="0.35">
      <c r="AF58" s="138"/>
      <c r="AG58" s="138"/>
      <c r="AH58" s="138"/>
      <c r="AI58" s="138"/>
      <c r="AJ58" s="138"/>
      <c r="AK58" s="138"/>
      <c r="AL58" s="138"/>
      <c r="AM58" s="138"/>
    </row>
    <row r="59" spans="32:39" x14ac:dyDescent="0.35">
      <c r="AF59" s="138"/>
      <c r="AG59" s="138"/>
      <c r="AH59" s="138"/>
      <c r="AI59" s="138"/>
      <c r="AJ59" s="138"/>
      <c r="AK59" s="138"/>
      <c r="AL59" s="138"/>
      <c r="AM59" s="138"/>
    </row>
    <row r="60" spans="32:39" x14ac:dyDescent="0.35">
      <c r="AF60" s="138"/>
      <c r="AG60" s="138"/>
      <c r="AH60" s="138"/>
      <c r="AI60" s="138"/>
      <c r="AJ60" s="138"/>
      <c r="AK60" s="138"/>
      <c r="AL60" s="138"/>
      <c r="AM60" s="138"/>
    </row>
    <row r="61" spans="32:39" x14ac:dyDescent="0.35">
      <c r="AF61" s="138"/>
      <c r="AG61" s="138"/>
      <c r="AH61" s="138"/>
      <c r="AI61" s="138"/>
      <c r="AJ61" s="138"/>
      <c r="AK61" s="138"/>
      <c r="AL61" s="138"/>
      <c r="AM61" s="138"/>
    </row>
    <row r="62" spans="32:39" x14ac:dyDescent="0.35">
      <c r="AF62" s="138"/>
      <c r="AG62" s="138"/>
      <c r="AH62" s="138"/>
      <c r="AI62" s="138"/>
      <c r="AJ62" s="138"/>
      <c r="AK62" s="138"/>
      <c r="AL62" s="138"/>
      <c r="AM62" s="138"/>
    </row>
    <row r="63" spans="32:39" x14ac:dyDescent="0.35">
      <c r="AF63" s="138"/>
      <c r="AG63" s="138"/>
      <c r="AH63" s="138"/>
      <c r="AI63" s="138"/>
      <c r="AJ63" s="138"/>
      <c r="AK63" s="138"/>
      <c r="AL63" s="138"/>
      <c r="AM63" s="138"/>
    </row>
    <row r="64" spans="32:39" x14ac:dyDescent="0.35">
      <c r="AF64" s="138"/>
      <c r="AG64" s="138"/>
      <c r="AH64" s="138"/>
      <c r="AI64" s="138"/>
      <c r="AJ64" s="138"/>
      <c r="AK64" s="138"/>
      <c r="AL64" s="138"/>
      <c r="AM64" s="138"/>
    </row>
    <row r="65" spans="32:39" x14ac:dyDescent="0.35">
      <c r="AF65" s="138"/>
      <c r="AG65" s="138"/>
      <c r="AH65" s="138"/>
      <c r="AI65" s="138"/>
      <c r="AJ65" s="138"/>
      <c r="AK65" s="138"/>
      <c r="AL65" s="138"/>
      <c r="AM65" s="138"/>
    </row>
    <row r="66" spans="32:39" x14ac:dyDescent="0.35">
      <c r="AF66" s="138"/>
      <c r="AG66" s="138"/>
      <c r="AH66" s="138"/>
      <c r="AI66" s="138"/>
      <c r="AJ66" s="138"/>
      <c r="AK66" s="138"/>
      <c r="AL66" s="138"/>
      <c r="AM66" s="138"/>
    </row>
    <row r="67" spans="32:39" x14ac:dyDescent="0.35">
      <c r="AF67" s="138"/>
      <c r="AG67" s="138"/>
      <c r="AH67" s="138"/>
      <c r="AI67" s="138"/>
      <c r="AJ67" s="138"/>
      <c r="AK67" s="138"/>
      <c r="AL67" s="138"/>
      <c r="AM67" s="138"/>
    </row>
    <row r="68" spans="32:39" x14ac:dyDescent="0.35">
      <c r="AF68" s="138"/>
      <c r="AG68" s="138"/>
      <c r="AH68" s="138"/>
      <c r="AI68" s="138"/>
      <c r="AJ68" s="138"/>
      <c r="AK68" s="138"/>
      <c r="AL68" s="138"/>
      <c r="AM68" s="138"/>
    </row>
    <row r="69" spans="32:39" x14ac:dyDescent="0.35">
      <c r="AF69" s="138"/>
      <c r="AG69" s="138"/>
      <c r="AH69" s="138"/>
      <c r="AI69" s="138"/>
      <c r="AJ69" s="138"/>
      <c r="AK69" s="138"/>
      <c r="AL69" s="138"/>
      <c r="AM69" s="138"/>
    </row>
    <row r="70" spans="32:39" x14ac:dyDescent="0.35">
      <c r="AF70" s="138"/>
      <c r="AG70" s="138"/>
      <c r="AH70" s="138"/>
      <c r="AI70" s="138"/>
      <c r="AJ70" s="138"/>
      <c r="AK70" s="138"/>
      <c r="AL70" s="138"/>
      <c r="AM70" s="138"/>
    </row>
    <row r="71" spans="32:39" x14ac:dyDescent="0.35">
      <c r="AF71" s="138"/>
      <c r="AG71" s="138"/>
      <c r="AH71" s="138"/>
      <c r="AI71" s="138"/>
      <c r="AJ71" s="138"/>
      <c r="AK71" s="138"/>
      <c r="AL71" s="138"/>
      <c r="AM71" s="138"/>
    </row>
    <row r="72" spans="32:39" x14ac:dyDescent="0.35">
      <c r="AF72" s="138"/>
      <c r="AG72" s="138"/>
      <c r="AH72" s="138"/>
      <c r="AI72" s="138"/>
      <c r="AJ72" s="138"/>
      <c r="AK72" s="138"/>
      <c r="AL72" s="138"/>
      <c r="AM72" s="138"/>
    </row>
    <row r="73" spans="32:39" x14ac:dyDescent="0.35">
      <c r="AF73" s="138"/>
      <c r="AG73" s="138"/>
      <c r="AH73" s="138"/>
      <c r="AI73" s="138"/>
      <c r="AJ73" s="138"/>
      <c r="AK73" s="138"/>
      <c r="AL73" s="138"/>
      <c r="AM73" s="138"/>
    </row>
    <row r="74" spans="32:39" x14ac:dyDescent="0.35">
      <c r="AF74" s="138"/>
      <c r="AG74" s="138"/>
      <c r="AH74" s="138"/>
      <c r="AI74" s="138"/>
      <c r="AJ74" s="138"/>
      <c r="AK74" s="138"/>
      <c r="AL74" s="138"/>
      <c r="AM74" s="138"/>
    </row>
    <row r="75" spans="32:39" x14ac:dyDescent="0.35">
      <c r="AF75" s="138"/>
      <c r="AG75" s="138"/>
      <c r="AH75" s="138"/>
      <c r="AI75" s="138"/>
      <c r="AJ75" s="138"/>
      <c r="AK75" s="138"/>
      <c r="AL75" s="138"/>
      <c r="AM75" s="138"/>
    </row>
    <row r="76" spans="32:39" x14ac:dyDescent="0.35">
      <c r="AF76" s="138"/>
      <c r="AG76" s="138"/>
      <c r="AH76" s="138"/>
      <c r="AI76" s="138"/>
      <c r="AJ76" s="138"/>
      <c r="AK76" s="138"/>
      <c r="AL76" s="138"/>
      <c r="AM76" s="138"/>
    </row>
    <row r="77" spans="32:39" x14ac:dyDescent="0.35">
      <c r="AF77" s="138"/>
      <c r="AG77" s="138"/>
      <c r="AH77" s="138"/>
      <c r="AI77" s="138"/>
      <c r="AJ77" s="138"/>
      <c r="AK77" s="138"/>
      <c r="AL77" s="138"/>
      <c r="AM77" s="138"/>
    </row>
    <row r="78" spans="32:39" x14ac:dyDescent="0.35">
      <c r="AF78" s="138"/>
      <c r="AG78" s="138"/>
      <c r="AH78" s="138"/>
      <c r="AI78" s="138"/>
      <c r="AJ78" s="138"/>
      <c r="AK78" s="138"/>
      <c r="AL78" s="138"/>
      <c r="AM78" s="138"/>
    </row>
    <row r="79" spans="32:39" x14ac:dyDescent="0.35">
      <c r="AF79" s="138"/>
      <c r="AG79" s="138"/>
      <c r="AH79" s="138"/>
      <c r="AI79" s="138"/>
      <c r="AJ79" s="138"/>
      <c r="AK79" s="138"/>
      <c r="AL79" s="138"/>
      <c r="AM79" s="138"/>
    </row>
    <row r="80" spans="32:39" x14ac:dyDescent="0.35">
      <c r="AF80" s="138"/>
      <c r="AG80" s="138"/>
      <c r="AH80" s="138"/>
      <c r="AI80" s="138"/>
      <c r="AJ80" s="138"/>
      <c r="AK80" s="138"/>
      <c r="AL80" s="138"/>
      <c r="AM80" s="138"/>
    </row>
    <row r="81" spans="1:39" x14ac:dyDescent="0.35">
      <c r="AF81" s="138"/>
      <c r="AG81" s="138"/>
      <c r="AH81" s="138"/>
      <c r="AI81" s="138"/>
      <c r="AJ81" s="138"/>
      <c r="AK81" s="138"/>
      <c r="AL81" s="138"/>
      <c r="AM81" s="138"/>
    </row>
    <row r="82" spans="1:39" x14ac:dyDescent="0.35">
      <c r="AF82" s="138"/>
      <c r="AG82" s="138"/>
      <c r="AH82" s="138"/>
      <c r="AI82" s="138"/>
      <c r="AJ82" s="138"/>
      <c r="AK82" s="138"/>
      <c r="AL82" s="138"/>
      <c r="AM82" s="138"/>
    </row>
    <row r="83" spans="1:39" x14ac:dyDescent="0.35">
      <c r="AF83" s="138"/>
      <c r="AG83" s="138"/>
      <c r="AH83" s="138"/>
      <c r="AI83" s="138"/>
      <c r="AJ83" s="138"/>
      <c r="AK83" s="138"/>
      <c r="AL83" s="138"/>
      <c r="AM83" s="138"/>
    </row>
    <row r="84" spans="1:39" x14ac:dyDescent="0.35">
      <c r="AF84" s="138"/>
      <c r="AG84" s="138"/>
      <c r="AH84" s="138"/>
      <c r="AI84" s="138"/>
      <c r="AJ84" s="138"/>
      <c r="AK84" s="138"/>
      <c r="AL84" s="138"/>
      <c r="AM84" s="138"/>
    </row>
    <row r="85" spans="1:39" x14ac:dyDescent="0.35">
      <c r="AF85" s="138"/>
      <c r="AG85" s="138"/>
      <c r="AH85" s="138"/>
      <c r="AI85" s="138"/>
      <c r="AJ85" s="138"/>
      <c r="AK85" s="138"/>
      <c r="AL85" s="138"/>
      <c r="AM85" s="138"/>
    </row>
    <row r="86" spans="1:39" x14ac:dyDescent="0.35">
      <c r="AF86" s="138"/>
      <c r="AG86" s="138"/>
      <c r="AH86" s="138"/>
      <c r="AI86" s="138"/>
      <c r="AJ86" s="138"/>
      <c r="AK86" s="138"/>
      <c r="AL86" s="138"/>
      <c r="AM86" s="138"/>
    </row>
    <row r="87" spans="1:39" x14ac:dyDescent="0.35">
      <c r="A87" t="s">
        <v>91</v>
      </c>
      <c r="AF87" s="138"/>
      <c r="AG87" s="138"/>
      <c r="AH87" s="138"/>
      <c r="AI87" s="138"/>
      <c r="AJ87" s="138"/>
      <c r="AK87" s="138"/>
      <c r="AL87" s="138"/>
      <c r="AM87" s="138"/>
    </row>
    <row r="88" spans="1:39" x14ac:dyDescent="0.35">
      <c r="A88" t="s">
        <v>92</v>
      </c>
      <c r="AF88" s="138"/>
      <c r="AG88" s="138"/>
      <c r="AH88" s="138"/>
      <c r="AI88" s="138"/>
      <c r="AJ88" s="138"/>
      <c r="AK88" s="138"/>
      <c r="AL88" s="138"/>
      <c r="AM88" s="138"/>
    </row>
    <row r="89" spans="1:39" x14ac:dyDescent="0.35">
      <c r="AF89" s="138"/>
      <c r="AG89" s="138"/>
      <c r="AH89" s="138"/>
      <c r="AI89" s="138"/>
      <c r="AJ89" s="138"/>
      <c r="AK89" s="138"/>
      <c r="AL89" s="138"/>
      <c r="AM89" s="138"/>
    </row>
    <row r="90" spans="1:39" x14ac:dyDescent="0.35">
      <c r="AF90" s="138"/>
      <c r="AG90" s="138"/>
      <c r="AH90" s="138"/>
      <c r="AI90" s="138"/>
      <c r="AJ90" s="138"/>
      <c r="AK90" s="138"/>
      <c r="AL90" s="138"/>
      <c r="AM90" s="138"/>
    </row>
    <row r="91" spans="1:39" x14ac:dyDescent="0.35">
      <c r="AF91" s="138"/>
      <c r="AG91" s="138"/>
      <c r="AH91" s="138"/>
      <c r="AI91" s="138"/>
      <c r="AJ91" s="138"/>
      <c r="AK91" s="138"/>
      <c r="AL91" s="138"/>
      <c r="AM91" s="138"/>
    </row>
    <row r="92" spans="1:39" x14ac:dyDescent="0.35">
      <c r="AF92" s="138"/>
      <c r="AG92" s="138"/>
      <c r="AH92" s="138"/>
      <c r="AI92" s="138"/>
      <c r="AJ92" s="138"/>
      <c r="AK92" s="138"/>
      <c r="AL92" s="138"/>
      <c r="AM92" s="138"/>
    </row>
    <row r="93" spans="1:39" x14ac:dyDescent="0.35">
      <c r="AF93" s="138"/>
      <c r="AG93" s="138"/>
      <c r="AH93" s="138"/>
      <c r="AI93" s="138"/>
      <c r="AJ93" s="138"/>
      <c r="AK93" s="138"/>
      <c r="AL93" s="138"/>
      <c r="AM93" s="138"/>
    </row>
    <row r="94" spans="1:39" x14ac:dyDescent="0.35">
      <c r="AF94" s="138"/>
      <c r="AG94" s="138"/>
      <c r="AH94" s="138"/>
      <c r="AI94" s="138"/>
      <c r="AJ94" s="138"/>
      <c r="AK94" s="138"/>
      <c r="AL94" s="138"/>
      <c r="AM94" s="138"/>
    </row>
    <row r="95" spans="1:39" x14ac:dyDescent="0.35">
      <c r="AF95" s="138"/>
      <c r="AG95" s="138"/>
      <c r="AH95" s="138"/>
      <c r="AI95" s="138"/>
      <c r="AJ95" s="138"/>
      <c r="AK95" s="138"/>
      <c r="AL95" s="138"/>
      <c r="AM95" s="138"/>
    </row>
    <row r="96" spans="1:39" x14ac:dyDescent="0.35">
      <c r="AF96" s="138"/>
      <c r="AG96" s="138"/>
      <c r="AH96" s="138"/>
      <c r="AI96" s="138"/>
      <c r="AJ96" s="138"/>
      <c r="AK96" s="138"/>
      <c r="AL96" s="138"/>
      <c r="AM96" s="138"/>
    </row>
    <row r="97" spans="32:39" x14ac:dyDescent="0.35">
      <c r="AF97" s="138"/>
      <c r="AG97" s="138"/>
      <c r="AH97" s="138"/>
      <c r="AI97" s="138"/>
      <c r="AJ97" s="138"/>
      <c r="AK97" s="138"/>
      <c r="AL97" s="138"/>
      <c r="AM97" s="138"/>
    </row>
    <row r="98" spans="32:39" x14ac:dyDescent="0.35">
      <c r="AF98" s="138"/>
      <c r="AG98" s="138"/>
      <c r="AH98" s="138"/>
      <c r="AI98" s="138"/>
      <c r="AJ98" s="138"/>
      <c r="AK98" s="138"/>
      <c r="AL98" s="138"/>
      <c r="AM98" s="138"/>
    </row>
    <row r="99" spans="32:39" x14ac:dyDescent="0.35">
      <c r="AF99" s="138"/>
      <c r="AG99" s="138"/>
      <c r="AH99" s="138"/>
      <c r="AI99" s="138"/>
      <c r="AJ99" s="138"/>
      <c r="AK99" s="138"/>
      <c r="AL99" s="138"/>
      <c r="AM99" s="138"/>
    </row>
    <row r="100" spans="32:39" x14ac:dyDescent="0.35">
      <c r="AF100" s="138"/>
      <c r="AG100" s="138"/>
      <c r="AH100" s="138"/>
      <c r="AI100" s="138"/>
      <c r="AJ100" s="138"/>
      <c r="AK100" s="138"/>
      <c r="AL100" s="138"/>
      <c r="AM100" s="138"/>
    </row>
    <row r="101" spans="32:39" x14ac:dyDescent="0.35">
      <c r="AF101" s="138"/>
      <c r="AG101" s="138"/>
      <c r="AH101" s="138"/>
      <c r="AI101" s="138"/>
      <c r="AJ101" s="138"/>
      <c r="AK101" s="138"/>
      <c r="AL101" s="138"/>
      <c r="AM101" s="138"/>
    </row>
    <row r="102" spans="32:39" x14ac:dyDescent="0.35">
      <c r="AF102" s="138"/>
      <c r="AG102" s="138"/>
      <c r="AH102" s="138"/>
      <c r="AI102" s="138"/>
      <c r="AJ102" s="138"/>
      <c r="AK102" s="138"/>
      <c r="AL102" s="138"/>
      <c r="AM102" s="138"/>
    </row>
    <row r="103" spans="32:39" x14ac:dyDescent="0.35">
      <c r="AF103" s="138"/>
      <c r="AG103" s="138"/>
      <c r="AH103" s="138"/>
      <c r="AI103" s="138"/>
      <c r="AJ103" s="138"/>
      <c r="AK103" s="138"/>
      <c r="AL103" s="138"/>
      <c r="AM103" s="138"/>
    </row>
    <row r="104" spans="32:39" x14ac:dyDescent="0.35">
      <c r="AF104" s="138"/>
      <c r="AG104" s="138"/>
      <c r="AH104" s="138"/>
      <c r="AI104" s="138"/>
      <c r="AJ104" s="138"/>
      <c r="AK104" s="138"/>
      <c r="AL104" s="138"/>
      <c r="AM104" s="138"/>
    </row>
    <row r="105" spans="32:39" x14ac:dyDescent="0.35">
      <c r="AF105" s="138"/>
      <c r="AG105" s="138"/>
      <c r="AH105" s="138"/>
      <c r="AI105" s="138"/>
      <c r="AJ105" s="138"/>
      <c r="AK105" s="138"/>
      <c r="AL105" s="138"/>
      <c r="AM105" s="138"/>
    </row>
    <row r="106" spans="32:39" x14ac:dyDescent="0.35">
      <c r="AF106" s="138"/>
      <c r="AG106" s="138"/>
      <c r="AH106" s="138"/>
      <c r="AI106" s="138"/>
      <c r="AJ106" s="138"/>
      <c r="AK106" s="138"/>
      <c r="AL106" s="138"/>
      <c r="AM106" s="138"/>
    </row>
    <row r="107" spans="32:39" x14ac:dyDescent="0.35">
      <c r="AF107" s="138"/>
      <c r="AG107" s="138"/>
      <c r="AH107" s="138"/>
      <c r="AI107" s="138"/>
      <c r="AJ107" s="138"/>
      <c r="AK107" s="138"/>
      <c r="AL107" s="138"/>
      <c r="AM107" s="138"/>
    </row>
    <row r="108" spans="32:39" x14ac:dyDescent="0.35">
      <c r="AF108" s="138"/>
      <c r="AG108" s="138"/>
      <c r="AH108" s="138"/>
      <c r="AI108" s="138"/>
      <c r="AJ108" s="138"/>
      <c r="AK108" s="138"/>
      <c r="AL108" s="138"/>
      <c r="AM108" s="138"/>
    </row>
    <row r="109" spans="32:39" x14ac:dyDescent="0.35">
      <c r="AF109" s="138"/>
      <c r="AG109" s="138"/>
      <c r="AH109" s="138"/>
      <c r="AI109" s="138"/>
      <c r="AJ109" s="138"/>
      <c r="AK109" s="138"/>
      <c r="AL109" s="138"/>
      <c r="AM109" s="138"/>
    </row>
    <row r="110" spans="32:39" x14ac:dyDescent="0.35">
      <c r="AF110" s="138"/>
      <c r="AG110" s="138"/>
      <c r="AH110" s="138"/>
      <c r="AI110" s="138"/>
      <c r="AJ110" s="138"/>
      <c r="AK110" s="138"/>
      <c r="AL110" s="138"/>
      <c r="AM110" s="138"/>
    </row>
    <row r="111" spans="32:39" x14ac:dyDescent="0.35">
      <c r="AF111" s="138"/>
      <c r="AG111" s="138"/>
      <c r="AH111" s="138"/>
      <c r="AI111" s="138"/>
      <c r="AJ111" s="138"/>
      <c r="AK111" s="138"/>
      <c r="AL111" s="138"/>
      <c r="AM111" s="138"/>
    </row>
    <row r="112" spans="32:39" x14ac:dyDescent="0.35">
      <c r="AF112" s="138"/>
      <c r="AG112" s="138"/>
      <c r="AH112" s="138"/>
      <c r="AI112" s="138"/>
      <c r="AJ112" s="138"/>
      <c r="AK112" s="138"/>
      <c r="AL112" s="138"/>
      <c r="AM112" s="138"/>
    </row>
    <row r="113" spans="32:39" x14ac:dyDescent="0.35">
      <c r="AF113" s="138"/>
      <c r="AG113" s="138"/>
      <c r="AH113" s="138"/>
      <c r="AI113" s="138"/>
      <c r="AJ113" s="138"/>
      <c r="AK113" s="138"/>
      <c r="AL113" s="138"/>
      <c r="AM113" s="138"/>
    </row>
    <row r="114" spans="32:39" x14ac:dyDescent="0.35">
      <c r="AF114" s="138"/>
      <c r="AG114" s="138"/>
      <c r="AH114" s="138"/>
      <c r="AI114" s="138"/>
      <c r="AJ114" s="138"/>
      <c r="AK114" s="138"/>
      <c r="AL114" s="138"/>
      <c r="AM114" s="138"/>
    </row>
    <row r="115" spans="32:39" x14ac:dyDescent="0.35">
      <c r="AF115" s="138"/>
      <c r="AG115" s="138"/>
      <c r="AH115" s="138"/>
      <c r="AI115" s="138"/>
      <c r="AJ115" s="138"/>
      <c r="AK115" s="138"/>
      <c r="AL115" s="138"/>
      <c r="AM115" s="138"/>
    </row>
    <row r="116" spans="32:39" x14ac:dyDescent="0.35">
      <c r="AF116" s="138"/>
      <c r="AG116" s="138"/>
      <c r="AH116" s="138"/>
      <c r="AI116" s="138"/>
      <c r="AJ116" s="138"/>
      <c r="AK116" s="138"/>
      <c r="AL116" s="138"/>
      <c r="AM116" s="138"/>
    </row>
    <row r="117" spans="32:39" x14ac:dyDescent="0.35">
      <c r="AF117" s="138"/>
      <c r="AG117" s="138"/>
      <c r="AH117" s="138"/>
      <c r="AI117" s="138"/>
      <c r="AJ117" s="138"/>
      <c r="AK117" s="138"/>
      <c r="AL117" s="138"/>
      <c r="AM117" s="138"/>
    </row>
    <row r="118" spans="32:39" x14ac:dyDescent="0.35">
      <c r="AF118" s="138"/>
      <c r="AG118" s="138"/>
      <c r="AH118" s="138"/>
      <c r="AI118" s="138"/>
      <c r="AJ118" s="138"/>
      <c r="AK118" s="138"/>
      <c r="AL118" s="138"/>
      <c r="AM118" s="138"/>
    </row>
    <row r="119" spans="32:39" x14ac:dyDescent="0.35">
      <c r="AF119" s="138"/>
      <c r="AG119" s="138"/>
      <c r="AH119" s="138"/>
      <c r="AI119" s="138"/>
      <c r="AJ119" s="138"/>
      <c r="AK119" s="138"/>
      <c r="AL119" s="138"/>
      <c r="AM119" s="138"/>
    </row>
    <row r="120" spans="32:39" x14ac:dyDescent="0.35">
      <c r="AF120" s="138"/>
      <c r="AG120" s="138"/>
      <c r="AH120" s="138"/>
      <c r="AI120" s="138"/>
      <c r="AJ120" s="138"/>
      <c r="AK120" s="138"/>
      <c r="AL120" s="138"/>
      <c r="AM120" s="138"/>
    </row>
    <row r="121" spans="32:39" x14ac:dyDescent="0.35">
      <c r="AF121" s="138"/>
      <c r="AG121" s="138"/>
      <c r="AH121" s="138"/>
      <c r="AI121" s="138"/>
      <c r="AJ121" s="138"/>
      <c r="AK121" s="138"/>
      <c r="AL121" s="138"/>
      <c r="AM121" s="138"/>
    </row>
    <row r="122" spans="32:39" x14ac:dyDescent="0.35">
      <c r="AF122" s="138"/>
      <c r="AG122" s="138"/>
      <c r="AH122" s="138"/>
      <c r="AI122" s="138"/>
      <c r="AJ122" s="138"/>
      <c r="AK122" s="138"/>
      <c r="AL122" s="138"/>
      <c r="AM122" s="138"/>
    </row>
    <row r="123" spans="32:39" x14ac:dyDescent="0.35">
      <c r="AF123" s="138"/>
      <c r="AG123" s="138"/>
      <c r="AH123" s="138"/>
      <c r="AI123" s="138"/>
      <c r="AJ123" s="138"/>
      <c r="AK123" s="138"/>
      <c r="AL123" s="138"/>
      <c r="AM123" s="138"/>
    </row>
    <row r="124" spans="32:39" x14ac:dyDescent="0.35">
      <c r="AF124" s="138"/>
      <c r="AG124" s="138"/>
      <c r="AH124" s="138"/>
      <c r="AI124" s="138"/>
      <c r="AJ124" s="138"/>
      <c r="AK124" s="138"/>
      <c r="AL124" s="138"/>
      <c r="AM124" s="138"/>
    </row>
    <row r="125" spans="32:39" x14ac:dyDescent="0.35">
      <c r="AF125" s="138"/>
      <c r="AG125" s="138"/>
      <c r="AH125" s="138"/>
      <c r="AI125" s="138"/>
      <c r="AJ125" s="138"/>
      <c r="AK125" s="138"/>
      <c r="AL125" s="138"/>
      <c r="AM125" s="138"/>
    </row>
    <row r="126" spans="32:39" x14ac:dyDescent="0.35">
      <c r="AF126" s="138"/>
      <c r="AG126" s="138"/>
      <c r="AH126" s="138"/>
      <c r="AI126" s="138"/>
      <c r="AJ126" s="138"/>
      <c r="AK126" s="138"/>
      <c r="AL126" s="138"/>
      <c r="AM126" s="138"/>
    </row>
    <row r="127" spans="32:39" x14ac:dyDescent="0.35">
      <c r="AF127" s="138"/>
      <c r="AG127" s="138"/>
      <c r="AH127" s="138"/>
      <c r="AI127" s="138"/>
      <c r="AJ127" s="138"/>
      <c r="AK127" s="138"/>
      <c r="AL127" s="138"/>
      <c r="AM127" s="138"/>
    </row>
    <row r="128" spans="32:39" x14ac:dyDescent="0.35">
      <c r="AF128" s="138"/>
      <c r="AG128" s="138"/>
      <c r="AH128" s="138"/>
      <c r="AI128" s="138"/>
      <c r="AJ128" s="138"/>
      <c r="AK128" s="138"/>
      <c r="AL128" s="138"/>
      <c r="AM128" s="138"/>
    </row>
    <row r="129" spans="32:39" x14ac:dyDescent="0.35">
      <c r="AF129" s="138"/>
      <c r="AG129" s="138"/>
      <c r="AH129" s="138"/>
      <c r="AI129" s="138"/>
      <c r="AJ129" s="138"/>
      <c r="AK129" s="138"/>
      <c r="AL129" s="138"/>
      <c r="AM129" s="138"/>
    </row>
    <row r="130" spans="32:39" x14ac:dyDescent="0.35">
      <c r="AF130" s="138"/>
      <c r="AG130" s="138"/>
      <c r="AH130" s="138"/>
      <c r="AI130" s="138"/>
      <c r="AJ130" s="138"/>
      <c r="AK130" s="138"/>
      <c r="AL130" s="138"/>
      <c r="AM130" s="138"/>
    </row>
    <row r="131" spans="32:39" x14ac:dyDescent="0.35">
      <c r="AF131" s="138"/>
      <c r="AG131" s="138"/>
      <c r="AH131" s="138"/>
      <c r="AI131" s="138"/>
      <c r="AJ131" s="138"/>
      <c r="AK131" s="138"/>
      <c r="AL131" s="138"/>
      <c r="AM131" s="138"/>
    </row>
    <row r="132" spans="32:39" x14ac:dyDescent="0.35">
      <c r="AF132" s="138"/>
      <c r="AG132" s="138"/>
      <c r="AH132" s="138"/>
      <c r="AI132" s="138"/>
      <c r="AJ132" s="138"/>
      <c r="AK132" s="138"/>
      <c r="AL132" s="138"/>
      <c r="AM132" s="138"/>
    </row>
    <row r="133" spans="32:39" x14ac:dyDescent="0.35">
      <c r="AF133" s="138"/>
      <c r="AG133" s="138"/>
      <c r="AH133" s="138"/>
      <c r="AI133" s="138"/>
      <c r="AJ133" s="138"/>
      <c r="AK133" s="138"/>
      <c r="AL133" s="138"/>
      <c r="AM133" s="138"/>
    </row>
    <row r="134" spans="32:39" x14ac:dyDescent="0.35">
      <c r="AF134" s="138"/>
      <c r="AG134" s="138"/>
      <c r="AH134" s="138"/>
      <c r="AI134" s="138"/>
      <c r="AJ134" s="138"/>
      <c r="AK134" s="138"/>
      <c r="AL134" s="138"/>
      <c r="AM134" s="138"/>
    </row>
    <row r="135" spans="32:39" x14ac:dyDescent="0.35">
      <c r="AF135" s="138"/>
      <c r="AG135" s="138"/>
      <c r="AH135" s="138"/>
      <c r="AI135" s="138"/>
      <c r="AJ135" s="138"/>
      <c r="AK135" s="138"/>
      <c r="AL135" s="138"/>
      <c r="AM135" s="138"/>
    </row>
    <row r="136" spans="32:39" x14ac:dyDescent="0.35">
      <c r="AF136" s="138"/>
      <c r="AG136" s="138"/>
      <c r="AH136" s="138"/>
      <c r="AI136" s="138"/>
      <c r="AJ136" s="138"/>
      <c r="AK136" s="138"/>
      <c r="AL136" s="138"/>
      <c r="AM136" s="138"/>
    </row>
    <row r="137" spans="32:39" x14ac:dyDescent="0.35">
      <c r="AF137" s="138"/>
      <c r="AG137" s="138"/>
      <c r="AH137" s="138"/>
      <c r="AI137" s="138"/>
      <c r="AJ137" s="138"/>
      <c r="AK137" s="138"/>
      <c r="AL137" s="138"/>
      <c r="AM137" s="138"/>
    </row>
    <row r="138" spans="32:39" x14ac:dyDescent="0.35">
      <c r="AF138" s="138"/>
      <c r="AG138" s="138"/>
      <c r="AH138" s="138"/>
      <c r="AI138" s="138"/>
      <c r="AJ138" s="138"/>
      <c r="AK138" s="138"/>
      <c r="AL138" s="138"/>
      <c r="AM138" s="138"/>
    </row>
    <row r="139" spans="32:39" x14ac:dyDescent="0.35">
      <c r="AF139" s="138"/>
      <c r="AG139" s="138"/>
      <c r="AH139" s="138"/>
      <c r="AI139" s="138"/>
      <c r="AJ139" s="138"/>
      <c r="AK139" s="138"/>
      <c r="AL139" s="138"/>
      <c r="AM139" s="138"/>
    </row>
    <row r="140" spans="32:39" x14ac:dyDescent="0.35">
      <c r="AF140" s="138"/>
      <c r="AG140" s="138"/>
      <c r="AH140" s="138"/>
      <c r="AI140" s="138"/>
      <c r="AJ140" s="138"/>
      <c r="AK140" s="138"/>
      <c r="AL140" s="138"/>
      <c r="AM140" s="138"/>
    </row>
    <row r="141" spans="32:39" x14ac:dyDescent="0.35">
      <c r="AF141" s="138"/>
      <c r="AG141" s="138"/>
      <c r="AH141" s="138"/>
      <c r="AI141" s="138"/>
      <c r="AJ141" s="138"/>
      <c r="AK141" s="138"/>
      <c r="AL141" s="138"/>
      <c r="AM141" s="138"/>
    </row>
    <row r="142" spans="32:39" x14ac:dyDescent="0.35">
      <c r="AF142" s="138"/>
      <c r="AG142" s="138"/>
      <c r="AH142" s="138"/>
      <c r="AI142" s="138"/>
      <c r="AJ142" s="138"/>
      <c r="AK142" s="138"/>
      <c r="AL142" s="138"/>
      <c r="AM142" s="138"/>
    </row>
    <row r="143" spans="32:39" x14ac:dyDescent="0.35">
      <c r="AF143" s="138"/>
      <c r="AG143" s="138"/>
      <c r="AH143" s="138"/>
      <c r="AI143" s="138"/>
      <c r="AJ143" s="138"/>
      <c r="AK143" s="138"/>
      <c r="AL143" s="138"/>
      <c r="AM143" s="138"/>
    </row>
    <row r="144" spans="32:39" x14ac:dyDescent="0.35">
      <c r="AF144" s="138"/>
      <c r="AG144" s="138"/>
      <c r="AH144" s="138"/>
      <c r="AI144" s="138"/>
      <c r="AJ144" s="138"/>
      <c r="AK144" s="138"/>
      <c r="AL144" s="138"/>
      <c r="AM144" s="138"/>
    </row>
    <row r="145" spans="32:42" x14ac:dyDescent="0.35">
      <c r="AF145" s="138"/>
      <c r="AG145" s="138"/>
      <c r="AH145" s="138"/>
      <c r="AI145" s="138"/>
      <c r="AJ145" s="138"/>
      <c r="AK145" s="138"/>
      <c r="AL145" s="138"/>
      <c r="AM145" s="138"/>
    </row>
    <row r="146" spans="32:42" x14ac:dyDescent="0.35">
      <c r="AF146" s="138"/>
      <c r="AG146" s="138"/>
      <c r="AH146" s="138"/>
      <c r="AI146" s="138"/>
      <c r="AJ146" s="138"/>
      <c r="AK146" s="138"/>
      <c r="AL146" s="138"/>
      <c r="AM146" s="138"/>
    </row>
    <row r="147" spans="32:42" x14ac:dyDescent="0.35">
      <c r="AF147" s="138"/>
      <c r="AG147" s="138"/>
      <c r="AH147" s="138"/>
      <c r="AI147" s="138"/>
      <c r="AJ147" s="138"/>
      <c r="AK147" s="138"/>
      <c r="AL147" s="138"/>
      <c r="AM147" s="138"/>
    </row>
    <row r="148" spans="32:42" x14ac:dyDescent="0.35">
      <c r="AF148" s="138"/>
      <c r="AG148" s="138"/>
      <c r="AH148" s="138"/>
      <c r="AI148" s="138"/>
      <c r="AJ148" s="138"/>
      <c r="AK148" s="138"/>
      <c r="AL148" s="138"/>
      <c r="AM148" s="138"/>
    </row>
    <row r="149" spans="32:42" x14ac:dyDescent="0.35">
      <c r="AF149" s="138"/>
      <c r="AG149" s="138"/>
      <c r="AH149" s="138"/>
      <c r="AI149" s="138"/>
      <c r="AJ149" s="138"/>
      <c r="AK149" s="138"/>
      <c r="AL149" s="138"/>
      <c r="AM149" s="138"/>
    </row>
    <row r="150" spans="32:42" x14ac:dyDescent="0.35">
      <c r="AF150" s="138"/>
      <c r="AG150" s="138"/>
      <c r="AH150" s="138"/>
      <c r="AI150" s="138"/>
      <c r="AJ150" s="138"/>
      <c r="AK150" s="138"/>
      <c r="AL150" s="138"/>
      <c r="AM150" s="138"/>
    </row>
    <row r="151" spans="32:42" x14ac:dyDescent="0.35">
      <c r="AF151" s="138"/>
      <c r="AG151" s="138"/>
      <c r="AH151" s="138"/>
      <c r="AI151" s="138"/>
      <c r="AJ151" s="138"/>
      <c r="AK151" s="138"/>
      <c r="AL151" s="138"/>
      <c r="AM151" s="138"/>
    </row>
    <row r="152" spans="32:42" x14ac:dyDescent="0.35">
      <c r="AF152" s="138"/>
      <c r="AG152" s="138"/>
      <c r="AH152" s="138"/>
      <c r="AI152" s="138"/>
      <c r="AJ152" s="138"/>
      <c r="AK152" s="138"/>
      <c r="AL152" s="138"/>
      <c r="AM152" s="138"/>
    </row>
    <row r="153" spans="32:42" x14ac:dyDescent="0.35">
      <c r="AF153" s="138"/>
      <c r="AG153" s="138"/>
      <c r="AH153" s="138"/>
      <c r="AI153" s="138"/>
      <c r="AJ153" s="138"/>
      <c r="AK153" s="138"/>
      <c r="AL153" s="138"/>
      <c r="AM153" s="138"/>
    </row>
    <row r="154" spans="32:42" x14ac:dyDescent="0.35">
      <c r="AF154" s="138"/>
      <c r="AG154" s="138"/>
      <c r="AH154" s="138"/>
      <c r="AI154" s="138"/>
      <c r="AJ154" s="138"/>
      <c r="AK154" s="138"/>
      <c r="AL154" s="138"/>
      <c r="AM154" s="138"/>
      <c r="AP154" s="139"/>
    </row>
    <row r="155" spans="32:42" x14ac:dyDescent="0.35">
      <c r="AF155" s="138"/>
      <c r="AG155" s="138"/>
      <c r="AH155" s="138"/>
      <c r="AI155" s="138"/>
      <c r="AJ155" s="138"/>
      <c r="AK155" s="138"/>
      <c r="AL155" s="138"/>
      <c r="AM155" s="138"/>
    </row>
    <row r="156" spans="32:42" x14ac:dyDescent="0.35">
      <c r="AF156" s="138"/>
      <c r="AG156" s="138"/>
      <c r="AH156" s="138"/>
      <c r="AI156" s="138"/>
      <c r="AJ156" s="138"/>
      <c r="AK156" s="138"/>
      <c r="AL156" s="138"/>
      <c r="AM156" s="138"/>
    </row>
    <row r="157" spans="32:42" x14ac:dyDescent="0.35">
      <c r="AF157" s="138"/>
      <c r="AG157" s="138"/>
      <c r="AH157" s="138"/>
      <c r="AI157" s="138"/>
      <c r="AJ157" s="138"/>
      <c r="AK157" s="138"/>
      <c r="AL157" s="138"/>
      <c r="AM157" s="138"/>
    </row>
    <row r="158" spans="32:42" x14ac:dyDescent="0.35">
      <c r="AF158" s="138"/>
      <c r="AG158" s="138"/>
      <c r="AH158" s="138"/>
      <c r="AI158" s="138"/>
      <c r="AJ158" s="138"/>
      <c r="AK158" s="138"/>
      <c r="AL158" s="138"/>
      <c r="AM158" s="138"/>
    </row>
    <row r="159" spans="32:42" x14ac:dyDescent="0.35">
      <c r="AF159" s="138"/>
      <c r="AG159" s="138"/>
      <c r="AH159" s="138"/>
      <c r="AI159" s="138"/>
      <c r="AJ159" s="138"/>
      <c r="AK159" s="138"/>
      <c r="AL159" s="138"/>
      <c r="AM159" s="138"/>
    </row>
    <row r="160" spans="32:42" x14ac:dyDescent="0.35">
      <c r="AF160" s="138"/>
      <c r="AG160" s="138"/>
      <c r="AH160" s="138"/>
      <c r="AI160" s="138"/>
      <c r="AJ160" s="138"/>
      <c r="AK160" s="138"/>
      <c r="AL160" s="138"/>
      <c r="AM160" s="138"/>
    </row>
    <row r="161" spans="32:39" x14ac:dyDescent="0.35">
      <c r="AF161" s="138"/>
      <c r="AG161" s="138"/>
      <c r="AH161" s="138"/>
      <c r="AI161" s="138"/>
      <c r="AJ161" s="138"/>
      <c r="AK161" s="138"/>
      <c r="AL161" s="138"/>
      <c r="AM161" s="138"/>
    </row>
    <row r="162" spans="32:39" x14ac:dyDescent="0.35">
      <c r="AF162" s="138"/>
      <c r="AG162" s="138"/>
      <c r="AH162" s="138"/>
      <c r="AI162" s="138"/>
      <c r="AJ162" s="138"/>
      <c r="AK162" s="138"/>
      <c r="AL162" s="138"/>
      <c r="AM162" s="138"/>
    </row>
    <row r="163" spans="32:39" x14ac:dyDescent="0.35">
      <c r="AF163" s="138"/>
      <c r="AG163" s="138"/>
      <c r="AH163" s="138"/>
      <c r="AI163" s="138"/>
      <c r="AJ163" s="138"/>
      <c r="AK163" s="138"/>
      <c r="AL163" s="138"/>
      <c r="AM163" s="138"/>
    </row>
    <row r="164" spans="32:39" x14ac:dyDescent="0.35">
      <c r="AF164" s="138"/>
      <c r="AG164" s="138"/>
      <c r="AH164" s="138"/>
      <c r="AI164" s="138"/>
      <c r="AJ164" s="138"/>
      <c r="AK164" s="138"/>
      <c r="AL164" s="138"/>
      <c r="AM164" s="138"/>
    </row>
    <row r="165" spans="32:39" x14ac:dyDescent="0.35">
      <c r="AF165" s="138"/>
      <c r="AG165" s="138"/>
      <c r="AH165" s="138"/>
      <c r="AI165" s="138"/>
      <c r="AJ165" s="138"/>
      <c r="AK165" s="138"/>
      <c r="AL165" s="138"/>
      <c r="AM165" s="138"/>
    </row>
    <row r="166" spans="32:39" x14ac:dyDescent="0.35">
      <c r="AF166" s="138"/>
      <c r="AG166" s="138"/>
      <c r="AH166" s="138"/>
      <c r="AI166" s="138"/>
      <c r="AJ166" s="138"/>
      <c r="AK166" s="138"/>
      <c r="AL166" s="138"/>
      <c r="AM166" s="138"/>
    </row>
    <row r="167" spans="32:39" x14ac:dyDescent="0.35">
      <c r="AF167" s="138"/>
      <c r="AG167" s="138"/>
      <c r="AH167" s="138"/>
      <c r="AI167" s="138"/>
      <c r="AJ167" s="138"/>
      <c r="AK167" s="138"/>
      <c r="AL167" s="138"/>
      <c r="AM167" s="138"/>
    </row>
    <row r="168" spans="32:39" x14ac:dyDescent="0.35">
      <c r="AF168" s="138"/>
      <c r="AG168" s="138"/>
      <c r="AH168" s="138"/>
      <c r="AI168" s="138"/>
      <c r="AJ168" s="138"/>
      <c r="AK168" s="138"/>
      <c r="AL168" s="138"/>
      <c r="AM168" s="138"/>
    </row>
    <row r="169" spans="32:39" x14ac:dyDescent="0.35">
      <c r="AF169" s="138"/>
      <c r="AG169" s="138"/>
      <c r="AH169" s="138"/>
      <c r="AI169" s="138"/>
      <c r="AJ169" s="138"/>
      <c r="AK169" s="138"/>
      <c r="AL169" s="138"/>
      <c r="AM169" s="138"/>
    </row>
    <row r="170" spans="32:39" x14ac:dyDescent="0.35">
      <c r="AF170" s="138"/>
      <c r="AG170" s="138"/>
      <c r="AH170" s="138"/>
      <c r="AI170" s="138"/>
      <c r="AJ170" s="138"/>
      <c r="AK170" s="138"/>
      <c r="AL170" s="138"/>
      <c r="AM170" s="138"/>
    </row>
    <row r="171" spans="32:39" x14ac:dyDescent="0.35">
      <c r="AF171" s="138"/>
      <c r="AG171" s="138"/>
      <c r="AH171" s="138"/>
      <c r="AI171" s="138"/>
      <c r="AJ171" s="138"/>
      <c r="AK171" s="138"/>
      <c r="AL171" s="138"/>
      <c r="AM171" s="138"/>
    </row>
    <row r="172" spans="32:39" x14ac:dyDescent="0.35">
      <c r="AF172" s="138"/>
      <c r="AG172" s="138"/>
      <c r="AH172" s="138"/>
      <c r="AI172" s="138"/>
      <c r="AJ172" s="138"/>
      <c r="AK172" s="138"/>
      <c r="AL172" s="138"/>
      <c r="AM172" s="138"/>
    </row>
    <row r="173" spans="32:39" x14ac:dyDescent="0.35">
      <c r="AF173" s="138"/>
      <c r="AG173" s="138"/>
      <c r="AH173" s="138"/>
      <c r="AI173" s="138"/>
      <c r="AJ173" s="138"/>
      <c r="AK173" s="138"/>
      <c r="AL173" s="138"/>
      <c r="AM173" s="138"/>
    </row>
    <row r="174" spans="32:39" x14ac:dyDescent="0.35">
      <c r="AF174" s="138"/>
      <c r="AG174" s="138"/>
      <c r="AH174" s="138"/>
      <c r="AI174" s="138"/>
      <c r="AJ174" s="138"/>
      <c r="AK174" s="138"/>
      <c r="AL174" s="138"/>
      <c r="AM174" s="138"/>
    </row>
    <row r="175" spans="32:39" x14ac:dyDescent="0.35">
      <c r="AF175" s="138"/>
      <c r="AG175" s="138"/>
      <c r="AH175" s="138"/>
      <c r="AI175" s="138"/>
      <c r="AJ175" s="138"/>
      <c r="AK175" s="138"/>
      <c r="AL175" s="138"/>
      <c r="AM175" s="138"/>
    </row>
    <row r="176" spans="32:39" x14ac:dyDescent="0.35">
      <c r="AF176" s="138"/>
      <c r="AG176" s="138"/>
      <c r="AH176" s="138"/>
      <c r="AI176" s="138"/>
      <c r="AJ176" s="138"/>
      <c r="AK176" s="138"/>
      <c r="AL176" s="138"/>
      <c r="AM176" s="138"/>
    </row>
    <row r="177" spans="32:39" x14ac:dyDescent="0.35">
      <c r="AF177" s="138"/>
      <c r="AG177" s="138"/>
      <c r="AH177" s="138"/>
      <c r="AI177" s="138"/>
      <c r="AJ177" s="138"/>
      <c r="AK177" s="138"/>
      <c r="AL177" s="138"/>
      <c r="AM177" s="138"/>
    </row>
    <row r="178" spans="32:39" x14ac:dyDescent="0.35">
      <c r="AF178" s="138"/>
      <c r="AG178" s="138"/>
      <c r="AH178" s="138"/>
      <c r="AI178" s="138"/>
      <c r="AJ178" s="138"/>
      <c r="AK178" s="138"/>
      <c r="AL178" s="138"/>
      <c r="AM178" s="138"/>
    </row>
    <row r="179" spans="32:39" x14ac:dyDescent="0.35">
      <c r="AF179" s="138"/>
      <c r="AG179" s="138"/>
      <c r="AH179" s="138"/>
      <c r="AI179" s="138"/>
      <c r="AJ179" s="138"/>
      <c r="AK179" s="138"/>
      <c r="AL179" s="138"/>
      <c r="AM179" s="138"/>
    </row>
    <row r="180" spans="32:39" x14ac:dyDescent="0.35">
      <c r="AF180" s="138"/>
      <c r="AG180" s="138"/>
      <c r="AH180" s="138"/>
      <c r="AI180" s="138"/>
      <c r="AJ180" s="138"/>
      <c r="AK180" s="138"/>
      <c r="AL180" s="138"/>
      <c r="AM180" s="138"/>
    </row>
    <row r="181" spans="32:39" x14ac:dyDescent="0.35">
      <c r="AF181" s="138"/>
      <c r="AG181" s="138"/>
      <c r="AH181" s="138"/>
      <c r="AI181" s="138"/>
      <c r="AJ181" s="138"/>
      <c r="AK181" s="138"/>
      <c r="AL181" s="138"/>
      <c r="AM181" s="138"/>
    </row>
    <row r="182" spans="32:39" x14ac:dyDescent="0.35">
      <c r="AF182" s="138"/>
      <c r="AG182" s="138"/>
      <c r="AH182" s="138"/>
      <c r="AI182" s="138"/>
      <c r="AJ182" s="138"/>
      <c r="AK182" s="138"/>
      <c r="AL182" s="138"/>
      <c r="AM182" s="138"/>
    </row>
    <row r="183" spans="32:39" x14ac:dyDescent="0.35">
      <c r="AF183" s="138"/>
      <c r="AG183" s="138"/>
      <c r="AH183" s="138"/>
      <c r="AI183" s="138"/>
      <c r="AJ183" s="138"/>
      <c r="AK183" s="138"/>
      <c r="AL183" s="138"/>
      <c r="AM183" s="138"/>
    </row>
    <row r="184" spans="32:39" x14ac:dyDescent="0.35">
      <c r="AF184" s="138"/>
      <c r="AG184" s="138"/>
      <c r="AH184" s="138"/>
      <c r="AI184" s="138"/>
      <c r="AJ184" s="138"/>
      <c r="AK184" s="138"/>
      <c r="AL184" s="138"/>
      <c r="AM184" s="138"/>
    </row>
    <row r="185" spans="32:39" x14ac:dyDescent="0.35">
      <c r="AF185" s="138"/>
      <c r="AG185" s="138"/>
      <c r="AH185" s="138"/>
      <c r="AI185" s="138"/>
      <c r="AJ185" s="138"/>
      <c r="AK185" s="138"/>
      <c r="AL185" s="138"/>
      <c r="AM185" s="138"/>
    </row>
    <row r="186" spans="32:39" x14ac:dyDescent="0.35">
      <c r="AF186" s="138"/>
      <c r="AG186" s="138"/>
      <c r="AH186" s="138"/>
      <c r="AI186" s="138"/>
      <c r="AJ186" s="138"/>
      <c r="AK186" s="138"/>
      <c r="AL186" s="138"/>
      <c r="AM186" s="138"/>
    </row>
    <row r="187" spans="32:39" x14ac:dyDescent="0.35">
      <c r="AF187" s="138"/>
      <c r="AG187" s="138"/>
      <c r="AH187" s="138"/>
      <c r="AI187" s="138"/>
      <c r="AJ187" s="138"/>
      <c r="AK187" s="138"/>
      <c r="AL187" s="138"/>
      <c r="AM187" s="138"/>
    </row>
    <row r="188" spans="32:39" x14ac:dyDescent="0.35">
      <c r="AF188" s="138"/>
      <c r="AG188" s="138"/>
      <c r="AH188" s="138"/>
      <c r="AI188" s="138"/>
      <c r="AJ188" s="138"/>
      <c r="AK188" s="138"/>
      <c r="AL188" s="138"/>
      <c r="AM188" s="138"/>
    </row>
    <row r="189" spans="32:39" x14ac:dyDescent="0.35">
      <c r="AF189" s="138"/>
      <c r="AG189" s="138"/>
      <c r="AH189" s="138"/>
      <c r="AI189" s="138"/>
      <c r="AJ189" s="138"/>
      <c r="AK189" s="138"/>
      <c r="AL189" s="138"/>
      <c r="AM189" s="138"/>
    </row>
    <row r="190" spans="32:39" x14ac:dyDescent="0.35">
      <c r="AF190" s="138"/>
      <c r="AG190" s="138"/>
      <c r="AH190" s="138"/>
      <c r="AI190" s="138"/>
      <c r="AJ190" s="138"/>
      <c r="AK190" s="138"/>
      <c r="AL190" s="138"/>
      <c r="AM190" s="138"/>
    </row>
    <row r="191" spans="32:39" x14ac:dyDescent="0.35">
      <c r="AF191" s="138"/>
      <c r="AG191" s="138"/>
      <c r="AH191" s="138"/>
      <c r="AI191" s="138"/>
      <c r="AJ191" s="138"/>
      <c r="AK191" s="138"/>
      <c r="AL191" s="138"/>
      <c r="AM191" s="138"/>
    </row>
    <row r="192" spans="32:39" x14ac:dyDescent="0.35">
      <c r="AF192" s="138"/>
      <c r="AG192" s="138"/>
      <c r="AH192" s="138"/>
      <c r="AI192" s="138"/>
      <c r="AJ192" s="138"/>
      <c r="AK192" s="138"/>
      <c r="AL192" s="138"/>
      <c r="AM192" s="138"/>
    </row>
    <row r="193" spans="32:39" x14ac:dyDescent="0.35">
      <c r="AF193" s="138"/>
      <c r="AG193" s="138"/>
      <c r="AH193" s="138"/>
      <c r="AI193" s="138"/>
      <c r="AJ193" s="138"/>
      <c r="AK193" s="138"/>
      <c r="AL193" s="138"/>
      <c r="AM193" s="138"/>
    </row>
    <row r="194" spans="32:39" x14ac:dyDescent="0.35">
      <c r="AF194" s="138"/>
      <c r="AG194" s="138"/>
      <c r="AH194" s="138"/>
      <c r="AI194" s="138"/>
      <c r="AJ194" s="138"/>
      <c r="AK194" s="138"/>
      <c r="AL194" s="138"/>
      <c r="AM194" s="138"/>
    </row>
    <row r="195" spans="32:39" x14ac:dyDescent="0.35">
      <c r="AF195" s="138"/>
      <c r="AG195" s="138"/>
      <c r="AH195" s="138"/>
      <c r="AI195" s="138"/>
      <c r="AJ195" s="138"/>
      <c r="AK195" s="138"/>
      <c r="AL195" s="138"/>
      <c r="AM195" s="138"/>
    </row>
    <row r="196" spans="32:39" x14ac:dyDescent="0.35">
      <c r="AF196" s="138"/>
      <c r="AG196" s="138"/>
      <c r="AH196" s="138"/>
      <c r="AI196" s="138"/>
      <c r="AJ196" s="138"/>
      <c r="AK196" s="138"/>
      <c r="AL196" s="138"/>
      <c r="AM196" s="138"/>
    </row>
    <row r="197" spans="32:39" x14ac:dyDescent="0.35">
      <c r="AF197" s="138"/>
      <c r="AG197" s="138"/>
      <c r="AH197" s="138"/>
      <c r="AI197" s="138"/>
      <c r="AJ197" s="138"/>
      <c r="AK197" s="138"/>
      <c r="AL197" s="138"/>
      <c r="AM197" s="138"/>
    </row>
    <row r="198" spans="32:39" x14ac:dyDescent="0.35">
      <c r="AF198" s="138"/>
      <c r="AG198" s="138"/>
      <c r="AH198" s="138"/>
      <c r="AI198" s="138"/>
      <c r="AJ198" s="138"/>
      <c r="AK198" s="138"/>
      <c r="AL198" s="138"/>
      <c r="AM198" s="138"/>
    </row>
    <row r="199" spans="32:39" x14ac:dyDescent="0.35">
      <c r="AF199" s="138"/>
      <c r="AG199" s="138"/>
      <c r="AH199" s="138"/>
      <c r="AI199" s="138"/>
      <c r="AJ199" s="138"/>
      <c r="AK199" s="138"/>
      <c r="AL199" s="138"/>
      <c r="AM199" s="138"/>
    </row>
    <row r="200" spans="32:39" x14ac:dyDescent="0.35">
      <c r="AF200" s="138"/>
      <c r="AG200" s="138"/>
      <c r="AH200" s="138"/>
      <c r="AI200" s="138"/>
      <c r="AJ200" s="138"/>
      <c r="AK200" s="138"/>
      <c r="AL200" s="138"/>
      <c r="AM200" s="138"/>
    </row>
    <row r="201" spans="32:39" x14ac:dyDescent="0.35">
      <c r="AF201" s="138"/>
      <c r="AG201" s="138"/>
      <c r="AH201" s="138"/>
      <c r="AI201" s="138"/>
      <c r="AJ201" s="138"/>
      <c r="AK201" s="138"/>
      <c r="AL201" s="138"/>
      <c r="AM201" s="138"/>
    </row>
    <row r="202" spans="32:39" x14ac:dyDescent="0.35">
      <c r="AF202" s="138"/>
      <c r="AG202" s="138"/>
      <c r="AH202" s="138"/>
      <c r="AI202" s="138"/>
      <c r="AJ202" s="138"/>
      <c r="AK202" s="138"/>
      <c r="AL202" s="138"/>
      <c r="AM202" s="138"/>
    </row>
    <row r="203" spans="32:39" x14ac:dyDescent="0.35">
      <c r="AF203" s="138"/>
      <c r="AG203" s="138"/>
      <c r="AH203" s="138"/>
      <c r="AI203" s="138"/>
      <c r="AJ203" s="138"/>
      <c r="AK203" s="138"/>
      <c r="AL203" s="138"/>
      <c r="AM203" s="138"/>
    </row>
    <row r="204" spans="32:39" x14ac:dyDescent="0.35">
      <c r="AF204" s="138"/>
      <c r="AG204" s="138"/>
      <c r="AH204" s="138"/>
      <c r="AI204" s="138"/>
      <c r="AJ204" s="138"/>
      <c r="AK204" s="138"/>
      <c r="AL204" s="138"/>
      <c r="AM204" s="138"/>
    </row>
    <row r="205" spans="32:39" x14ac:dyDescent="0.35">
      <c r="AF205" s="138"/>
      <c r="AG205" s="138"/>
      <c r="AH205" s="138"/>
      <c r="AI205" s="138"/>
      <c r="AJ205" s="138"/>
      <c r="AK205" s="138"/>
      <c r="AL205" s="138"/>
      <c r="AM205" s="138"/>
    </row>
    <row r="206" spans="32:39" x14ac:dyDescent="0.35">
      <c r="AF206" s="138"/>
      <c r="AG206" s="138"/>
      <c r="AH206" s="138"/>
      <c r="AI206" s="138"/>
      <c r="AJ206" s="138"/>
      <c r="AK206" s="138"/>
      <c r="AL206" s="138"/>
      <c r="AM206" s="138"/>
    </row>
    <row r="207" spans="32:39" x14ac:dyDescent="0.35">
      <c r="AF207" s="138"/>
      <c r="AG207" s="138"/>
      <c r="AH207" s="138"/>
      <c r="AI207" s="138"/>
      <c r="AJ207" s="138"/>
      <c r="AK207" s="138"/>
      <c r="AL207" s="138"/>
      <c r="AM207" s="138"/>
    </row>
    <row r="208" spans="32:39" x14ac:dyDescent="0.35">
      <c r="AF208" s="138"/>
      <c r="AG208" s="138"/>
      <c r="AH208" s="138"/>
      <c r="AI208" s="138"/>
      <c r="AJ208" s="138"/>
      <c r="AK208" s="138"/>
      <c r="AL208" s="138"/>
      <c r="AM208" s="138"/>
    </row>
    <row r="209" spans="32:39" x14ac:dyDescent="0.35">
      <c r="AF209" s="138"/>
      <c r="AG209" s="138"/>
      <c r="AH209" s="138"/>
      <c r="AI209" s="138"/>
      <c r="AJ209" s="138"/>
      <c r="AK209" s="138"/>
      <c r="AL209" s="138"/>
      <c r="AM209" s="138"/>
    </row>
    <row r="210" spans="32:39" x14ac:dyDescent="0.35">
      <c r="AF210" s="138"/>
      <c r="AG210" s="138"/>
      <c r="AH210" s="138"/>
      <c r="AI210" s="138"/>
      <c r="AJ210" s="138"/>
      <c r="AK210" s="138"/>
      <c r="AL210" s="138"/>
      <c r="AM210" s="138"/>
    </row>
    <row r="211" spans="32:39" x14ac:dyDescent="0.35">
      <c r="AF211" s="138"/>
      <c r="AG211" s="138"/>
      <c r="AH211" s="138"/>
      <c r="AI211" s="138"/>
      <c r="AJ211" s="138"/>
      <c r="AK211" s="138"/>
      <c r="AL211" s="138"/>
      <c r="AM211" s="138"/>
    </row>
    <row r="212" spans="32:39" x14ac:dyDescent="0.35">
      <c r="AF212" s="138"/>
      <c r="AG212" s="138"/>
      <c r="AH212" s="138"/>
      <c r="AI212" s="138"/>
      <c r="AJ212" s="138"/>
      <c r="AK212" s="138"/>
      <c r="AL212" s="138"/>
      <c r="AM212" s="138"/>
    </row>
    <row r="213" spans="32:39" x14ac:dyDescent="0.35">
      <c r="AF213" s="138"/>
      <c r="AG213" s="138"/>
      <c r="AH213" s="138"/>
      <c r="AI213" s="138"/>
      <c r="AJ213" s="138"/>
      <c r="AK213" s="138"/>
      <c r="AL213" s="138"/>
      <c r="AM213" s="138"/>
    </row>
    <row r="214" spans="32:39" x14ac:dyDescent="0.35">
      <c r="AF214" s="138"/>
      <c r="AG214" s="138"/>
      <c r="AH214" s="138"/>
      <c r="AI214" s="138"/>
      <c r="AJ214" s="138"/>
      <c r="AK214" s="138"/>
      <c r="AL214" s="138"/>
      <c r="AM214" s="138"/>
    </row>
    <row r="215" spans="32:39" x14ac:dyDescent="0.35">
      <c r="AF215" s="138"/>
      <c r="AG215" s="138"/>
      <c r="AH215" s="138"/>
      <c r="AI215" s="138"/>
      <c r="AJ215" s="138"/>
      <c r="AK215" s="138"/>
      <c r="AL215" s="138"/>
      <c r="AM215" s="138"/>
    </row>
    <row r="216" spans="32:39" x14ac:dyDescent="0.35">
      <c r="AF216" s="138"/>
      <c r="AG216" s="138"/>
      <c r="AH216" s="138"/>
      <c r="AI216" s="138"/>
      <c r="AJ216" s="138"/>
      <c r="AK216" s="138"/>
      <c r="AL216" s="138"/>
      <c r="AM216" s="138"/>
    </row>
    <row r="217" spans="32:39" x14ac:dyDescent="0.35">
      <c r="AF217" s="138"/>
      <c r="AG217" s="138"/>
      <c r="AH217" s="138"/>
      <c r="AI217" s="138"/>
      <c r="AJ217" s="138"/>
      <c r="AK217" s="138"/>
      <c r="AL217" s="138"/>
      <c r="AM217" s="138"/>
    </row>
    <row r="218" spans="32:39" x14ac:dyDescent="0.35">
      <c r="AF218" s="138"/>
      <c r="AG218" s="138"/>
      <c r="AH218" s="138"/>
      <c r="AI218" s="138"/>
      <c r="AJ218" s="138"/>
      <c r="AK218" s="138"/>
      <c r="AL218" s="138"/>
      <c r="AM218" s="138"/>
    </row>
    <row r="219" spans="32:39" x14ac:dyDescent="0.35">
      <c r="AF219" s="138"/>
      <c r="AG219" s="138"/>
      <c r="AH219" s="138"/>
      <c r="AI219" s="138"/>
      <c r="AJ219" s="138"/>
      <c r="AK219" s="138"/>
      <c r="AL219" s="138"/>
      <c r="AM219" s="138"/>
    </row>
    <row r="220" spans="32:39" x14ac:dyDescent="0.35">
      <c r="AF220" s="138"/>
      <c r="AG220" s="138"/>
      <c r="AH220" s="138"/>
      <c r="AI220" s="138"/>
      <c r="AJ220" s="138"/>
      <c r="AK220" s="138"/>
      <c r="AL220" s="138"/>
      <c r="AM220" s="138"/>
    </row>
    <row r="221" spans="32:39" x14ac:dyDescent="0.35">
      <c r="AF221" s="138"/>
      <c r="AG221" s="138"/>
      <c r="AH221" s="138"/>
      <c r="AI221" s="138"/>
      <c r="AJ221" s="138"/>
      <c r="AK221" s="138"/>
      <c r="AL221" s="138"/>
      <c r="AM221" s="138"/>
    </row>
    <row r="222" spans="32:39" x14ac:dyDescent="0.35">
      <c r="AF222" s="138"/>
      <c r="AG222" s="138"/>
      <c r="AH222" s="138"/>
      <c r="AI222" s="138"/>
      <c r="AJ222" s="138"/>
      <c r="AK222" s="138"/>
      <c r="AL222" s="138"/>
      <c r="AM222" s="138"/>
    </row>
    <row r="223" spans="32:39" x14ac:dyDescent="0.35">
      <c r="AF223" s="138"/>
      <c r="AG223" s="138"/>
      <c r="AH223" s="138"/>
      <c r="AI223" s="138"/>
      <c r="AJ223" s="138"/>
      <c r="AK223" s="138"/>
      <c r="AL223" s="138"/>
      <c r="AM223" s="138"/>
    </row>
    <row r="224" spans="32:39" x14ac:dyDescent="0.35">
      <c r="AF224" s="138"/>
      <c r="AG224" s="138"/>
      <c r="AH224" s="138"/>
      <c r="AI224" s="138"/>
      <c r="AJ224" s="138"/>
      <c r="AK224" s="138"/>
      <c r="AL224" s="138"/>
      <c r="AM224" s="138"/>
    </row>
    <row r="225" spans="32:39" x14ac:dyDescent="0.35">
      <c r="AF225" s="138"/>
      <c r="AG225" s="138"/>
      <c r="AH225" s="138"/>
      <c r="AI225" s="138"/>
      <c r="AJ225" s="138"/>
      <c r="AK225" s="138"/>
      <c r="AL225" s="138"/>
      <c r="AM225" s="138"/>
    </row>
    <row r="226" spans="32:39" x14ac:dyDescent="0.35">
      <c r="AF226" s="138"/>
      <c r="AG226" s="138"/>
      <c r="AH226" s="138"/>
      <c r="AI226" s="138"/>
      <c r="AJ226" s="138"/>
      <c r="AK226" s="138"/>
      <c r="AL226" s="138"/>
      <c r="AM226" s="138"/>
    </row>
    <row r="227" spans="32:39" x14ac:dyDescent="0.35">
      <c r="AF227" s="138"/>
      <c r="AG227" s="138"/>
      <c r="AH227" s="138"/>
      <c r="AI227" s="138"/>
      <c r="AJ227" s="138"/>
      <c r="AK227" s="138"/>
      <c r="AL227" s="138"/>
      <c r="AM227" s="138"/>
    </row>
    <row r="228" spans="32:39" x14ac:dyDescent="0.35">
      <c r="AF228" s="138"/>
      <c r="AG228" s="138"/>
      <c r="AH228" s="138"/>
      <c r="AI228" s="138"/>
      <c r="AJ228" s="138"/>
      <c r="AK228" s="138"/>
      <c r="AL228" s="138"/>
      <c r="AM228" s="138"/>
    </row>
    <row r="229" spans="32:39" x14ac:dyDescent="0.35">
      <c r="AF229" s="138"/>
      <c r="AG229" s="138"/>
      <c r="AH229" s="138"/>
      <c r="AI229" s="138"/>
      <c r="AJ229" s="138"/>
      <c r="AK229" s="138"/>
      <c r="AL229" s="138"/>
      <c r="AM229" s="138"/>
    </row>
    <row r="230" spans="32:39" x14ac:dyDescent="0.35">
      <c r="AF230" s="138"/>
      <c r="AG230" s="138"/>
      <c r="AH230" s="138"/>
      <c r="AI230" s="138"/>
      <c r="AJ230" s="138"/>
      <c r="AK230" s="138"/>
      <c r="AL230" s="138"/>
      <c r="AM230" s="138"/>
    </row>
    <row r="231" spans="32:39" x14ac:dyDescent="0.35">
      <c r="AF231" s="138"/>
      <c r="AG231" s="138"/>
      <c r="AH231" s="138"/>
      <c r="AI231" s="138"/>
      <c r="AJ231" s="138"/>
      <c r="AK231" s="138"/>
      <c r="AL231" s="138"/>
      <c r="AM231" s="138"/>
    </row>
    <row r="232" spans="32:39" x14ac:dyDescent="0.35">
      <c r="AF232" s="138"/>
      <c r="AG232" s="138"/>
      <c r="AH232" s="138"/>
      <c r="AI232" s="138"/>
      <c r="AJ232" s="138"/>
      <c r="AK232" s="138"/>
      <c r="AL232" s="138"/>
      <c r="AM232" s="138"/>
    </row>
    <row r="233" spans="32:39" x14ac:dyDescent="0.35">
      <c r="AF233" s="138"/>
      <c r="AG233" s="138"/>
      <c r="AH233" s="138"/>
      <c r="AI233" s="138"/>
      <c r="AJ233" s="138"/>
      <c r="AK233" s="138"/>
      <c r="AL233" s="138"/>
      <c r="AM233" s="138"/>
    </row>
    <row r="234" spans="32:39" x14ac:dyDescent="0.35">
      <c r="AF234" s="138"/>
      <c r="AG234" s="138"/>
      <c r="AH234" s="138"/>
      <c r="AI234" s="138"/>
      <c r="AJ234" s="138"/>
      <c r="AK234" s="138"/>
      <c r="AL234" s="138"/>
      <c r="AM234" s="138"/>
    </row>
    <row r="235" spans="32:39" x14ac:dyDescent="0.35">
      <c r="AF235" s="138"/>
      <c r="AG235" s="138"/>
      <c r="AH235" s="138"/>
      <c r="AI235" s="138"/>
      <c r="AJ235" s="138"/>
      <c r="AK235" s="138"/>
      <c r="AL235" s="138"/>
      <c r="AM235" s="138"/>
    </row>
    <row r="236" spans="32:39" x14ac:dyDescent="0.35">
      <c r="AF236" s="138"/>
      <c r="AG236" s="138"/>
      <c r="AH236" s="138"/>
      <c r="AI236" s="138"/>
      <c r="AJ236" s="138"/>
      <c r="AK236" s="138"/>
      <c r="AL236" s="138"/>
      <c r="AM236" s="13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workbookViewId="0">
      <selection activeCell="B20" sqref="B20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0" t="s">
        <v>289</v>
      </c>
      <c r="C1" s="161" t="s">
        <v>290</v>
      </c>
      <c r="D1" s="46" t="s">
        <v>295</v>
      </c>
    </row>
    <row r="2" spans="1:7" x14ac:dyDescent="0.35">
      <c r="A2" s="165" t="s">
        <v>119</v>
      </c>
      <c r="B2" s="166"/>
      <c r="C2" s="166"/>
      <c r="D2" s="46"/>
      <c r="F2" s="46"/>
      <c r="G2" s="46"/>
    </row>
    <row r="3" spans="1:7" x14ac:dyDescent="0.35">
      <c r="A3" s="103" t="s">
        <v>122</v>
      </c>
      <c r="B3">
        <v>1.1E-5</v>
      </c>
      <c r="C3">
        <v>1.2E-5</v>
      </c>
      <c r="D3" t="s">
        <v>291</v>
      </c>
    </row>
    <row r="4" spans="1:7" x14ac:dyDescent="0.35">
      <c r="B4">
        <v>-9.3155000000000002E-2</v>
      </c>
      <c r="C4">
        <v>-8.9315000000000005E-2</v>
      </c>
      <c r="D4" t="s">
        <v>292</v>
      </c>
    </row>
    <row r="5" spans="1:7" x14ac:dyDescent="0.35">
      <c r="B5">
        <v>-1.16E-4</v>
      </c>
      <c r="C5">
        <v>-1.18E-4</v>
      </c>
      <c r="D5" t="s">
        <v>293</v>
      </c>
    </row>
    <row r="6" spans="1:7" x14ac:dyDescent="0.35">
      <c r="B6">
        <v>0</v>
      </c>
      <c r="C6">
        <v>0</v>
      </c>
      <c r="D6" t="s">
        <v>294</v>
      </c>
    </row>
    <row r="7" spans="1:7" x14ac:dyDescent="0.35">
      <c r="A7" s="65"/>
      <c r="B7" s="65"/>
      <c r="C7" s="65"/>
    </row>
    <row r="8" spans="1:7" x14ac:dyDescent="0.35">
      <c r="A8" s="103" t="s">
        <v>123</v>
      </c>
      <c r="B8">
        <v>6.0000000000000002E-6</v>
      </c>
      <c r="C8">
        <v>-2.3E-5</v>
      </c>
      <c r="D8" t="s">
        <v>291</v>
      </c>
    </row>
    <row r="9" spans="1:7" x14ac:dyDescent="0.35">
      <c r="B9">
        <v>2.05E-4</v>
      </c>
      <c r="C9">
        <v>-6.3E-5</v>
      </c>
      <c r="D9" t="s">
        <v>292</v>
      </c>
    </row>
    <row r="10" spans="1:7" x14ac:dyDescent="0.35">
      <c r="B10">
        <v>0</v>
      </c>
      <c r="C10">
        <v>7.4999999999999993E-5</v>
      </c>
      <c r="D10" t="s">
        <v>293</v>
      </c>
    </row>
    <row r="11" spans="1:7" x14ac:dyDescent="0.35">
      <c r="B11">
        <v>0</v>
      </c>
      <c r="C11">
        <v>0</v>
      </c>
      <c r="D11" t="s">
        <v>294</v>
      </c>
    </row>
    <row r="12" spans="1:7" x14ac:dyDescent="0.35">
      <c r="A12" t="s">
        <v>124</v>
      </c>
      <c r="B12" t="s">
        <v>296</v>
      </c>
      <c r="C12" s="107" t="s">
        <v>300</v>
      </c>
    </row>
    <row r="14" spans="1:7" x14ac:dyDescent="0.35">
      <c r="A14" s="162" t="s">
        <v>120</v>
      </c>
      <c r="B14" s="163"/>
      <c r="C14" s="163"/>
    </row>
    <row r="15" spans="1:7" x14ac:dyDescent="0.35">
      <c r="A15" s="103" t="s">
        <v>122</v>
      </c>
      <c r="B15">
        <v>7.9999999999999996E-6</v>
      </c>
      <c r="C15">
        <v>6.0000000000000002E-6</v>
      </c>
      <c r="D15" t="s">
        <v>291</v>
      </c>
    </row>
    <row r="16" spans="1:7" x14ac:dyDescent="0.35">
      <c r="B16">
        <v>-8.8769999999999995E-3</v>
      </c>
      <c r="C16">
        <v>-0.128914</v>
      </c>
      <c r="D16" t="s">
        <v>292</v>
      </c>
    </row>
    <row r="17" spans="1:4" x14ac:dyDescent="0.35">
      <c r="B17">
        <v>-1.3483E-2</v>
      </c>
      <c r="C17">
        <v>-1.1754000000000001E-2</v>
      </c>
      <c r="D17" t="s">
        <v>293</v>
      </c>
    </row>
    <row r="18" spans="1:4" x14ac:dyDescent="0.35">
      <c r="B18">
        <v>2.12E-4</v>
      </c>
      <c r="C18">
        <v>1.5100000000000001E-4</v>
      </c>
      <c r="D18" t="s">
        <v>294</v>
      </c>
    </row>
    <row r="19" spans="1:4" x14ac:dyDescent="0.35">
      <c r="A19" s="65"/>
      <c r="B19" s="65"/>
      <c r="C19" s="65"/>
    </row>
    <row r="20" spans="1:4" x14ac:dyDescent="0.35">
      <c r="A20" s="103" t="s">
        <v>123</v>
      </c>
      <c r="B20">
        <v>1.7E-5</v>
      </c>
      <c r="C20">
        <v>-3.0000000000000001E-5</v>
      </c>
      <c r="D20" t="s">
        <v>291</v>
      </c>
    </row>
    <row r="21" spans="1:4" x14ac:dyDescent="0.35">
      <c r="B21">
        <v>9.613E-3</v>
      </c>
      <c r="C21">
        <v>1.2409E-2</v>
      </c>
      <c r="D21" t="s">
        <v>292</v>
      </c>
    </row>
    <row r="22" spans="1:4" x14ac:dyDescent="0.35">
      <c r="B22">
        <v>1.2E-5</v>
      </c>
      <c r="C22">
        <v>7.0939999999999996E-3</v>
      </c>
      <c r="D22" t="s">
        <v>293</v>
      </c>
    </row>
    <row r="23" spans="1:4" x14ac:dyDescent="0.35">
      <c r="B23">
        <v>1.8599999999999999E-4</v>
      </c>
      <c r="C23">
        <v>-1.37E-4</v>
      </c>
      <c r="D23" t="s">
        <v>294</v>
      </c>
    </row>
    <row r="24" spans="1:4" x14ac:dyDescent="0.35">
      <c r="A24" t="s">
        <v>124</v>
      </c>
      <c r="B24" t="s">
        <v>297</v>
      </c>
      <c r="C24" s="107" t="s">
        <v>299</v>
      </c>
    </row>
    <row r="26" spans="1:4" x14ac:dyDescent="0.35">
      <c r="A26" s="164" t="s">
        <v>121</v>
      </c>
      <c r="B26" s="111"/>
      <c r="C26" s="111"/>
    </row>
    <row r="27" spans="1:4" x14ac:dyDescent="0.35">
      <c r="A27" s="103" t="s">
        <v>122</v>
      </c>
      <c r="B27">
        <v>-2.4035000000000001E-2</v>
      </c>
      <c r="C27">
        <v>0</v>
      </c>
      <c r="D27" t="s">
        <v>291</v>
      </c>
    </row>
    <row r="28" spans="1:4" x14ac:dyDescent="0.35">
      <c r="B28">
        <v>0.109836</v>
      </c>
      <c r="C28">
        <v>0</v>
      </c>
      <c r="D28" t="s">
        <v>292</v>
      </c>
    </row>
    <row r="29" spans="1:4" x14ac:dyDescent="0.35">
      <c r="B29">
        <v>1.062E-3</v>
      </c>
      <c r="C29">
        <v>0</v>
      </c>
      <c r="D29" t="s">
        <v>293</v>
      </c>
    </row>
    <row r="30" spans="1:4" x14ac:dyDescent="0.35">
      <c r="B30">
        <v>2.6999999999999999E-5</v>
      </c>
      <c r="C30">
        <v>0</v>
      </c>
      <c r="D30" t="s">
        <v>294</v>
      </c>
    </row>
    <row r="31" spans="1:4" x14ac:dyDescent="0.35">
      <c r="A31" s="65"/>
      <c r="B31" s="65"/>
      <c r="C31" s="65"/>
    </row>
    <row r="32" spans="1:4" x14ac:dyDescent="0.35">
      <c r="A32" s="103" t="s">
        <v>123</v>
      </c>
      <c r="B32">
        <v>-4.8999000000000001E-2</v>
      </c>
      <c r="C32">
        <v>0</v>
      </c>
      <c r="D32" t="s">
        <v>291</v>
      </c>
    </row>
    <row r="33" spans="1:4" x14ac:dyDescent="0.35">
      <c r="B33">
        <v>-1.0479989999999999</v>
      </c>
      <c r="C33">
        <v>0</v>
      </c>
      <c r="D33" t="s">
        <v>292</v>
      </c>
    </row>
    <row r="34" spans="1:4" x14ac:dyDescent="0.35">
      <c r="B34">
        <v>1.0939999999999999E-3</v>
      </c>
      <c r="C34">
        <v>0</v>
      </c>
      <c r="D34" t="s">
        <v>293</v>
      </c>
    </row>
    <row r="35" spans="1:4" x14ac:dyDescent="0.35">
      <c r="B35">
        <v>-7.7000000000000001E-5</v>
      </c>
      <c r="C35">
        <v>0</v>
      </c>
      <c r="D35" t="s">
        <v>294</v>
      </c>
    </row>
    <row r="36" spans="1:4" x14ac:dyDescent="0.35">
      <c r="A36" t="s">
        <v>124</v>
      </c>
      <c r="B36" t="s">
        <v>298</v>
      </c>
      <c r="C36" s="107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7" t="s">
        <v>141</v>
      </c>
    </row>
    <row r="54" spans="1:5" x14ac:dyDescent="0.35">
      <c r="B54">
        <f>((B19*Parameters!$B$33*'Motor Data'!$B$52)/Parameters!$B$12)</f>
        <v>597.40309314000012</v>
      </c>
      <c r="D54" s="107"/>
    </row>
    <row r="55" spans="1:5" x14ac:dyDescent="0.35">
      <c r="A55" t="s">
        <v>142</v>
      </c>
    </row>
    <row r="56" spans="1:5" x14ac:dyDescent="0.35">
      <c r="A56" s="107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2" t="s">
        <v>148</v>
      </c>
      <c r="C1" s="104" t="s">
        <v>149</v>
      </c>
      <c r="D1" s="104" t="s">
        <v>150</v>
      </c>
      <c r="E1" s="104" t="s">
        <v>151</v>
      </c>
      <c r="F1" s="104" t="s">
        <v>152</v>
      </c>
      <c r="G1" s="104" t="s">
        <v>153</v>
      </c>
      <c r="H1" s="104" t="s">
        <v>154</v>
      </c>
      <c r="I1" s="104" t="s">
        <v>155</v>
      </c>
      <c r="K1" t="s">
        <v>156</v>
      </c>
      <c r="Q1" s="167" t="s">
        <v>157</v>
      </c>
      <c r="R1" s="167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5">
        <v>150</v>
      </c>
      <c r="R3">
        <v>26.27</v>
      </c>
    </row>
    <row r="4" spans="1:18" ht="15.5" x14ac:dyDescent="0.35">
      <c r="B4" t="s">
        <v>163</v>
      </c>
      <c r="C4" s="106" t="s">
        <v>149</v>
      </c>
      <c r="D4" s="106" t="s">
        <v>164</v>
      </c>
      <c r="E4" s="106" t="s">
        <v>165</v>
      </c>
      <c r="F4" s="106" t="s">
        <v>166</v>
      </c>
      <c r="G4" s="106" t="s">
        <v>167</v>
      </c>
      <c r="Q4" s="105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5">
        <v>200</v>
      </c>
      <c r="R5">
        <v>35.03</v>
      </c>
    </row>
    <row r="6" spans="1:18" ht="15.5" x14ac:dyDescent="0.35">
      <c r="Q6" s="105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4" t="s">
        <v>149</v>
      </c>
      <c r="D7" s="104" t="s">
        <v>150</v>
      </c>
      <c r="E7" s="104" t="s">
        <v>151</v>
      </c>
      <c r="F7" s="104" t="s">
        <v>152</v>
      </c>
      <c r="G7" s="104" t="s">
        <v>153</v>
      </c>
      <c r="H7" s="104" t="s">
        <v>154</v>
      </c>
      <c r="I7" s="104" t="s">
        <v>155</v>
      </c>
      <c r="Q7" s="105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5">
        <v>300</v>
      </c>
      <c r="R8">
        <v>52.54</v>
      </c>
    </row>
    <row r="9" spans="1:18" ht="15.5" x14ac:dyDescent="0.35">
      <c r="Q9" s="105">
        <v>350</v>
      </c>
      <c r="R9">
        <v>61.29</v>
      </c>
    </row>
    <row r="10" spans="1:18" ht="15.5" x14ac:dyDescent="0.35">
      <c r="B10" t="s">
        <v>163</v>
      </c>
      <c r="C10" s="106" t="s">
        <v>149</v>
      </c>
      <c r="D10" s="106" t="s">
        <v>164</v>
      </c>
      <c r="E10" s="106" t="s">
        <v>165</v>
      </c>
      <c r="F10" s="106" t="s">
        <v>166</v>
      </c>
      <c r="G10" s="106" t="s">
        <v>167</v>
      </c>
      <c r="Q10" s="105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5">
        <v>450</v>
      </c>
      <c r="R11">
        <v>78.81</v>
      </c>
    </row>
    <row r="12" spans="1:18" ht="15.5" x14ac:dyDescent="0.35">
      <c r="Q12" s="105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4" t="s">
        <v>149</v>
      </c>
      <c r="D13" s="104" t="s">
        <v>150</v>
      </c>
      <c r="E13" s="104" t="s">
        <v>151</v>
      </c>
      <c r="F13" s="104" t="s">
        <v>152</v>
      </c>
      <c r="G13" s="104" t="s">
        <v>153</v>
      </c>
      <c r="H13" s="104" t="s">
        <v>154</v>
      </c>
      <c r="I13" s="104" t="s">
        <v>155</v>
      </c>
      <c r="Q13" s="105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5">
        <v>600</v>
      </c>
      <c r="R14">
        <v>105.1</v>
      </c>
    </row>
    <row r="15" spans="1:18" ht="15.5" x14ac:dyDescent="0.35">
      <c r="Q15" s="105">
        <v>650</v>
      </c>
      <c r="R15">
        <v>113.8</v>
      </c>
    </row>
    <row r="16" spans="1:18" x14ac:dyDescent="0.35">
      <c r="B16" t="s">
        <v>163</v>
      </c>
      <c r="C16" s="106" t="s">
        <v>149</v>
      </c>
      <c r="D16" s="106" t="s">
        <v>164</v>
      </c>
      <c r="E16" s="106" t="s">
        <v>165</v>
      </c>
      <c r="F16" s="106" t="s">
        <v>166</v>
      </c>
      <c r="G16" s="106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4" t="s">
        <v>149</v>
      </c>
      <c r="D19" s="104" t="s">
        <v>150</v>
      </c>
      <c r="E19" s="104" t="s">
        <v>151</v>
      </c>
      <c r="F19" s="104" t="s">
        <v>152</v>
      </c>
      <c r="G19" s="104" t="s">
        <v>153</v>
      </c>
      <c r="H19" s="104" t="s">
        <v>154</v>
      </c>
      <c r="I19" s="104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6" t="s">
        <v>149</v>
      </c>
      <c r="D22" s="106" t="s">
        <v>164</v>
      </c>
      <c r="E22" s="106" t="s">
        <v>165</v>
      </c>
      <c r="F22" s="106" t="s">
        <v>166</v>
      </c>
      <c r="G22" s="106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4" t="s">
        <v>149</v>
      </c>
      <c r="D25" s="104" t="s">
        <v>150</v>
      </c>
      <c r="E25" s="104" t="s">
        <v>151</v>
      </c>
      <c r="F25" s="104" t="s">
        <v>152</v>
      </c>
      <c r="G25" s="104" t="s">
        <v>153</v>
      </c>
      <c r="H25" s="104" t="s">
        <v>154</v>
      </c>
      <c r="I25" s="104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6" t="s">
        <v>149</v>
      </c>
      <c r="D28" s="106" t="s">
        <v>164</v>
      </c>
      <c r="E28" s="106" t="s">
        <v>165</v>
      </c>
      <c r="F28" s="106" t="s">
        <v>166</v>
      </c>
      <c r="G28" s="106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4" t="s">
        <v>149</v>
      </c>
      <c r="D31" s="104" t="s">
        <v>150</v>
      </c>
      <c r="E31" s="104" t="s">
        <v>151</v>
      </c>
      <c r="F31" s="104" t="s">
        <v>152</v>
      </c>
      <c r="G31" s="104" t="s">
        <v>153</v>
      </c>
      <c r="H31" s="104" t="s">
        <v>154</v>
      </c>
      <c r="I31" s="104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6" t="s">
        <v>149</v>
      </c>
      <c r="D34" s="106" t="s">
        <v>164</v>
      </c>
      <c r="E34" s="106" t="s">
        <v>165</v>
      </c>
      <c r="F34" s="106" t="s">
        <v>166</v>
      </c>
      <c r="G34" s="106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1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70" t="s">
        <v>175</v>
      </c>
      <c r="B2" s="75"/>
      <c r="C2" s="59" t="s">
        <v>176</v>
      </c>
      <c r="D2" s="60"/>
      <c r="E2" s="61" t="s">
        <v>177</v>
      </c>
      <c r="F2" s="60"/>
      <c r="H2" s="170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71"/>
      <c r="B3" s="57"/>
      <c r="C3" s="62" t="s">
        <v>179</v>
      </c>
      <c r="D3">
        <v>0</v>
      </c>
      <c r="E3" s="52" t="s">
        <v>179</v>
      </c>
      <c r="F3" s="63">
        <v>0</v>
      </c>
      <c r="H3" s="171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8" t="s">
        <v>190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9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184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8" t="s">
        <v>191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9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185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8" t="s">
        <v>192</v>
      </c>
      <c r="B32" s="75"/>
      <c r="C32" s="59" t="s">
        <v>176</v>
      </c>
      <c r="D32" s="60"/>
      <c r="E32" s="61" t="s">
        <v>177</v>
      </c>
      <c r="F32" s="60"/>
      <c r="H32" s="170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9"/>
      <c r="B33" s="57"/>
      <c r="C33" s="62" t="s">
        <v>179</v>
      </c>
      <c r="D33">
        <v>0</v>
      </c>
      <c r="E33" s="52" t="s">
        <v>179</v>
      </c>
      <c r="F33" s="63">
        <v>0</v>
      </c>
      <c r="H33" s="171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185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59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G47" sqref="G47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9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90625" bestFit="1" customWidth="1"/>
    <col min="10" max="10" width="17.26953125" bestFit="1" customWidth="1"/>
  </cols>
  <sheetData>
    <row r="1" spans="1:10" ht="29" x14ac:dyDescent="0.35">
      <c r="A1" s="175" t="s">
        <v>187</v>
      </c>
      <c r="B1" s="177" t="s">
        <v>188</v>
      </c>
      <c r="C1" s="86" t="s">
        <v>189</v>
      </c>
      <c r="D1" s="5" t="s">
        <v>190</v>
      </c>
      <c r="E1" s="5" t="s">
        <v>191</v>
      </c>
      <c r="F1" s="5" t="s">
        <v>192</v>
      </c>
      <c r="G1" s="86" t="s">
        <v>186</v>
      </c>
      <c r="H1" s="86" t="s">
        <v>178</v>
      </c>
      <c r="I1" s="5" t="s">
        <v>193</v>
      </c>
      <c r="J1" s="5" t="s">
        <v>194</v>
      </c>
    </row>
    <row r="2" spans="1:10" ht="15" thickBot="1" x14ac:dyDescent="0.4">
      <c r="A2" s="176"/>
      <c r="B2" s="178"/>
      <c r="C2" s="87" t="s">
        <v>195</v>
      </c>
      <c r="D2" s="6" t="s">
        <v>195</v>
      </c>
      <c r="E2" s="6" t="s">
        <v>195</v>
      </c>
      <c r="F2" s="6" t="s">
        <v>195</v>
      </c>
      <c r="G2" s="87" t="s">
        <v>195</v>
      </c>
      <c r="H2" s="87" t="s">
        <v>195</v>
      </c>
      <c r="I2" s="6" t="s">
        <v>195</v>
      </c>
      <c r="J2" s="6" t="s">
        <v>195</v>
      </c>
    </row>
    <row r="3" spans="1:10" x14ac:dyDescent="0.35">
      <c r="A3" s="179" t="s">
        <v>196</v>
      </c>
      <c r="B3" s="14" t="s">
        <v>197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198</v>
      </c>
      <c r="J3" s="81" t="s">
        <v>198</v>
      </c>
    </row>
    <row r="4" spans="1:10" x14ac:dyDescent="0.35">
      <c r="A4" s="180"/>
      <c r="B4" s="15" t="s">
        <v>199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198</v>
      </c>
      <c r="J4" s="82" t="s">
        <v>198</v>
      </c>
    </row>
    <row r="5" spans="1:10" x14ac:dyDescent="0.35">
      <c r="A5" s="180"/>
      <c r="B5" s="18" t="s">
        <v>200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198</v>
      </c>
      <c r="J5" s="82" t="s">
        <v>198</v>
      </c>
    </row>
    <row r="6" spans="1:10" x14ac:dyDescent="0.35">
      <c r="A6" s="180"/>
      <c r="B6" s="16" t="s">
        <v>201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3">
        <f>IF(MAX(C6:H6)&gt;0, MAX(C6:H6), 0)</f>
        <v>366.1712</v>
      </c>
    </row>
    <row r="7" spans="1:10" x14ac:dyDescent="0.35">
      <c r="A7" s="180"/>
      <c r="B7" s="16" t="s">
        <v>202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3">
        <f t="shared" ref="J7:J11" si="1">IF(MAX(C7:H7)&gt;0, MAX(C7:H7), 0)</f>
        <v>2171.9549999999999</v>
      </c>
    </row>
    <row r="8" spans="1:10" x14ac:dyDescent="0.35">
      <c r="A8" s="180"/>
      <c r="B8" s="16" t="s">
        <v>203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3">
        <f t="shared" si="1"/>
        <v>1099.0739000000001</v>
      </c>
    </row>
    <row r="9" spans="1:10" x14ac:dyDescent="0.35">
      <c r="A9" s="180"/>
      <c r="B9" s="16" t="s">
        <v>204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3">
        <f t="shared" si="1"/>
        <v>225.43979999999999</v>
      </c>
    </row>
    <row r="10" spans="1:10" x14ac:dyDescent="0.35">
      <c r="A10" s="180"/>
      <c r="B10" s="16" t="s">
        <v>205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3">
        <f t="shared" si="1"/>
        <v>504.50639999999999</v>
      </c>
    </row>
    <row r="11" spans="1:10" ht="15" thickBot="1" x14ac:dyDescent="0.4">
      <c r="A11" s="181"/>
      <c r="B11" s="17" t="s">
        <v>206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80">
        <f t="shared" si="0"/>
        <v>-1991.1782000000001</v>
      </c>
      <c r="J11" s="84">
        <f t="shared" si="1"/>
        <v>20.405000000000001</v>
      </c>
    </row>
    <row r="12" spans="1:10" x14ac:dyDescent="0.35">
      <c r="A12" s="182" t="s">
        <v>207</v>
      </c>
      <c r="B12" s="14" t="s">
        <v>197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198</v>
      </c>
      <c r="J12" s="85" t="s">
        <v>198</v>
      </c>
    </row>
    <row r="13" spans="1:10" x14ac:dyDescent="0.35">
      <c r="A13" s="180"/>
      <c r="B13" s="15" t="s">
        <v>199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198</v>
      </c>
      <c r="J13" s="82" t="s">
        <v>198</v>
      </c>
    </row>
    <row r="14" spans="1:10" x14ac:dyDescent="0.35">
      <c r="A14" s="180"/>
      <c r="B14" s="15" t="s">
        <v>197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198</v>
      </c>
      <c r="J14" s="82" t="s">
        <v>198</v>
      </c>
    </row>
    <row r="15" spans="1:10" x14ac:dyDescent="0.35">
      <c r="A15" s="180"/>
      <c r="B15" s="16" t="s">
        <v>201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19" si="2">IF(MIN(C15:H15)&lt;0, MIN(C15:H15), 0)</f>
        <v>-342.7405</v>
      </c>
      <c r="J15" s="83">
        <f t="shared" ref="J15:J20" si="3">IF(MAX(C15:H15)&gt;0, MAX(C15:H15), 0)</f>
        <v>366.1712</v>
      </c>
    </row>
    <row r="16" spans="1:10" x14ac:dyDescent="0.35">
      <c r="A16" s="180"/>
      <c r="B16" s="16" t="s">
        <v>202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3">
        <f t="shared" si="3"/>
        <v>2430.7599</v>
      </c>
    </row>
    <row r="17" spans="1:10" x14ac:dyDescent="0.35">
      <c r="A17" s="180"/>
      <c r="B17" s="16" t="s">
        <v>203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3">
        <f t="shared" si="3"/>
        <v>1957.7947999999999</v>
      </c>
    </row>
    <row r="18" spans="1:10" x14ac:dyDescent="0.35">
      <c r="A18" s="180"/>
      <c r="B18" s="16" t="s">
        <v>204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3">
        <f t="shared" si="3"/>
        <v>95.8489</v>
      </c>
    </row>
    <row r="19" spans="1:10" x14ac:dyDescent="0.35">
      <c r="A19" s="180"/>
      <c r="B19" s="16" t="s">
        <v>205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3">
        <f t="shared" si="3"/>
        <v>504.50639999999999</v>
      </c>
    </row>
    <row r="20" spans="1:10" ht="15" thickBot="1" x14ac:dyDescent="0.4">
      <c r="A20" s="181"/>
      <c r="B20" s="17" t="s">
        <v>206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80">
        <f>IF(MIN(C20:H20)&lt;0, MIN(C20:H20), 0)</f>
        <v>-3044.3397</v>
      </c>
      <c r="J20" s="84">
        <f t="shared" si="3"/>
        <v>20.862500000000001</v>
      </c>
    </row>
    <row r="21" spans="1:10" x14ac:dyDescent="0.35">
      <c r="A21" s="172" t="s">
        <v>208</v>
      </c>
      <c r="B21" s="14" t="s">
        <v>197</v>
      </c>
      <c r="C21" s="89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198</v>
      </c>
      <c r="J21" s="85" t="s">
        <v>198</v>
      </c>
    </row>
    <row r="22" spans="1:10" x14ac:dyDescent="0.35">
      <c r="A22" s="173"/>
      <c r="B22" s="15" t="s">
        <v>199</v>
      </c>
      <c r="C22" s="90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198</v>
      </c>
      <c r="J22" s="82" t="s">
        <v>198</v>
      </c>
    </row>
    <row r="23" spans="1:10" x14ac:dyDescent="0.35">
      <c r="A23" s="173"/>
      <c r="B23" s="15" t="s">
        <v>197</v>
      </c>
      <c r="C23" s="88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198</v>
      </c>
      <c r="J23" s="82" t="s">
        <v>198</v>
      </c>
    </row>
    <row r="24" spans="1:10" x14ac:dyDescent="0.35">
      <c r="A24" s="173"/>
      <c r="B24" s="16" t="s">
        <v>209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3">
        <f t="shared" ref="J24:J29" si="5">IF(MAX(C24:H24)&gt;0, MAX(C24:H24), 0)</f>
        <v>292.71660000000003</v>
      </c>
    </row>
    <row r="25" spans="1:10" x14ac:dyDescent="0.35">
      <c r="A25" s="173"/>
      <c r="B25" s="16" t="s">
        <v>202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3">
        <f t="shared" si="5"/>
        <v>1037.3034</v>
      </c>
    </row>
    <row r="26" spans="1:10" x14ac:dyDescent="0.35">
      <c r="A26" s="173"/>
      <c r="B26" s="16" t="s">
        <v>203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3">
        <f t="shared" si="5"/>
        <v>640.56600000000003</v>
      </c>
    </row>
    <row r="27" spans="1:10" x14ac:dyDescent="0.35">
      <c r="A27" s="173"/>
      <c r="B27" s="16" t="s">
        <v>204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3">
        <f t="shared" si="5"/>
        <v>550.22889999999995</v>
      </c>
    </row>
    <row r="28" spans="1:10" x14ac:dyDescent="0.35">
      <c r="A28" s="173"/>
      <c r="B28" s="16" t="s">
        <v>205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3">
        <f t="shared" si="5"/>
        <v>939.93730000000005</v>
      </c>
    </row>
    <row r="29" spans="1:10" ht="15" thickBot="1" x14ac:dyDescent="0.4">
      <c r="A29" s="174"/>
      <c r="B29" s="17" t="s">
        <v>206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80">
        <f t="shared" si="4"/>
        <v>-1616.8639000000001</v>
      </c>
      <c r="J29" s="83">
        <f t="shared" si="5"/>
        <v>0</v>
      </c>
    </row>
    <row r="30" spans="1:10" x14ac:dyDescent="0.35">
      <c r="A30" s="172" t="s">
        <v>210</v>
      </c>
      <c r="B30" s="14" t="s">
        <v>197</v>
      </c>
      <c r="C30" s="89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198</v>
      </c>
      <c r="J30" s="81" t="s">
        <v>198</v>
      </c>
    </row>
    <row r="31" spans="1:10" x14ac:dyDescent="0.35">
      <c r="A31" s="173"/>
      <c r="B31" s="15" t="s">
        <v>199</v>
      </c>
      <c r="C31" s="90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198</v>
      </c>
      <c r="J31" s="82" t="s">
        <v>198</v>
      </c>
    </row>
    <row r="32" spans="1:10" x14ac:dyDescent="0.35">
      <c r="A32" s="173"/>
      <c r="B32" s="15" t="s">
        <v>197</v>
      </c>
      <c r="C32" s="88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9" t="s">
        <v>198</v>
      </c>
      <c r="J32" s="82" t="s">
        <v>198</v>
      </c>
    </row>
    <row r="33" spans="1:10" x14ac:dyDescent="0.35">
      <c r="A33" s="173"/>
      <c r="B33" s="16" t="s">
        <v>209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3">
        <f t="shared" ref="J33:J38" si="7">IF(MAX(C33:H33)&gt;0, MAX(C33:H33), 0)</f>
        <v>730.79830000000004</v>
      </c>
    </row>
    <row r="34" spans="1:10" x14ac:dyDescent="0.35">
      <c r="A34" s="173"/>
      <c r="B34" s="16" t="s">
        <v>202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3">
        <f t="shared" si="7"/>
        <v>1037.3034</v>
      </c>
    </row>
    <row r="35" spans="1:10" x14ac:dyDescent="0.35">
      <c r="A35" s="173"/>
      <c r="B35" s="16" t="s">
        <v>203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3">
        <f t="shared" si="7"/>
        <v>640.56600000000003</v>
      </c>
    </row>
    <row r="36" spans="1:10" x14ac:dyDescent="0.35">
      <c r="A36" s="173"/>
      <c r="B36" s="16" t="s">
        <v>204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3">
        <f t="shared" si="7"/>
        <v>550.22889999999995</v>
      </c>
    </row>
    <row r="37" spans="1:10" x14ac:dyDescent="0.35">
      <c r="A37" s="173"/>
      <c r="B37" s="16" t="s">
        <v>205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3">
        <f t="shared" si="7"/>
        <v>939.93730000000005</v>
      </c>
    </row>
    <row r="38" spans="1:10" ht="15" thickBot="1" x14ac:dyDescent="0.4">
      <c r="A38" s="174"/>
      <c r="B38" s="17" t="s">
        <v>206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80">
        <f t="shared" si="6"/>
        <v>-2585.1048000000001</v>
      </c>
      <c r="J38" s="84">
        <f t="shared" si="7"/>
        <v>0</v>
      </c>
    </row>
    <row r="39" spans="1:10" x14ac:dyDescent="0.35">
      <c r="A39" t="s">
        <v>211</v>
      </c>
    </row>
    <row r="41" spans="1:10" x14ac:dyDescent="0.35">
      <c r="A41" s="46" t="s">
        <v>119</v>
      </c>
    </row>
    <row r="42" spans="1:10" x14ac:dyDescent="0.35">
      <c r="A42" t="s">
        <v>212</v>
      </c>
    </row>
    <row r="57" spans="1:1" x14ac:dyDescent="0.35">
      <c r="A57" t="s">
        <v>213</v>
      </c>
    </row>
    <row r="75" spans="1:1" x14ac:dyDescent="0.35">
      <c r="A75" s="46" t="s">
        <v>120</v>
      </c>
    </row>
    <row r="76" spans="1:1" x14ac:dyDescent="0.35">
      <c r="A76" t="s">
        <v>212</v>
      </c>
    </row>
    <row r="91" spans="1:1" x14ac:dyDescent="0.35">
      <c r="A91" t="s">
        <v>213</v>
      </c>
    </row>
    <row r="107" spans="1:1" x14ac:dyDescent="0.35">
      <c r="A107" s="46" t="s">
        <v>121</v>
      </c>
    </row>
    <row r="108" spans="1:1" x14ac:dyDescent="0.35">
      <c r="A108" t="s">
        <v>212</v>
      </c>
    </row>
    <row r="121" spans="1:1" x14ac:dyDescent="0.35">
      <c r="A121" t="s">
        <v>213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J19" sqref="J19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6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28.735665419069068</v>
      </c>
      <c r="M2" s="26">
        <f t="shared" ref="M2:M13" si="2">SQRT(2*PI()^2*U2*$W$6*1000/C2)</f>
        <v>1308.5779450708246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4">
        <f>MIN(ABS(P2/C2),ABS(Q2/C2),ABS(Q2/D2))</f>
        <v>14.441832315375239</v>
      </c>
      <c r="S2" s="26">
        <f>$W$7/(MAX(C3:D3)/H3)</f>
        <v>2.6103646672039709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7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47.931323006038404</v>
      </c>
      <c r="M3" s="26">
        <f t="shared" si="2"/>
        <v>3086.8302848685307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4">
        <f t="shared" ref="R3:R12" si="11">MIN(ABS(P3/C3),ABS(Q3/C3),ABS(Q3/D3))</f>
        <v>3.2852742645376116</v>
      </c>
      <c r="S3" s="26">
        <f t="shared" ref="S3:S12" si="12">$W$7/(MAX(C4:D4)/H4)</f>
        <v>3.2409779397801328</v>
      </c>
      <c r="T3" s="19" t="s">
        <v>234</v>
      </c>
      <c r="U3" s="32">
        <v>2</v>
      </c>
      <c r="V3" s="183" t="s">
        <v>235</v>
      </c>
      <c r="W3" s="184"/>
      <c r="X3" s="185"/>
    </row>
    <row r="4" spans="1:25" ht="15" thickBot="1" x14ac:dyDescent="0.4">
      <c r="A4" s="187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16.801423440689888</v>
      </c>
      <c r="M4" s="26">
        <f t="shared" si="2"/>
        <v>1082.0302769253385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4">
        <f t="shared" si="11"/>
        <v>4.078932553472927</v>
      </c>
      <c r="S4" s="26">
        <f t="shared" si="12"/>
        <v>6.0752669119524034</v>
      </c>
      <c r="T4" s="19" t="s">
        <v>234</v>
      </c>
      <c r="U4" s="32">
        <v>2</v>
      </c>
      <c r="V4" s="33" t="s">
        <v>236</v>
      </c>
      <c r="W4" s="34">
        <v>0.28360000000000002</v>
      </c>
      <c r="X4" s="35" t="s">
        <v>237</v>
      </c>
    </row>
    <row r="5" spans="1:25" ht="15" thickBot="1" x14ac:dyDescent="0.4">
      <c r="A5" s="187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16.461334122345658</v>
      </c>
      <c r="M5" s="26">
        <f t="shared" si="2"/>
        <v>1060.1281481797371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4">
        <f t="shared" si="11"/>
        <v>7.6460267359551084</v>
      </c>
      <c r="S5" s="26">
        <f t="shared" si="12"/>
        <v>7.708234612966784</v>
      </c>
      <c r="T5" s="19" t="s">
        <v>234</v>
      </c>
      <c r="U5" s="32">
        <v>2</v>
      </c>
      <c r="V5" s="33" t="s">
        <v>238</v>
      </c>
      <c r="W5" s="34">
        <v>66717.358999999997</v>
      </c>
      <c r="X5" s="35" t="s">
        <v>239</v>
      </c>
    </row>
    <row r="6" spans="1:25" ht="15" thickBot="1" x14ac:dyDescent="0.4">
      <c r="A6" s="187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18.54213807941801</v>
      </c>
      <c r="M6" s="26">
        <f t="shared" si="2"/>
        <v>1194.134227476902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4">
        <f t="shared" si="11"/>
        <v>9.7011981188523535</v>
      </c>
      <c r="S6" s="26">
        <f t="shared" si="12"/>
        <v>2.0842515562295025</v>
      </c>
      <c r="T6" s="19" t="s">
        <v>234</v>
      </c>
      <c r="U6" s="32">
        <v>2</v>
      </c>
      <c r="V6" s="33" t="s">
        <v>240</v>
      </c>
      <c r="W6" s="34">
        <v>29732.736199999999</v>
      </c>
      <c r="X6" s="35" t="s">
        <v>241</v>
      </c>
    </row>
    <row r="7" spans="1:25" ht="15" thickBot="1" x14ac:dyDescent="0.4">
      <c r="A7" s="188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2">
        <f t="shared" si="0"/>
        <v>0.28088470015152467</v>
      </c>
      <c r="K7" s="93">
        <f t="shared" si="8"/>
        <v>1.7236969049343337E-3</v>
      </c>
      <c r="L7" s="94">
        <f t="shared" si="1"/>
        <v>9.6417843944052866</v>
      </c>
      <c r="M7" s="95">
        <f t="shared" si="2"/>
        <v>439.07201123222023</v>
      </c>
      <c r="N7" s="93">
        <f t="shared" si="9"/>
        <v>68.953129552019831</v>
      </c>
      <c r="O7" s="93">
        <f t="shared" si="3"/>
        <v>7985.7090336107158</v>
      </c>
      <c r="P7" s="93">
        <f t="shared" si="13"/>
        <v>7387.5682671179993</v>
      </c>
      <c r="Q7" s="143">
        <f t="shared" si="10"/>
        <v>7985.7129427400187</v>
      </c>
      <c r="R7" s="143">
        <f t="shared" si="11"/>
        <v>2.4266570077964689</v>
      </c>
      <c r="S7" s="95">
        <f t="shared" si="12"/>
        <v>8.6825184971232918</v>
      </c>
      <c r="T7" s="21" t="s">
        <v>233</v>
      </c>
      <c r="U7" s="96">
        <v>1</v>
      </c>
      <c r="V7" s="36" t="s">
        <v>230</v>
      </c>
      <c r="W7" s="37">
        <v>53011.292999999998</v>
      </c>
      <c r="X7" s="38" t="s">
        <v>239</v>
      </c>
      <c r="Y7" s="100" t="s">
        <v>242</v>
      </c>
    </row>
    <row r="8" spans="1:25" ht="15" thickBot="1" x14ac:dyDescent="0.4">
      <c r="A8" s="186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7">
        <f t="shared" si="0"/>
        <v>0.32600833536185769</v>
      </c>
      <c r="K8" s="39">
        <f t="shared" si="8"/>
        <v>1.7236969049343337E-3</v>
      </c>
      <c r="L8" s="98">
        <f t="shared" si="1"/>
        <v>37.822938058276421</v>
      </c>
      <c r="M8" s="26">
        <f t="shared" si="2"/>
        <v>1722.3983450195633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4">
        <f t="shared" si="11"/>
        <v>10.927383031323442</v>
      </c>
      <c r="S8" s="26">
        <f t="shared" si="12"/>
        <v>6.1169854040932066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7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98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4">
        <f t="shared" si="11"/>
        <v>7.698531541244364</v>
      </c>
      <c r="S9" s="26">
        <f t="shared" si="12"/>
        <v>9.2685515539216716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7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98">
        <f t="shared" si="1"/>
        <v>20.332383074742001</v>
      </c>
      <c r="M10" s="26">
        <f t="shared" si="2"/>
        <v>1309.4279878474269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4">
        <f t="shared" si="11"/>
        <v>11.664934892891596</v>
      </c>
      <c r="S10" s="26">
        <f t="shared" si="12"/>
        <v>11.531872930368175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7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98">
        <f t="shared" si="1"/>
        <v>39.278139968921352</v>
      </c>
      <c r="M11" s="26">
        <f t="shared" si="2"/>
        <v>2529.5557139972343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4">
        <f t="shared" si="11"/>
        <v>14.513437848757162</v>
      </c>
      <c r="S11" s="26">
        <f t="shared" si="12"/>
        <v>6.7506308744383876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7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98">
        <f t="shared" si="1"/>
        <v>38.087557932274784</v>
      </c>
      <c r="M12" s="26">
        <f t="shared" si="2"/>
        <v>2452.880912283998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4">
        <f t="shared" si="11"/>
        <v>8.4960060024642257</v>
      </c>
      <c r="S12" s="26">
        <f t="shared" si="12"/>
        <v>2.4545116149319197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8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2">
        <f t="shared" si="0"/>
        <v>0.30413391233504766</v>
      </c>
      <c r="K13" s="93">
        <f t="shared" si="8"/>
        <v>1.7236969049343337E-3</v>
      </c>
      <c r="L13" s="80">
        <f t="shared" si="1"/>
        <v>10.463208854697404</v>
      </c>
      <c r="M13" s="143">
        <f t="shared" si="2"/>
        <v>476.4784160119288</v>
      </c>
      <c r="N13" s="93">
        <f t="shared" si="9"/>
        <v>74.660474732473077</v>
      </c>
      <c r="O13" s="93">
        <f t="shared" si="3"/>
        <v>7985.7087100467179</v>
      </c>
      <c r="P13" s="93">
        <f t="shared" si="13"/>
        <v>6301.2683801833018</v>
      </c>
      <c r="Q13" s="143">
        <f t="shared" si="10"/>
        <v>7985.7129427400187</v>
      </c>
      <c r="R13" s="143">
        <f>MIN(ABS(P13/C13),ABS(Q13/C13))</f>
        <v>2.4375291787719018</v>
      </c>
      <c r="S13" s="95" cm="1">
        <f t="array" ref="S13">$W$7/(MAX(C13:D13/H13))</f>
        <v>2.4545116149319197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  <row r="17" spans="15:15" x14ac:dyDescent="0.35">
      <c r="O17" s="158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" sqref="F2:G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6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5.2499999999999998E-2</v>
      </c>
      <c r="H2" s="7">
        <f>PI()*((F2/2)^2-(F2/2-G2)^2)</f>
        <v>9.1125821908188923E-2</v>
      </c>
      <c r="I2" s="7">
        <f>H2*E2</f>
        <v>0.81474686109892647</v>
      </c>
      <c r="J2" s="31">
        <f t="shared" ref="J2:J13" si="0">I2*$W$4</f>
        <v>4.3914855813232137E-2</v>
      </c>
      <c r="K2" s="30">
        <f>PI()*(F2^4-(F2-(2*G2))^4)/64</f>
        <v>3.5084865275620048E-3</v>
      </c>
      <c r="L2" s="42">
        <f t="shared" ref="L2:L8" si="1">0.282*SQRT($W$6*1000*H2/C2)</f>
        <v>20.305067158701721</v>
      </c>
      <c r="M2" s="145">
        <f t="shared" ref="M2:M13" si="2">SQRT(2*PI()^2*U2*$W$6*1000/C2)</f>
        <v>1059.740332084642</v>
      </c>
      <c r="N2" s="30">
        <f>E2/SQRT(K2/H2)</f>
        <v>45.566121111430064</v>
      </c>
      <c r="O2" s="30">
        <f>H2*($W$5-($W$5*E2/(2*PI()*SQRT(K2/H2))^2/(U2*$W$6*1000)))</f>
        <v>5750.0376278865597</v>
      </c>
      <c r="P2" s="30">
        <f>U2*PI()^2*$W$6*1000*K2/E2^2</f>
        <v>8446.7899575229712</v>
      </c>
      <c r="Q2" s="26">
        <f>H2*$W$5</f>
        <v>5750.039362406721</v>
      </c>
      <c r="R2" s="144">
        <f>MIN(ABS(P2/C2),ABS(Q2/C2),ABS(Q2/D2))</f>
        <v>15.703144765089993</v>
      </c>
      <c r="S2" s="26">
        <f>$W$7/(MAX(C3:D3)/H3)</f>
        <v>2.1743396666511399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7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31">
        <f t="shared" si="0"/>
        <v>5.1912547289558443E-2</v>
      </c>
      <c r="K3" s="30">
        <f t="shared" ref="K3:K13" si="5">PI()*(F3^4-(F3-(2*G3))^4)/64</f>
        <v>3.5084865275620048E-3</v>
      </c>
      <c r="L3" s="42">
        <f t="shared" si="1"/>
        <v>33.869016723628192</v>
      </c>
      <c r="M3" s="144">
        <f t="shared" si="2"/>
        <v>2499.8423391573024</v>
      </c>
      <c r="N3" s="30">
        <f t="shared" ref="N3:N13" si="6">E3/SQRT(K3/H3)</f>
        <v>53.864537938118829</v>
      </c>
      <c r="O3" s="30">
        <f t="shared" ref="O3:O13" si="7">H3*($W$5-($W$5*E3/(2*PI()*SQRT(K3/H3))^2/(U3*$W$6*1000)))</f>
        <v>5750.0383372028546</v>
      </c>
      <c r="P3" s="30">
        <f t="shared" ref="P3:P13" si="8">U3*PI()^2*$W$6*1000*K3/E3^2</f>
        <v>12089.265998890145</v>
      </c>
      <c r="Q3" s="26">
        <f t="shared" ref="Q3:Q13" si="9">H3*$W$5</f>
        <v>5750.039362406721</v>
      </c>
      <c r="R3" s="144">
        <f t="shared" ref="R3:R12" si="10">MIN(ABS(P3/C3),ABS(Q3/C3),ABS(Q3/D3))</f>
        <v>2.3655316028566711</v>
      </c>
      <c r="S3" s="26">
        <f t="shared" ref="S3:S12" si="11">$W$7/(MAX(C4:D4)/H4)</f>
        <v>2.6996177897065405</v>
      </c>
      <c r="T3" s="19" t="s">
        <v>234</v>
      </c>
      <c r="U3" s="32">
        <v>2</v>
      </c>
      <c r="V3" s="183" t="s">
        <v>235</v>
      </c>
      <c r="W3" s="184"/>
      <c r="X3" s="185"/>
    </row>
    <row r="4" spans="1:25" ht="15" thickBot="1" x14ac:dyDescent="0.4">
      <c r="A4" s="187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5.2499999999999998E-2</v>
      </c>
      <c r="H4" s="7">
        <f t="shared" si="3"/>
        <v>9.1125821908188923E-2</v>
      </c>
      <c r="I4" s="7">
        <f t="shared" si="4"/>
        <v>0.95784173924135541</v>
      </c>
      <c r="J4" s="31">
        <f t="shared" si="0"/>
        <v>5.1627669745109059E-2</v>
      </c>
      <c r="K4" s="30">
        <f t="shared" si="5"/>
        <v>3.5084865275620048E-3</v>
      </c>
      <c r="L4" s="42">
        <f t="shared" si="1"/>
        <v>11.872146558979725</v>
      </c>
      <c r="M4" s="144">
        <f t="shared" si="2"/>
        <v>876.27269687204875</v>
      </c>
      <c r="N4" s="30">
        <f t="shared" si="6"/>
        <v>53.568948565185124</v>
      </c>
      <c r="O4" s="30">
        <f t="shared" si="7"/>
        <v>5750.0383428288078</v>
      </c>
      <c r="P4" s="30">
        <f t="shared" si="8"/>
        <v>12223.049382276033</v>
      </c>
      <c r="Q4" s="26">
        <f t="shared" si="9"/>
        <v>5750.039362406721</v>
      </c>
      <c r="R4" s="144">
        <f t="shared" si="10"/>
        <v>2.9369979746634947</v>
      </c>
      <c r="S4" s="26">
        <f t="shared" si="11"/>
        <v>5.0604783301409499</v>
      </c>
      <c r="T4" s="19" t="s">
        <v>234</v>
      </c>
      <c r="U4" s="32">
        <v>2</v>
      </c>
      <c r="V4" s="33" t="s">
        <v>236</v>
      </c>
      <c r="W4" s="142">
        <v>5.3900000000000003E-2</v>
      </c>
      <c r="X4" s="35" t="s">
        <v>237</v>
      </c>
    </row>
    <row r="5" spans="1:25" ht="15" thickBot="1" x14ac:dyDescent="0.4">
      <c r="A5" s="187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5.2499999999999998E-2</v>
      </c>
      <c r="H5" s="7">
        <f t="shared" si="3"/>
        <v>9.1125821908188923E-2</v>
      </c>
      <c r="I5" s="7">
        <f t="shared" si="4"/>
        <v>0.85571703062884819</v>
      </c>
      <c r="J5" s="31">
        <f t="shared" si="0"/>
        <v>4.6123147950894922E-2</v>
      </c>
      <c r="K5" s="30">
        <f t="shared" si="5"/>
        <v>3.5084865275620048E-3</v>
      </c>
      <c r="L5" s="42">
        <f t="shared" si="1"/>
        <v>11.6318341684981</v>
      </c>
      <c r="M5" s="144">
        <f t="shared" si="2"/>
        <v>858.53545066699519</v>
      </c>
      <c r="N5" s="30">
        <f t="shared" si="6"/>
        <v>47.857448388516147</v>
      </c>
      <c r="O5" s="30">
        <f t="shared" si="7"/>
        <v>5750.0384515358037</v>
      </c>
      <c r="P5" s="30">
        <f t="shared" si="8"/>
        <v>15314.637857007167</v>
      </c>
      <c r="Q5" s="26">
        <f t="shared" si="9"/>
        <v>5750.039362406721</v>
      </c>
      <c r="R5" s="144">
        <f t="shared" si="10"/>
        <v>5.505451424687827</v>
      </c>
      <c r="S5" s="26">
        <f t="shared" si="11"/>
        <v>6.4206815581745467</v>
      </c>
      <c r="T5" s="19" t="s">
        <v>234</v>
      </c>
      <c r="U5" s="32">
        <v>2</v>
      </c>
      <c r="V5" s="33" t="s">
        <v>238</v>
      </c>
      <c r="W5" s="140">
        <v>63100</v>
      </c>
      <c r="X5" s="35" t="s">
        <v>239</v>
      </c>
    </row>
    <row r="6" spans="1:25" ht="15" thickBot="1" x14ac:dyDescent="0.4">
      <c r="A6" s="187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5.2499999999999998E-2</v>
      </c>
      <c r="H6" s="7">
        <f t="shared" si="3"/>
        <v>9.1125821908188923E-2</v>
      </c>
      <c r="I6" s="7">
        <f t="shared" si="4"/>
        <v>0.86502097704567416</v>
      </c>
      <c r="J6" s="31">
        <f t="shared" si="0"/>
        <v>4.6624630662761839E-2</v>
      </c>
      <c r="K6" s="30">
        <f t="shared" si="5"/>
        <v>3.5084865275620048E-3</v>
      </c>
      <c r="L6" s="42">
        <f t="shared" si="1"/>
        <v>13.102162538357549</v>
      </c>
      <c r="M6" s="144">
        <f t="shared" si="2"/>
        <v>967.05909460480609</v>
      </c>
      <c r="N6" s="30">
        <f t="shared" si="6"/>
        <v>48.377787612249435</v>
      </c>
      <c r="O6" s="30">
        <f t="shared" si="7"/>
        <v>5750.0384416321858</v>
      </c>
      <c r="P6" s="30">
        <f t="shared" si="8"/>
        <v>14986.968819940497</v>
      </c>
      <c r="Q6" s="26">
        <f t="shared" si="9"/>
        <v>5750.039362406721</v>
      </c>
      <c r="R6" s="144">
        <f t="shared" si="10"/>
        <v>6.985258729669205</v>
      </c>
      <c r="S6" s="26">
        <f t="shared" si="11"/>
        <v>1.7361064110798665</v>
      </c>
      <c r="T6" s="19" t="s">
        <v>234</v>
      </c>
      <c r="U6" s="32">
        <v>2</v>
      </c>
      <c r="V6" s="33" t="s">
        <v>240</v>
      </c>
      <c r="W6" s="140">
        <v>19500</v>
      </c>
      <c r="X6" s="35" t="s">
        <v>241</v>
      </c>
    </row>
    <row r="7" spans="1:25" ht="15" thickBot="1" x14ac:dyDescent="0.4">
      <c r="A7" s="188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5.2499999999999998E-2</v>
      </c>
      <c r="H7" s="8">
        <f t="shared" si="3"/>
        <v>9.1125821908188923E-2</v>
      </c>
      <c r="I7" s="8">
        <f t="shared" si="4"/>
        <v>0.64759476597273535</v>
      </c>
      <c r="J7" s="92">
        <f t="shared" si="0"/>
        <v>3.4905357885930438E-2</v>
      </c>
      <c r="K7" s="93">
        <f t="shared" si="5"/>
        <v>3.5084865275620048E-3</v>
      </c>
      <c r="L7" s="94">
        <f t="shared" si="1"/>
        <v>6.8130344922586437</v>
      </c>
      <c r="M7" s="143">
        <f t="shared" si="2"/>
        <v>355.57860404495881</v>
      </c>
      <c r="N7" s="93">
        <f t="shared" si="6"/>
        <v>36.217852373976761</v>
      </c>
      <c r="O7" s="93">
        <f t="shared" si="7"/>
        <v>5750.0379837377968</v>
      </c>
      <c r="P7" s="93">
        <f t="shared" si="8"/>
        <v>13369.969816858922</v>
      </c>
      <c r="Q7" s="143">
        <f t="shared" si="9"/>
        <v>5750.039362406721</v>
      </c>
      <c r="R7" s="143">
        <f t="shared" si="10"/>
        <v>1.8887640437782687</v>
      </c>
      <c r="S7" s="95">
        <f t="shared" si="11"/>
        <v>7.2322249116821391</v>
      </c>
      <c r="T7" s="21" t="s">
        <v>233</v>
      </c>
      <c r="U7" s="96">
        <v>1</v>
      </c>
      <c r="V7" s="36" t="s">
        <v>230</v>
      </c>
      <c r="W7" s="141">
        <v>58000</v>
      </c>
      <c r="X7" s="38" t="s">
        <v>239</v>
      </c>
      <c r="Y7" s="100" t="s">
        <v>242</v>
      </c>
    </row>
    <row r="8" spans="1:25" ht="15" thickBot="1" x14ac:dyDescent="0.4">
      <c r="A8" s="186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5.2499999999999998E-2</v>
      </c>
      <c r="H8" s="39">
        <f t="shared" si="3"/>
        <v>9.1125821908188923E-2</v>
      </c>
      <c r="I8" s="39">
        <f t="shared" si="4"/>
        <v>0.76872832103529098</v>
      </c>
      <c r="J8" s="97">
        <f t="shared" si="0"/>
        <v>4.1434456503802189E-2</v>
      </c>
      <c r="K8" s="39">
        <f t="shared" si="5"/>
        <v>3.5084865275620048E-3</v>
      </c>
      <c r="L8" s="98">
        <f t="shared" si="1"/>
        <v>26.726275038791091</v>
      </c>
      <c r="M8" s="26">
        <f t="shared" si="2"/>
        <v>1394.8691409698781</v>
      </c>
      <c r="N8" s="39">
        <f t="shared" si="6"/>
        <v>42.992455019507304</v>
      </c>
      <c r="O8" s="39">
        <f t="shared" si="7"/>
        <v>5750.0377258557437</v>
      </c>
      <c r="P8" s="39">
        <f t="shared" si="8"/>
        <v>9488.3637161627867</v>
      </c>
      <c r="Q8" s="26">
        <f t="shared" si="9"/>
        <v>5750.039362406721</v>
      </c>
      <c r="R8" s="144">
        <f t="shared" si="10"/>
        <v>7.868161929778327</v>
      </c>
      <c r="S8" s="26">
        <f t="shared" si="11"/>
        <v>5.0952283301828158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7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5.2499999999999998E-2</v>
      </c>
      <c r="H9" s="7">
        <f t="shared" si="3"/>
        <v>9.1125821908188923E-2</v>
      </c>
      <c r="I9" s="7">
        <f t="shared" si="4"/>
        <v>1.1228706027170856</v>
      </c>
      <c r="J9" s="31">
        <f t="shared" si="0"/>
        <v>6.0522725486450921E-2</v>
      </c>
      <c r="K9" s="30">
        <f t="shared" si="5"/>
        <v>3.5084865275620048E-3</v>
      </c>
      <c r="L9" s="98">
        <f t="shared" ref="L9:L13" si="12">0.282*SQRT($W$6*1000*H9/C9)</f>
        <v>13.490296743287947</v>
      </c>
      <c r="M9" s="26">
        <f t="shared" si="2"/>
        <v>995.70693893632665</v>
      </c>
      <c r="N9" s="30">
        <f t="shared" si="6"/>
        <v>62.79847191661505</v>
      </c>
      <c r="O9" s="30">
        <f t="shared" si="7"/>
        <v>5750.0381671632704</v>
      </c>
      <c r="P9" s="30">
        <f t="shared" si="8"/>
        <v>8894.2157205063122</v>
      </c>
      <c r="Q9" s="26">
        <f t="shared" si="9"/>
        <v>5750.039362406721</v>
      </c>
      <c r="R9" s="144">
        <f t="shared" si="10"/>
        <v>5.5432570281816496</v>
      </c>
      <c r="S9" s="26">
        <f t="shared" si="11"/>
        <v>7.7203693220684473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7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5.2499999999999998E-2</v>
      </c>
      <c r="H10" s="7">
        <f t="shared" si="3"/>
        <v>9.1125821908188923E-2</v>
      </c>
      <c r="I10" s="7">
        <f t="shared" si="4"/>
        <v>0.81890219857793967</v>
      </c>
      <c r="J10" s="31">
        <f t="shared" si="0"/>
        <v>4.4138828503350949E-2</v>
      </c>
      <c r="K10" s="30">
        <f t="shared" si="5"/>
        <v>3.5084865275620048E-3</v>
      </c>
      <c r="L10" s="98">
        <f t="shared" si="12"/>
        <v>14.36717743641036</v>
      </c>
      <c r="M10" s="26">
        <f t="shared" si="2"/>
        <v>1060.428731746088</v>
      </c>
      <c r="N10" s="30">
        <f t="shared" si="6"/>
        <v>45.798515514977936</v>
      </c>
      <c r="O10" s="30">
        <f t="shared" si="7"/>
        <v>5750.0384907234775</v>
      </c>
      <c r="P10" s="30">
        <f t="shared" si="8"/>
        <v>16722.569451337673</v>
      </c>
      <c r="Q10" s="26">
        <f t="shared" si="9"/>
        <v>5750.039362406721</v>
      </c>
      <c r="R10" s="144">
        <f t="shared" si="10"/>
        <v>8.3992293831468796</v>
      </c>
      <c r="S10" s="26">
        <f t="shared" si="11"/>
        <v>9.6056344380946879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7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5.2499999999999998E-2</v>
      </c>
      <c r="H11" s="7">
        <f t="shared" si="3"/>
        <v>9.1125821908188923E-2</v>
      </c>
      <c r="I11" s="7">
        <f t="shared" si="4"/>
        <v>0.82317599962543386</v>
      </c>
      <c r="J11" s="31">
        <f t="shared" si="0"/>
        <v>4.4369186379810889E-2</v>
      </c>
      <c r="K11" s="30">
        <f t="shared" si="5"/>
        <v>3.5084865275620048E-3</v>
      </c>
      <c r="L11" s="98">
        <f t="shared" si="12"/>
        <v>27.754543293386938</v>
      </c>
      <c r="M11" s="26">
        <f t="shared" si="2"/>
        <v>2048.5384324836264</v>
      </c>
      <c r="N11" s="30">
        <f t="shared" si="6"/>
        <v>46.037535197574329</v>
      </c>
      <c r="O11" s="30">
        <f t="shared" si="7"/>
        <v>5750.038486174215</v>
      </c>
      <c r="P11" s="30">
        <f t="shared" si="8"/>
        <v>16549.378281759611</v>
      </c>
      <c r="Q11" s="26">
        <f t="shared" si="9"/>
        <v>5750.039362406721</v>
      </c>
      <c r="R11" s="144">
        <f t="shared" si="10"/>
        <v>10.450267811099565</v>
      </c>
      <c r="S11" s="26">
        <f t="shared" si="11"/>
        <v>5.6230321646720025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7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5.2499999999999998E-2</v>
      </c>
      <c r="H12" s="7">
        <f t="shared" si="3"/>
        <v>9.1125821908188923E-2</v>
      </c>
      <c r="I12" s="7">
        <f t="shared" si="4"/>
        <v>0.67992620758576094</v>
      </c>
      <c r="J12" s="31">
        <f t="shared" si="0"/>
        <v>3.6648022588872516E-2</v>
      </c>
      <c r="K12" s="30">
        <f t="shared" si="5"/>
        <v>3.5084865275620048E-3</v>
      </c>
      <c r="L12" s="98">
        <f t="shared" si="12"/>
        <v>26.913259548622502</v>
      </c>
      <c r="M12" s="26">
        <f t="shared" si="2"/>
        <v>1986.4440191273698</v>
      </c>
      <c r="N12" s="30">
        <f t="shared" si="6"/>
        <v>38.026043917371219</v>
      </c>
      <c r="O12" s="30">
        <f t="shared" si="7"/>
        <v>5750.0386386569453</v>
      </c>
      <c r="P12" s="30">
        <f t="shared" si="8"/>
        <v>24257.359242244289</v>
      </c>
      <c r="Q12" s="26">
        <f t="shared" si="9"/>
        <v>5750.039362406721</v>
      </c>
      <c r="R12" s="144">
        <f t="shared" si="10"/>
        <v>6.1174711998414368</v>
      </c>
      <c r="S12" s="26">
        <f t="shared" si="11"/>
        <v>2.0445196924608076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8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5.2499999999999998E-2</v>
      </c>
      <c r="H13" s="8">
        <f t="shared" si="3"/>
        <v>9.1125821908188923E-2</v>
      </c>
      <c r="I13" s="8">
        <f t="shared" si="4"/>
        <v>0.71000684139765402</v>
      </c>
      <c r="J13" s="92">
        <f t="shared" si="0"/>
        <v>3.8269368751333556E-2</v>
      </c>
      <c r="K13" s="93">
        <f t="shared" si="5"/>
        <v>3.5084865275620048E-3</v>
      </c>
      <c r="L13" s="98">
        <f t="shared" si="12"/>
        <v>7.3934657642960584</v>
      </c>
      <c r="M13" s="98">
        <f t="shared" si="2"/>
        <v>385.87185174385337</v>
      </c>
      <c r="N13" s="93">
        <f t="shared" si="6"/>
        <v>39.708355158843887</v>
      </c>
      <c r="O13" s="93">
        <f t="shared" si="7"/>
        <v>5750.0378508683025</v>
      </c>
      <c r="P13" s="93">
        <f t="shared" si="8"/>
        <v>11122.74600487882</v>
      </c>
      <c r="Q13" s="143">
        <f t="shared" si="9"/>
        <v>5750.039362406721</v>
      </c>
      <c r="R13" s="143">
        <f>MIN(ABS(P13/C13),ABS(Q13/C13))</f>
        <v>2.2242964240392578</v>
      </c>
      <c r="S13" s="95" cm="1">
        <f t="array" ref="S13">$W$7/(MAX(C13:D13/H13))</f>
        <v>2.0445196924608076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9" t="s">
        <v>212</v>
      </c>
      <c r="C1" s="189"/>
      <c r="D1" s="189"/>
      <c r="E1" s="189"/>
      <c r="F1" s="190" t="s">
        <v>213</v>
      </c>
      <c r="G1" s="190"/>
      <c r="H1" s="190"/>
      <c r="I1" s="190"/>
      <c r="J1" s="156"/>
    </row>
    <row r="2" spans="1:18" x14ac:dyDescent="0.35">
      <c r="B2" t="s">
        <v>202</v>
      </c>
      <c r="C2" t="s">
        <v>203</v>
      </c>
      <c r="D2" t="s">
        <v>204</v>
      </c>
      <c r="E2" t="s">
        <v>205</v>
      </c>
      <c r="F2" t="s">
        <v>202</v>
      </c>
      <c r="G2" t="s">
        <v>203</v>
      </c>
      <c r="H2" t="s">
        <v>204</v>
      </c>
      <c r="I2" t="s">
        <v>205</v>
      </c>
      <c r="J2" t="s">
        <v>209</v>
      </c>
      <c r="L2" s="102" t="s">
        <v>244</v>
      </c>
      <c r="M2">
        <v>2860</v>
      </c>
      <c r="N2" t="s">
        <v>245</v>
      </c>
      <c r="O2" t="s">
        <v>246</v>
      </c>
    </row>
    <row r="3" spans="1:18" x14ac:dyDescent="0.35">
      <c r="A3" t="s">
        <v>244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2" t="s">
        <v>247</v>
      </c>
      <c r="M3">
        <v>0.5</v>
      </c>
      <c r="N3" s="102" t="s">
        <v>248</v>
      </c>
      <c r="O3">
        <v>0.42</v>
      </c>
    </row>
    <row r="4" spans="1:18" x14ac:dyDescent="0.35">
      <c r="A4" t="s">
        <v>249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250</v>
      </c>
      <c r="M4">
        <f>M3*$M$2</f>
        <v>1430</v>
      </c>
      <c r="O4">
        <f>O3*$M$2</f>
        <v>1201.2</v>
      </c>
    </row>
    <row r="5" spans="1:18" x14ac:dyDescent="0.35">
      <c r="A5" t="s">
        <v>251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2"/>
      <c r="R6" s="107" t="s">
        <v>252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212</v>
      </c>
      <c r="D1" s="46" t="s">
        <v>213</v>
      </c>
      <c r="G1" s="103" t="s">
        <v>253</v>
      </c>
    </row>
    <row r="2" spans="1:16" x14ac:dyDescent="0.35">
      <c r="A2" s="102" t="s">
        <v>254</v>
      </c>
      <c r="B2">
        <v>2</v>
      </c>
      <c r="D2" s="102" t="s">
        <v>254</v>
      </c>
      <c r="E2">
        <v>2</v>
      </c>
      <c r="O2" s="102"/>
      <c r="P2" s="107" t="s">
        <v>252</v>
      </c>
    </row>
    <row r="3" spans="1:16" x14ac:dyDescent="0.35">
      <c r="A3" s="102" t="s">
        <v>255</v>
      </c>
      <c r="B3">
        <v>-0.13500000000000001</v>
      </c>
      <c r="D3" s="102" t="s">
        <v>255</v>
      </c>
      <c r="E3">
        <v>-0.23960000000000001</v>
      </c>
    </row>
    <row r="4" spans="1:16" x14ac:dyDescent="0.35">
      <c r="A4" s="102" t="s">
        <v>256</v>
      </c>
      <c r="B4">
        <v>2.0299999999999998</v>
      </c>
      <c r="D4" s="102" t="s">
        <v>256</v>
      </c>
      <c r="E4">
        <v>2.2869999999999999</v>
      </c>
    </row>
    <row r="5" spans="1:16" x14ac:dyDescent="0.35">
      <c r="A5" s="102" t="s">
        <v>257</v>
      </c>
      <c r="B5">
        <v>1.1100000000000001</v>
      </c>
      <c r="D5" s="102" t="s">
        <v>257</v>
      </c>
      <c r="E5">
        <v>1.1140000000000001</v>
      </c>
    </row>
    <row r="6" spans="1:16" x14ac:dyDescent="0.35">
      <c r="A6" s="102" t="s">
        <v>258</v>
      </c>
      <c r="B6">
        <v>3.78</v>
      </c>
      <c r="D6" s="102" t="s">
        <v>258</v>
      </c>
      <c r="E6">
        <v>2.5196999999999998</v>
      </c>
    </row>
    <row r="7" spans="1:16" x14ac:dyDescent="0.35">
      <c r="A7" s="102" t="s">
        <v>259</v>
      </c>
      <c r="B7">
        <v>8</v>
      </c>
      <c r="D7" s="102" t="s">
        <v>259</v>
      </c>
      <c r="E7">
        <v>8</v>
      </c>
    </row>
    <row r="8" spans="1:16" x14ac:dyDescent="0.35">
      <c r="A8" t="s">
        <v>260</v>
      </c>
      <c r="D8" t="s">
        <v>260</v>
      </c>
    </row>
    <row r="10" spans="1:16" x14ac:dyDescent="0.35">
      <c r="A10" s="103" t="s">
        <v>253</v>
      </c>
      <c r="D10" s="103" t="s">
        <v>253</v>
      </c>
    </row>
    <row r="11" spans="1:16" x14ac:dyDescent="0.35">
      <c r="A11" s="47" t="s">
        <v>261</v>
      </c>
      <c r="B11">
        <f>ABS('Geo Forces'!F13)</f>
        <v>864.88990000000001</v>
      </c>
      <c r="C11" s="107" t="s">
        <v>262</v>
      </c>
      <c r="D11" s="47" t="s">
        <v>261</v>
      </c>
      <c r="E11">
        <f>ABS('Geo Forces'!F31)</f>
        <v>1161.9992999999999</v>
      </c>
      <c r="F11" s="107" t="s">
        <v>262</v>
      </c>
    </row>
    <row r="12" spans="1:16" x14ac:dyDescent="0.35">
      <c r="A12" t="s">
        <v>263</v>
      </c>
      <c r="B12">
        <f>ABS('Geo Forces'!F14)</f>
        <v>580.27629999999999</v>
      </c>
      <c r="D12" t="s">
        <v>263</v>
      </c>
      <c r="E12">
        <f>ABS('Geo Forces'!F32)</f>
        <v>780.28</v>
      </c>
    </row>
    <row r="14" spans="1:16" x14ac:dyDescent="0.35">
      <c r="A14" s="47" t="s">
        <v>264</v>
      </c>
      <c r="B14">
        <f>((B12*(B2+B3))-(B11*B7))/B2</f>
        <v>-2918.4519502500002</v>
      </c>
      <c r="D14" s="47" t="s">
        <v>264</v>
      </c>
      <c r="E14">
        <f>((E12*(E2+E3))-(E11*E7))/E2</f>
        <v>-3961.1947439999999</v>
      </c>
    </row>
    <row r="15" spans="1:16" x14ac:dyDescent="0.35">
      <c r="A15" s="47" t="s">
        <v>265</v>
      </c>
      <c r="B15">
        <f>B14-B12</f>
        <v>-3498.7282502500002</v>
      </c>
      <c r="D15" s="47" t="s">
        <v>265</v>
      </c>
      <c r="E15">
        <f>E14-E12</f>
        <v>-4741.4747440000001</v>
      </c>
      <c r="G15" s="103" t="s">
        <v>266</v>
      </c>
    </row>
    <row r="17" spans="1:7" x14ac:dyDescent="0.35">
      <c r="A17" s="103" t="s">
        <v>266</v>
      </c>
      <c r="D17" s="103" t="s">
        <v>266</v>
      </c>
    </row>
    <row r="18" spans="1:7" x14ac:dyDescent="0.35">
      <c r="A18" t="s">
        <v>267</v>
      </c>
      <c r="B18">
        <f>ABS('Geo Forces'!E12)</f>
        <v>821.46130000000005</v>
      </c>
      <c r="D18" t="s">
        <v>267</v>
      </c>
      <c r="E18">
        <f>ABS('Geo Forces'!E30)</f>
        <v>500.9862</v>
      </c>
    </row>
    <row r="19" spans="1:7" x14ac:dyDescent="0.35">
      <c r="A19" t="s">
        <v>263</v>
      </c>
      <c r="B19">
        <f>ABS('Geo Forces'!E14)</f>
        <v>548.10699999999997</v>
      </c>
      <c r="D19" t="s">
        <v>263</v>
      </c>
      <c r="E19">
        <f>ABS('Geo Forces'!E32)</f>
        <v>316.25900000000001</v>
      </c>
    </row>
    <row r="21" spans="1:7" x14ac:dyDescent="0.35">
      <c r="A21" s="47" t="s">
        <v>268</v>
      </c>
      <c r="B21">
        <f>(B19*(B2+B3))/B2</f>
        <v>511.10977749999995</v>
      </c>
      <c r="D21" s="47" t="s">
        <v>268</v>
      </c>
      <c r="E21">
        <f>(E19*(E2+E3))/E2</f>
        <v>278.37117180000001</v>
      </c>
    </row>
    <row r="22" spans="1:7" x14ac:dyDescent="0.35">
      <c r="A22" s="47" t="s">
        <v>269</v>
      </c>
      <c r="B22">
        <f>(B18*(B2+B3))/B2</f>
        <v>766.01266225000006</v>
      </c>
      <c r="D22" s="47" t="s">
        <v>269</v>
      </c>
      <c r="E22">
        <f>(E18*(E2+E3))/E2</f>
        <v>440.96805323999996</v>
      </c>
    </row>
    <row r="23" spans="1:7" x14ac:dyDescent="0.35">
      <c r="A23" s="47" t="s">
        <v>270</v>
      </c>
      <c r="B23">
        <f>B21-B19</f>
        <v>-36.997222500000021</v>
      </c>
      <c r="D23" s="47" t="s">
        <v>270</v>
      </c>
      <c r="E23">
        <f>E21-E19</f>
        <v>-37.887828200000001</v>
      </c>
    </row>
    <row r="24" spans="1:7" x14ac:dyDescent="0.35">
      <c r="A24" s="47" t="s">
        <v>271</v>
      </c>
      <c r="B24">
        <f>B22-B18</f>
        <v>-55.448637749999989</v>
      </c>
      <c r="D24" s="47" t="s">
        <v>271</v>
      </c>
      <c r="E24">
        <f>E22-E18</f>
        <v>-60.018146760000036</v>
      </c>
    </row>
    <row r="25" spans="1:7" x14ac:dyDescent="0.35">
      <c r="A25" t="s">
        <v>272</v>
      </c>
      <c r="B25">
        <f>(B18*B7)/(B4+B5)</f>
        <v>2092.8950318471343</v>
      </c>
      <c r="D25" t="s">
        <v>272</v>
      </c>
      <c r="E25">
        <f>(E18*E7)/(E4+E5)</f>
        <v>1178.4444575124965</v>
      </c>
    </row>
    <row r="26" spans="1:7" x14ac:dyDescent="0.35">
      <c r="A26" s="47" t="s">
        <v>273</v>
      </c>
      <c r="B26">
        <f>B25/2</f>
        <v>1046.4475159235672</v>
      </c>
      <c r="D26" s="47" t="s">
        <v>273</v>
      </c>
      <c r="E26">
        <f>E25/2</f>
        <v>589.22222875624823</v>
      </c>
    </row>
    <row r="27" spans="1:7" x14ac:dyDescent="0.35">
      <c r="A27" s="47" t="s">
        <v>274</v>
      </c>
      <c r="B27">
        <f>(B25*B5)/B6</f>
        <v>614.58028712971418</v>
      </c>
      <c r="D27" s="47" t="s">
        <v>274</v>
      </c>
      <c r="E27">
        <f>(E25*E5)/E6</f>
        <v>521.0092970071521</v>
      </c>
    </row>
    <row r="29" spans="1:7" x14ac:dyDescent="0.35">
      <c r="D29" s="103" t="s">
        <v>275</v>
      </c>
      <c r="G29" s="103" t="s">
        <v>275</v>
      </c>
    </row>
    <row r="30" spans="1:7" x14ac:dyDescent="0.35">
      <c r="D30" t="s">
        <v>267</v>
      </c>
      <c r="E30">
        <f>ABS('Geo Forces'!D30)</f>
        <v>356.43650000000002</v>
      </c>
    </row>
    <row r="31" spans="1:7" x14ac:dyDescent="0.35">
      <c r="D31" t="s">
        <v>263</v>
      </c>
      <c r="E31">
        <f>ABS('Geo Forces'!D32)</f>
        <v>219.69980000000001</v>
      </c>
    </row>
    <row r="33" spans="4:5" x14ac:dyDescent="0.35">
      <c r="D33" s="47" t="s">
        <v>268</v>
      </c>
      <c r="E33">
        <f>(E31*(E2+E3))/E2</f>
        <v>193.37976395999999</v>
      </c>
    </row>
    <row r="34" spans="4:5" x14ac:dyDescent="0.35">
      <c r="D34" s="47" t="s">
        <v>269</v>
      </c>
      <c r="E34">
        <f>(E30*(E2+E3))/E2</f>
        <v>313.73540730000002</v>
      </c>
    </row>
    <row r="35" spans="4:5" x14ac:dyDescent="0.35">
      <c r="D35" s="47" t="s">
        <v>270</v>
      </c>
      <c r="E35">
        <f>E33-E31</f>
        <v>-26.320036040000019</v>
      </c>
    </row>
    <row r="36" spans="4:5" x14ac:dyDescent="0.35">
      <c r="D36" s="47" t="s">
        <v>271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276</v>
      </c>
    </row>
    <row r="2" spans="1:7" x14ac:dyDescent="0.35">
      <c r="A2" s="152" t="s">
        <v>277</v>
      </c>
      <c r="B2" s="154" t="s">
        <v>212</v>
      </c>
      <c r="C2" s="155" t="s">
        <v>213</v>
      </c>
      <c r="D2" t="s">
        <v>278</v>
      </c>
      <c r="F2" t="s">
        <v>279</v>
      </c>
      <c r="G2">
        <v>4.4249999999999998</v>
      </c>
    </row>
    <row r="3" spans="1:7" x14ac:dyDescent="0.35">
      <c r="A3" t="s">
        <v>280</v>
      </c>
      <c r="B3">
        <f>-'Geo Forces'!H20</f>
        <v>1991.1782000000001</v>
      </c>
      <c r="C3">
        <f>-'Geo Forces'!H38</f>
        <v>1616.8639000000001</v>
      </c>
      <c r="F3" t="s">
        <v>281</v>
      </c>
      <c r="G3">
        <f>G2-Parameters!K4</f>
        <v>3.4249999999999998</v>
      </c>
    </row>
    <row r="4" spans="1:7" x14ac:dyDescent="0.35">
      <c r="A4" t="s">
        <v>282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283</v>
      </c>
      <c r="G4">
        <v>2</v>
      </c>
    </row>
    <row r="5" spans="1:7" x14ac:dyDescent="0.35">
      <c r="A5" t="s">
        <v>284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285</v>
      </c>
    </row>
    <row r="7" spans="1:7" x14ac:dyDescent="0.35">
      <c r="A7" s="153" t="s">
        <v>286</v>
      </c>
      <c r="B7" s="154" t="s">
        <v>212</v>
      </c>
      <c r="C7" s="155" t="s">
        <v>213</v>
      </c>
      <c r="D7" t="s">
        <v>287</v>
      </c>
      <c r="F7" t="s">
        <v>288</v>
      </c>
    </row>
    <row r="8" spans="1:7" x14ac:dyDescent="0.35">
      <c r="A8" t="s">
        <v>280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282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284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2023-11-29T20:00:49Z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