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Stuff\repos\YMD-Sim\Reference Files\"/>
    </mc:Choice>
  </mc:AlternateContent>
  <xr:revisionPtr revIDLastSave="0" documentId="13_ncr:1_{09D9DDC7-A952-4D6D-8627-0AF2D6ED6D8F}" xr6:coauthVersionLast="47" xr6:coauthVersionMax="47" xr10:uidLastSave="{00000000-0000-0000-0000-000000000000}"/>
  <bookViews>
    <workbookView xWindow="-120" yWindow="-120" windowWidth="29040" windowHeight="15840" tabRatio="744" xr2:uid="{9242884C-AB33-489A-BB7F-ADCF636164C6}"/>
  </bookViews>
  <sheets>
    <sheet name="Parameters" sheetId="4" r:id="rId1"/>
    <sheet name="Tire Data" sheetId="9" r:id="rId2"/>
    <sheet name="Geo Points" sheetId="5" r:id="rId3"/>
    <sheet name="Tire Load Cases" sheetId="1" r:id="rId4"/>
    <sheet name="Geo Forces" sheetId="2" r:id="rId5"/>
    <sheet name="CF Force Analysis" sheetId="3" r:id="rId6"/>
    <sheet name="Springs &amp; Dampers Notes" sheetId="6" r:id="rId7"/>
    <sheet name="ARB Notes" sheetId="7" r:id="rId8"/>
    <sheet name="Tuning Measurements --" sheetId="10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G49" i="9" l="1"/>
  <c r="BQ49" i="9" s="1"/>
  <c r="BG48" i="9"/>
  <c r="BQ44" i="9" s="1"/>
  <c r="BG46" i="9"/>
  <c r="BQ48" i="9" s="1"/>
  <c r="BG45" i="9"/>
  <c r="BQ43" i="9" s="1"/>
  <c r="BG43" i="9"/>
  <c r="BQ47" i="9" s="1"/>
  <c r="BG42" i="9"/>
  <c r="BQ42" i="9" s="1"/>
  <c r="BG40" i="9"/>
  <c r="BQ46" i="9" s="1"/>
  <c r="BG39" i="9"/>
  <c r="BQ41" i="9" s="1"/>
  <c r="BG37" i="9"/>
  <c r="BQ45" i="9" s="1"/>
  <c r="BG36" i="9"/>
  <c r="BQ40" i="9" s="1"/>
  <c r="BG47" i="9"/>
  <c r="BQ39" i="9" s="1"/>
  <c r="BG44" i="9"/>
  <c r="BQ38" i="9" s="1"/>
  <c r="BG41" i="9"/>
  <c r="BQ37" i="9" s="1"/>
  <c r="BG38" i="9"/>
  <c r="BQ36" i="9" s="1"/>
  <c r="BG35" i="9"/>
  <c r="BQ35" i="9" s="1"/>
  <c r="BG33" i="9"/>
  <c r="BQ33" i="9" s="1"/>
  <c r="BG32" i="9"/>
  <c r="BQ28" i="9" s="1"/>
  <c r="BG31" i="9"/>
  <c r="BQ23" i="9" s="1"/>
  <c r="BG30" i="9"/>
  <c r="BQ32" i="9" s="1"/>
  <c r="BG29" i="9"/>
  <c r="BQ27" i="9" s="1"/>
  <c r="BG28" i="9"/>
  <c r="BQ22" i="9" s="1"/>
  <c r="BG27" i="9"/>
  <c r="BQ31" i="9" s="1"/>
  <c r="BG26" i="9"/>
  <c r="BQ26" i="9" s="1"/>
  <c r="BG25" i="9"/>
  <c r="BQ21" i="9" s="1"/>
  <c r="BG24" i="9"/>
  <c r="BQ30" i="9" s="1"/>
  <c r="BG23" i="9"/>
  <c r="BQ25" i="9" s="1"/>
  <c r="BG22" i="9"/>
  <c r="BQ20" i="9" s="1"/>
  <c r="BG21" i="9"/>
  <c r="BQ29" i="9" s="1"/>
  <c r="BG20" i="9"/>
  <c r="BQ24" i="9" s="1"/>
  <c r="BG19" i="9"/>
  <c r="BQ19" i="9" s="1"/>
  <c r="BG17" i="9"/>
  <c r="BQ17" i="9" s="1"/>
  <c r="BG16" i="9"/>
  <c r="BQ12" i="9" s="1"/>
  <c r="BG15" i="9"/>
  <c r="BQ7" i="9" s="1"/>
  <c r="BG3" i="9"/>
  <c r="BQ3" i="9" s="1"/>
  <c r="BG4" i="9"/>
  <c r="BQ8" i="9" s="1"/>
  <c r="BG5" i="9"/>
  <c r="BQ13" i="9" s="1"/>
  <c r="BG6" i="9"/>
  <c r="BQ4" i="9" s="1"/>
  <c r="BG7" i="9"/>
  <c r="BQ9" i="9" s="1"/>
  <c r="BG8" i="9"/>
  <c r="BQ14" i="9" s="1"/>
  <c r="BG9" i="9"/>
  <c r="BQ5" i="9" s="1"/>
  <c r="BG10" i="9"/>
  <c r="BQ10" i="9" s="1"/>
  <c r="BG11" i="9"/>
  <c r="BQ15" i="9" s="1"/>
  <c r="BG12" i="9"/>
  <c r="BQ6" i="9" s="1"/>
  <c r="BG13" i="9"/>
  <c r="BQ11" i="9" s="1"/>
  <c r="BG14" i="9"/>
  <c r="BQ16" i="9" s="1"/>
  <c r="R7" i="3"/>
  <c r="R13" i="3" l="1"/>
  <c r="R9" i="3"/>
  <c r="R8" i="3"/>
  <c r="R10" i="3"/>
  <c r="R11" i="3"/>
  <c r="R12" i="3"/>
  <c r="G4" i="7"/>
  <c r="G14" i="7"/>
  <c r="B11" i="4" l="1"/>
  <c r="B10" i="4"/>
  <c r="P2" i="3" l="1"/>
  <c r="P9" i="3" l="1"/>
  <c r="O8" i="3"/>
  <c r="K8" i="3"/>
  <c r="H31" i="2" l="1"/>
  <c r="H32" i="2"/>
  <c r="H30" i="2"/>
  <c r="H22" i="2"/>
  <c r="H23" i="2"/>
  <c r="H21" i="2"/>
  <c r="H13" i="2"/>
  <c r="H14" i="2"/>
  <c r="H12" i="2"/>
  <c r="H4" i="2"/>
  <c r="H5" i="2"/>
  <c r="H3" i="2"/>
  <c r="G31" i="2"/>
  <c r="G32" i="2"/>
  <c r="G30" i="2"/>
  <c r="G22" i="2"/>
  <c r="G23" i="2"/>
  <c r="G21" i="2"/>
  <c r="G13" i="2"/>
  <c r="G14" i="2"/>
  <c r="G12" i="2"/>
  <c r="G4" i="2"/>
  <c r="G5" i="2"/>
  <c r="G3" i="2"/>
  <c r="F32" i="2"/>
  <c r="F31" i="2"/>
  <c r="F30" i="2"/>
  <c r="F22" i="2"/>
  <c r="F23" i="2"/>
  <c r="F21" i="2"/>
  <c r="F14" i="2"/>
  <c r="F13" i="2"/>
  <c r="F12" i="2"/>
  <c r="F4" i="2"/>
  <c r="F5" i="2"/>
  <c r="F3" i="2"/>
  <c r="E31" i="2"/>
  <c r="E32" i="2"/>
  <c r="E30" i="2"/>
  <c r="E13" i="2"/>
  <c r="E14" i="2"/>
  <c r="E12" i="2"/>
  <c r="E4" i="2"/>
  <c r="E5" i="2"/>
  <c r="E3" i="2"/>
  <c r="D32" i="2"/>
  <c r="D31" i="2"/>
  <c r="D30" i="2"/>
  <c r="D22" i="2"/>
  <c r="D23" i="2"/>
  <c r="D21" i="2"/>
  <c r="D13" i="2"/>
  <c r="D14" i="2"/>
  <c r="D12" i="2"/>
  <c r="D4" i="2"/>
  <c r="D5" i="2"/>
  <c r="D3" i="2"/>
  <c r="C31" i="2"/>
  <c r="C32" i="2"/>
  <c r="C30" i="2"/>
  <c r="C22" i="2"/>
  <c r="C23" i="2"/>
  <c r="C21" i="2"/>
  <c r="C13" i="2"/>
  <c r="C14" i="2"/>
  <c r="C12" i="2"/>
  <c r="C5" i="2"/>
  <c r="C4" i="2"/>
  <c r="C3" i="2"/>
  <c r="I25" i="2"/>
  <c r="M10" i="1"/>
  <c r="K10" i="1"/>
  <c r="M5" i="1"/>
  <c r="K5" i="1"/>
  <c r="G36" i="5"/>
  <c r="F36" i="5"/>
  <c r="E36" i="5"/>
  <c r="G35" i="5"/>
  <c r="F35" i="5"/>
  <c r="E35" i="5"/>
  <c r="G34" i="5"/>
  <c r="F34" i="5"/>
  <c r="E34" i="5"/>
  <c r="G33" i="5"/>
  <c r="F33" i="5"/>
  <c r="E33" i="5"/>
  <c r="G32" i="5"/>
  <c r="F32" i="5"/>
  <c r="E32" i="5"/>
  <c r="G31" i="5"/>
  <c r="F31" i="5"/>
  <c r="E31" i="5"/>
  <c r="G30" i="5"/>
  <c r="F30" i="5"/>
  <c r="E30" i="5"/>
  <c r="G29" i="5"/>
  <c r="F29" i="5"/>
  <c r="E29" i="5"/>
  <c r="G28" i="5"/>
  <c r="F28" i="5"/>
  <c r="E28" i="5"/>
  <c r="G27" i="5"/>
  <c r="F27" i="5"/>
  <c r="E27" i="5"/>
  <c r="G26" i="5"/>
  <c r="F26" i="5"/>
  <c r="E26" i="5"/>
  <c r="G25" i="5"/>
  <c r="F25" i="5"/>
  <c r="E25" i="5"/>
  <c r="G24" i="5"/>
  <c r="F24" i="5"/>
  <c r="E24" i="5"/>
  <c r="G23" i="5"/>
  <c r="F23" i="5"/>
  <c r="E23" i="5"/>
  <c r="G22" i="5"/>
  <c r="F22" i="5"/>
  <c r="E22" i="5"/>
  <c r="G21" i="5"/>
  <c r="F21" i="5"/>
  <c r="E21" i="5"/>
  <c r="G20" i="5"/>
  <c r="F20" i="5"/>
  <c r="E20" i="5"/>
  <c r="G18" i="5"/>
  <c r="F18" i="5"/>
  <c r="E18" i="5"/>
  <c r="G17" i="5"/>
  <c r="F17" i="5"/>
  <c r="E17" i="5"/>
  <c r="G16" i="5"/>
  <c r="F16" i="5"/>
  <c r="E16" i="5"/>
  <c r="G15" i="5"/>
  <c r="F15" i="5"/>
  <c r="E15" i="5"/>
  <c r="G14" i="5"/>
  <c r="F14" i="5"/>
  <c r="E14" i="5"/>
  <c r="G13" i="5"/>
  <c r="F13" i="5"/>
  <c r="E13" i="5"/>
  <c r="G12" i="5"/>
  <c r="F12" i="5"/>
  <c r="E12" i="5"/>
  <c r="G11" i="5"/>
  <c r="F11" i="5"/>
  <c r="E11" i="5"/>
  <c r="G10" i="5"/>
  <c r="F10" i="5"/>
  <c r="E10" i="5"/>
  <c r="G9" i="5"/>
  <c r="F9" i="5"/>
  <c r="E9" i="5"/>
  <c r="G8" i="5"/>
  <c r="F8" i="5"/>
  <c r="E8" i="5"/>
  <c r="G7" i="5"/>
  <c r="F7" i="5"/>
  <c r="E7" i="5"/>
  <c r="G6" i="5"/>
  <c r="F6" i="5"/>
  <c r="E6" i="5"/>
  <c r="G5" i="5"/>
  <c r="F5" i="5"/>
  <c r="E5" i="5"/>
  <c r="G4" i="5"/>
  <c r="F4" i="5"/>
  <c r="E4" i="5"/>
  <c r="G3" i="5"/>
  <c r="F3" i="5"/>
  <c r="E3" i="5"/>
  <c r="G2" i="5"/>
  <c r="F2" i="5"/>
  <c r="E2" i="5"/>
  <c r="J34" i="2" l="1"/>
  <c r="J35" i="2"/>
  <c r="J36" i="2"/>
  <c r="J37" i="2"/>
  <c r="J38" i="2"/>
  <c r="J33" i="2"/>
  <c r="I34" i="2"/>
  <c r="I35" i="2"/>
  <c r="I36" i="2"/>
  <c r="I37" i="2"/>
  <c r="I38" i="2"/>
  <c r="I33" i="2"/>
  <c r="J25" i="2"/>
  <c r="J26" i="2"/>
  <c r="J27" i="2"/>
  <c r="J28" i="2"/>
  <c r="J29" i="2"/>
  <c r="I26" i="2"/>
  <c r="I27" i="2"/>
  <c r="I28" i="2"/>
  <c r="I29" i="2"/>
  <c r="J24" i="2"/>
  <c r="I24" i="2"/>
  <c r="J16" i="2"/>
  <c r="J17" i="2"/>
  <c r="J18" i="2"/>
  <c r="J19" i="2"/>
  <c r="J20" i="2"/>
  <c r="I16" i="2"/>
  <c r="I17" i="2"/>
  <c r="I18" i="2"/>
  <c r="I19" i="2"/>
  <c r="I20" i="2"/>
  <c r="J15" i="2"/>
  <c r="I15" i="2"/>
  <c r="J7" i="2"/>
  <c r="J8" i="2"/>
  <c r="J9" i="2"/>
  <c r="J10" i="2"/>
  <c r="J11" i="2"/>
  <c r="I7" i="2"/>
  <c r="I8" i="2"/>
  <c r="I9" i="2"/>
  <c r="I10" i="2"/>
  <c r="I11" i="2"/>
  <c r="J6" i="2"/>
  <c r="I6" i="2"/>
  <c r="K3" i="3"/>
  <c r="P3" i="3" s="1"/>
  <c r="K4" i="3"/>
  <c r="P4" i="3" s="1"/>
  <c r="K5" i="3"/>
  <c r="P5" i="3" s="1"/>
  <c r="K6" i="3"/>
  <c r="P6" i="3" s="1"/>
  <c r="K7" i="3"/>
  <c r="P7" i="3" s="1"/>
  <c r="P8" i="3"/>
  <c r="K9" i="3"/>
  <c r="K10" i="3"/>
  <c r="P10" i="3" s="1"/>
  <c r="K11" i="3"/>
  <c r="P11" i="3" s="1"/>
  <c r="K12" i="3"/>
  <c r="P12" i="3" s="1"/>
  <c r="K13" i="3"/>
  <c r="P13" i="3" s="1"/>
  <c r="K2" i="3"/>
  <c r="I5" i="3"/>
  <c r="J5" i="3" s="1"/>
  <c r="I9" i="3"/>
  <c r="Q9" i="3" s="1"/>
  <c r="I13" i="3"/>
  <c r="J13" i="3" s="1"/>
  <c r="H2" i="3"/>
  <c r="O2" i="3" s="1"/>
  <c r="H3" i="3"/>
  <c r="I3" i="3" s="1"/>
  <c r="H4" i="3"/>
  <c r="O4" i="3" s="1"/>
  <c r="H5" i="3"/>
  <c r="O5" i="3" s="1"/>
  <c r="H6" i="3"/>
  <c r="O6" i="3" s="1"/>
  <c r="H7" i="3"/>
  <c r="I7" i="3" s="1"/>
  <c r="H8" i="3"/>
  <c r="I8" i="3" s="1"/>
  <c r="H9" i="3"/>
  <c r="O9" i="3" s="1"/>
  <c r="H10" i="3"/>
  <c r="O10" i="3" s="1"/>
  <c r="H11" i="3"/>
  <c r="I11" i="3" s="1"/>
  <c r="H12" i="3"/>
  <c r="O12" i="3" s="1"/>
  <c r="H13" i="3"/>
  <c r="O13" i="3" s="1"/>
  <c r="D2" i="3" l="1"/>
  <c r="J11" i="3"/>
  <c r="Q11" i="3"/>
  <c r="J3" i="3"/>
  <c r="Q3" i="3"/>
  <c r="Q8" i="3"/>
  <c r="J8" i="3"/>
  <c r="Q7" i="3"/>
  <c r="J7" i="3"/>
  <c r="N9" i="3"/>
  <c r="Q13" i="3"/>
  <c r="Q5" i="3"/>
  <c r="J9" i="3"/>
  <c r="I12" i="3"/>
  <c r="I4" i="3"/>
  <c r="N8" i="3"/>
  <c r="N7" i="3"/>
  <c r="O11" i="3"/>
  <c r="O3" i="3"/>
  <c r="I10" i="3"/>
  <c r="N2" i="3"/>
  <c r="N6" i="3"/>
  <c r="N13" i="3"/>
  <c r="N5" i="3"/>
  <c r="N12" i="3"/>
  <c r="N4" i="3"/>
  <c r="N11" i="3"/>
  <c r="N3" i="3"/>
  <c r="O7" i="3"/>
  <c r="I2" i="3"/>
  <c r="Q2" i="3" s="1"/>
  <c r="I6" i="3"/>
  <c r="N10" i="3"/>
  <c r="C7" i="3"/>
  <c r="C13" i="3"/>
  <c r="C11" i="3"/>
  <c r="D6" i="3"/>
  <c r="C5" i="3"/>
  <c r="C10" i="3"/>
  <c r="C9" i="3"/>
  <c r="V8" i="3" s="1"/>
  <c r="C3" i="3"/>
  <c r="R3" i="3" s="1"/>
  <c r="C8" i="3"/>
  <c r="D10" i="3"/>
  <c r="D4" i="3"/>
  <c r="D3" i="3"/>
  <c r="C12" i="3"/>
  <c r="D12" i="3"/>
  <c r="D8" i="3"/>
  <c r="D11" i="3"/>
  <c r="D7" i="3"/>
  <c r="D5" i="3"/>
  <c r="D13" i="3"/>
  <c r="D9" i="3"/>
  <c r="C4" i="3"/>
  <c r="C6" i="3"/>
  <c r="R6" i="3" s="1"/>
  <c r="C2" i="3"/>
  <c r="M2" i="3" s="1"/>
  <c r="M7" i="3" l="1"/>
  <c r="M5" i="3"/>
  <c r="R5" i="3"/>
  <c r="L4" i="3"/>
  <c r="R4" i="3"/>
  <c r="M3" i="3"/>
  <c r="V2" i="3"/>
  <c r="M10" i="3"/>
  <c r="M11" i="3"/>
  <c r="M9" i="3"/>
  <c r="L9" i="3"/>
  <c r="L8" i="3"/>
  <c r="L13" i="3"/>
  <c r="V13" i="3" a="1"/>
  <c r="V13" i="3" s="1"/>
  <c r="L12" i="3"/>
  <c r="J12" i="3"/>
  <c r="Q12" i="3"/>
  <c r="J4" i="3"/>
  <c r="Q4" i="3"/>
  <c r="J10" i="3"/>
  <c r="Q10" i="3"/>
  <c r="R2" i="3"/>
  <c r="J2" i="3"/>
  <c r="Q6" i="3"/>
  <c r="J6" i="3"/>
  <c r="L7" i="3"/>
  <c r="V6" i="3"/>
  <c r="M13" i="3"/>
  <c r="V12" i="3"/>
  <c r="L11" i="3"/>
  <c r="V10" i="3"/>
  <c r="V4" i="3"/>
  <c r="L5" i="3"/>
  <c r="L10" i="3"/>
  <c r="V9" i="3"/>
  <c r="L3" i="3"/>
  <c r="M12" i="3"/>
  <c r="V7" i="3"/>
  <c r="M8" i="3"/>
  <c r="V11" i="3"/>
  <c r="L6" i="3"/>
  <c r="M6" i="3"/>
  <c r="V5" i="3"/>
  <c r="V3" i="3"/>
  <c r="M4" i="3"/>
  <c r="L2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<sst xmlns="http://schemas.openxmlformats.org/spreadsheetml/2006/main" count="863" uniqueCount="304">
  <si>
    <t>Load Cases</t>
  </si>
  <si>
    <t xml:space="preserve">0g Static </t>
  </si>
  <si>
    <t>0g Static</t>
  </si>
  <si>
    <t>Tire</t>
  </si>
  <si>
    <t>Component</t>
  </si>
  <si>
    <t>(lbs)</t>
  </si>
  <si>
    <t>Vertical</t>
  </si>
  <si>
    <t>Lateral</t>
  </si>
  <si>
    <t>Longitudinal</t>
  </si>
  <si>
    <t>UAA Fore</t>
  </si>
  <si>
    <t>UAA Aft</t>
  </si>
  <si>
    <t>LAA Fore</t>
  </si>
  <si>
    <t>LAA Aft</t>
  </si>
  <si>
    <t>Steering Rod</t>
  </si>
  <si>
    <t>Pull Rod</t>
  </si>
  <si>
    <t>Tie Rod</t>
  </si>
  <si>
    <t>Push Rod</t>
  </si>
  <si>
    <t>Maximum Compression</t>
  </si>
  <si>
    <t>Maximum Tension</t>
  </si>
  <si>
    <t>---</t>
  </si>
  <si>
    <t>Maximum Compression (lbs)</t>
  </si>
  <si>
    <t>Maximum Tension (lbs)</t>
  </si>
  <si>
    <t>Front</t>
  </si>
  <si>
    <t>Rear</t>
  </si>
  <si>
    <t>Length (in)</t>
  </si>
  <si>
    <t>Outside Diameter (in)</t>
  </si>
  <si>
    <t>Area (in^2)</t>
  </si>
  <si>
    <t>Volume (in^3)</t>
  </si>
  <si>
    <t>Weight (lbs)</t>
  </si>
  <si>
    <t>Moment of Inertia (in^4)</t>
  </si>
  <si>
    <t>(l/k)2</t>
  </si>
  <si>
    <t>(l/k)1</t>
  </si>
  <si>
    <t>(l/k)</t>
  </si>
  <si>
    <t>Int-Length Critical Buckling (lbs)</t>
  </si>
  <si>
    <t>Euler Critical Buckling (lbs)</t>
  </si>
  <si>
    <t>Calculated FoS</t>
  </si>
  <si>
    <t>Fatigue Strength</t>
  </si>
  <si>
    <t>Situation</t>
  </si>
  <si>
    <t>Constant for Buckling</t>
  </si>
  <si>
    <t>Wall Thickness (in)</t>
  </si>
  <si>
    <t>Critical Yield (lbs)</t>
  </si>
  <si>
    <t>Solidworks FoS Tension</t>
  </si>
  <si>
    <t>Solidworks FoS Compression</t>
  </si>
  <si>
    <t>Solidworks FoS Buckling</t>
  </si>
  <si>
    <t>Givens</t>
  </si>
  <si>
    <t>Density(Twill)</t>
  </si>
  <si>
    <t>lb/in^3</t>
  </si>
  <si>
    <t>Yield Strength</t>
  </si>
  <si>
    <t>psi</t>
  </si>
  <si>
    <t>E</t>
  </si>
  <si>
    <t>ksi</t>
  </si>
  <si>
    <t>? -----&gt;</t>
  </si>
  <si>
    <t>Fixed Pin</t>
  </si>
  <si>
    <t>Pin Pin</t>
  </si>
  <si>
    <t>Tilt Test (1.7g C)</t>
  </si>
  <si>
    <t>Car Parameters</t>
  </si>
  <si>
    <t>Total Weight (lb)</t>
  </si>
  <si>
    <t>Front %</t>
  </si>
  <si>
    <t>Rear %</t>
  </si>
  <si>
    <t>Wheelbase (in)</t>
  </si>
  <si>
    <t>Front Track Width (in)</t>
  </si>
  <si>
    <t>Rear Track Width (in)</t>
  </si>
  <si>
    <t>CoG Height (in)</t>
  </si>
  <si>
    <t>Tire Radius (in)</t>
  </si>
  <si>
    <t>Front Axle to CoG (in)</t>
  </si>
  <si>
    <t>CoG to Rear Axle (in)</t>
  </si>
  <si>
    <t>Front Axle h (in)</t>
  </si>
  <si>
    <t>Rear Axle h (in)</t>
  </si>
  <si>
    <t>Roll Axis F (in)</t>
  </si>
  <si>
    <t>Roll Axis R (in)</t>
  </si>
  <si>
    <t>Alignment + Tuning Parameters</t>
  </si>
  <si>
    <t>K_s F (lb/in)</t>
  </si>
  <si>
    <t>K_s R (lb/in)</t>
  </si>
  <si>
    <t>MRs F</t>
  </si>
  <si>
    <t>MRs R</t>
  </si>
  <si>
    <t>K_ARB F (lb/in)</t>
  </si>
  <si>
    <t>K_ARB R (lb/in)</t>
  </si>
  <si>
    <t>MR_ARB F</t>
  </si>
  <si>
    <t>MR_ARB R</t>
  </si>
  <si>
    <t>Ackermann (-1 = Anti, 1 = Ack)</t>
  </si>
  <si>
    <t>Front Toe</t>
  </si>
  <si>
    <t>Front Suspension Points</t>
  </si>
  <si>
    <t>x (mm)</t>
  </si>
  <si>
    <t>y (mm)</t>
  </si>
  <si>
    <t>z (mm)</t>
  </si>
  <si>
    <t>x (in)</t>
  </si>
  <si>
    <t>y (in)</t>
  </si>
  <si>
    <t>z (in)</t>
  </si>
  <si>
    <t>Point 1: Lower wishbone front pivot</t>
  </si>
  <si>
    <t>Point 2: Lower wishbone rear pivot</t>
  </si>
  <si>
    <t>Point 3: Lower wishbone outer ball joint</t>
  </si>
  <si>
    <t>Point 5: Upper wishbone front pivot</t>
  </si>
  <si>
    <t>Point 6: Upper wishbone rear pivot</t>
  </si>
  <si>
    <t>Point 7: Upper wishbone outer ball joint</t>
  </si>
  <si>
    <t>Point 8: Push rod wishbone end</t>
  </si>
  <si>
    <t>Point 9: Push rod rocker end</t>
  </si>
  <si>
    <t>Point 11: Outer track rod ball joint</t>
  </si>
  <si>
    <t>Point 12: Inner track rod ball joint</t>
  </si>
  <si>
    <t>Point 16: Damper to body point</t>
  </si>
  <si>
    <t>Point 17: Damper to rocker point</t>
  </si>
  <si>
    <t>Point 18: Wheel spindle point</t>
  </si>
  <si>
    <t>Point 19: Wheel centre point</t>
  </si>
  <si>
    <t>Point 20: Rocker axis 1st point</t>
  </si>
  <si>
    <t>Point 21: Rocker axis 2nd point</t>
  </si>
  <si>
    <t>Point 99: Tyre Contact Patch, x,y,z (mm)</t>
  </si>
  <si>
    <t>Rear Suspension Points</t>
  </si>
  <si>
    <t>w/o ARB</t>
  </si>
  <si>
    <t>w/ ARB</t>
  </si>
  <si>
    <t>-&gt; changes damped natural frequency</t>
  </si>
  <si>
    <t>Max Acceleration (1.7g)</t>
  </si>
  <si>
    <t>Max Deceleration (~1.55g)</t>
  </si>
  <si>
    <t>Max Cornering (1.7g) - Skidpad</t>
  </si>
  <si>
    <t>FL</t>
  </si>
  <si>
    <t>FR</t>
  </si>
  <si>
    <t>F_x</t>
  </si>
  <si>
    <t>F_y</t>
  </si>
  <si>
    <t>F_z</t>
  </si>
  <si>
    <t>RL</t>
  </si>
  <si>
    <t>RR</t>
  </si>
  <si>
    <t>*Brake limited</t>
  </si>
  <si>
    <t xml:space="preserve">Cone Strike (5g Static) </t>
  </si>
  <si>
    <t>*No Steer Input Angle -&gt; Max SA</t>
  </si>
  <si>
    <t>*Beta_max</t>
  </si>
  <si>
    <t>Front Left (FL)</t>
  </si>
  <si>
    <t>Front Right (FR)</t>
  </si>
  <si>
    <t>Rear Left (RL)</t>
  </si>
  <si>
    <t>Rear Right (RR)</t>
  </si>
  <si>
    <t>BUMP</t>
  </si>
  <si>
    <t>ROLL</t>
  </si>
  <si>
    <t>STEER</t>
  </si>
  <si>
    <t>*Beta = 0 -&gt; 100" Radius</t>
  </si>
  <si>
    <t>*from Shark (right side of vehicle)</t>
  </si>
  <si>
    <t>Run 21</t>
  </si>
  <si>
    <t>Run 22</t>
  </si>
  <si>
    <t>Run 24</t>
  </si>
  <si>
    <t>Run 25</t>
  </si>
  <si>
    <t>Run 34</t>
  </si>
  <si>
    <t>Run 35</t>
  </si>
  <si>
    <t>Run 36</t>
  </si>
  <si>
    <t>Run 37</t>
  </si>
  <si>
    <t>Run 38</t>
  </si>
  <si>
    <t>Run 39</t>
  </si>
  <si>
    <t>Fy Plots</t>
  </si>
  <si>
    <t>KPI F</t>
  </si>
  <si>
    <t>KPI R</t>
  </si>
  <si>
    <t>Fx Plots</t>
  </si>
  <si>
    <t>Tire Parameters</t>
  </si>
  <si>
    <t>mu_long</t>
  </si>
  <si>
    <t>mu_lat</t>
  </si>
  <si>
    <t>Max Lateral Gs - No Aero</t>
  </si>
  <si>
    <t>Max Lateral Gs - Aero</t>
  </si>
  <si>
    <t>C_stiffF (lb/deg)</t>
  </si>
  <si>
    <t>*based on TTC Data</t>
  </si>
  <si>
    <t>C_stiffR (lb/deg)</t>
  </si>
  <si>
    <t>*KPI vs Cstiff</t>
  </si>
  <si>
    <t>K_t F (lb/in)</t>
  </si>
  <si>
    <t>K_t R (lb/in)</t>
  </si>
  <si>
    <t>Aero Parameters</t>
  </si>
  <si>
    <t>C_LA (Lift Factor)</t>
  </si>
  <si>
    <t>ARB Tuning</t>
  </si>
  <si>
    <t>Ride Height</t>
  </si>
  <si>
    <t>Toe</t>
  </si>
  <si>
    <t>Caster</t>
  </si>
  <si>
    <t>KPI</t>
  </si>
  <si>
    <t>-&gt; turns for push rod, etc.</t>
  </si>
  <si>
    <t>delta l change for k_arb range</t>
  </si>
  <si>
    <t>Motion Ratio</t>
  </si>
  <si>
    <t>ARB Design</t>
  </si>
  <si>
    <t>Credits:</t>
  </si>
  <si>
    <t>Cpt. Hamilton</t>
  </si>
  <si>
    <t>Distance from Pushrod Point: 1.3375 in</t>
  </si>
  <si>
    <t>MR_ARB</t>
  </si>
  <si>
    <t>K_ARBmin</t>
  </si>
  <si>
    <t>K_ARBmax</t>
  </si>
  <si>
    <t>Ex:</t>
  </si>
  <si>
    <t>4130 Steel</t>
  </si>
  <si>
    <t>Bump</t>
  </si>
  <si>
    <t>Droop</t>
  </si>
  <si>
    <t>Lever Arm Length Range: 2.5-4 (deltaL = 0.5 in)</t>
  </si>
  <si>
    <t>*Optimal Entry Steer Input Angle</t>
  </si>
  <si>
    <t>*at 60 mph</t>
  </si>
  <si>
    <t>Distance from Shock Point: 0.98 in</t>
  </si>
  <si>
    <r>
      <t>Run No.</t>
    </r>
    <r>
      <rPr>
        <sz val="10"/>
        <color rgb="FF000000"/>
        <rFont val="Arial"/>
        <family val="2"/>
      </rPr>
      <t> </t>
    </r>
  </si>
  <si>
    <r>
      <t>Spring</t>
    </r>
    <r>
      <rPr>
        <sz val="10"/>
        <color rgb="FF000000"/>
        <rFont val="Arial"/>
        <family val="2"/>
      </rPr>
      <t> </t>
    </r>
  </si>
  <si>
    <r>
      <t>P</t>
    </r>
    <r>
      <rPr>
        <sz val="10"/>
        <color rgb="FF000000"/>
        <rFont val="Arial"/>
        <family val="2"/>
      </rPr>
      <t> </t>
    </r>
  </si>
  <si>
    <r>
      <t>IA</t>
    </r>
    <r>
      <rPr>
        <sz val="10"/>
        <color rgb="FF000000"/>
        <rFont val="Arial"/>
        <family val="2"/>
      </rPr>
      <t> </t>
    </r>
  </si>
  <si>
    <r>
      <t>Nominal</t>
    </r>
    <r>
      <rPr>
        <sz val="10"/>
        <color rgb="FF000000"/>
        <rFont val="Arial"/>
        <family val="2"/>
      </rPr>
      <t> </t>
    </r>
  </si>
  <si>
    <r>
      <t>CS</t>
    </r>
    <r>
      <rPr>
        <sz val="10"/>
        <color rgb="FF000000"/>
        <rFont val="Arial"/>
        <family val="2"/>
      </rPr>
      <t> </t>
    </r>
  </si>
  <si>
    <r>
      <t>CSC</t>
    </r>
    <r>
      <rPr>
        <sz val="10"/>
        <color rgb="FF000000"/>
        <rFont val="Arial"/>
        <family val="2"/>
      </rPr>
      <t> </t>
    </r>
  </si>
  <si>
    <r>
      <t>FY-0</t>
    </r>
    <r>
      <rPr>
        <sz val="10"/>
        <color rgb="FF000000"/>
        <rFont val="Arial"/>
        <family val="2"/>
      </rPr>
      <t> </t>
    </r>
  </si>
  <si>
    <r>
      <t> </t>
    </r>
    <r>
      <rPr>
        <sz val="10"/>
        <color rgb="FF000000"/>
        <rFont val="Arial"/>
        <family val="2"/>
      </rPr>
      <t> </t>
    </r>
  </si>
  <si>
    <r>
      <t>rate</t>
    </r>
    <r>
      <rPr>
        <sz val="10"/>
        <color rgb="FF000000"/>
        <rFont val="Arial"/>
        <family val="2"/>
      </rPr>
      <t> </t>
    </r>
  </si>
  <si>
    <r>
      <t>Load</t>
    </r>
    <r>
      <rPr>
        <sz val="10"/>
        <color rgb="FF000000"/>
        <rFont val="Arial"/>
        <family val="2"/>
      </rPr>
      <t> </t>
    </r>
  </si>
  <si>
    <r>
      <t>(lbs/in)</t>
    </r>
    <r>
      <rPr>
        <sz val="10"/>
        <color rgb="FF000000"/>
        <rFont val="Arial"/>
        <family val="2"/>
      </rPr>
      <t> </t>
    </r>
  </si>
  <si>
    <r>
      <t>(psi)</t>
    </r>
    <r>
      <rPr>
        <sz val="10"/>
        <color rgb="FF000000"/>
        <rFont val="Arial"/>
        <family val="2"/>
      </rPr>
      <t> </t>
    </r>
  </si>
  <si>
    <r>
      <t>(deg)</t>
    </r>
    <r>
      <rPr>
        <sz val="10"/>
        <color rgb="FF000000"/>
        <rFont val="Arial"/>
        <family val="2"/>
      </rPr>
      <t> </t>
    </r>
  </si>
  <si>
    <r>
      <t>(lbs)</t>
    </r>
    <r>
      <rPr>
        <sz val="10"/>
        <color rgb="FF000000"/>
        <rFont val="Arial"/>
        <family val="2"/>
      </rPr>
      <t> </t>
    </r>
  </si>
  <si>
    <r>
      <t>(lbs/deg)</t>
    </r>
    <r>
      <rPr>
        <sz val="10"/>
        <color rgb="FF000000"/>
        <rFont val="Arial"/>
        <family val="2"/>
      </rPr>
      <t> </t>
    </r>
  </si>
  <si>
    <t>12 </t>
  </si>
  <si>
    <t>0 </t>
  </si>
  <si>
    <t>  </t>
  </si>
  <si>
    <t>10 </t>
  </si>
  <si>
    <t>150 </t>
  </si>
  <si>
    <t>2 </t>
  </si>
  <si>
    <t>145 </t>
  </si>
  <si>
    <t>4 </t>
  </si>
  <si>
    <t>116 </t>
  </si>
  <si>
    <t>8 </t>
  </si>
  <si>
    <t>20 </t>
  </si>
  <si>
    <t>24 </t>
  </si>
  <si>
    <t>14 </t>
  </si>
  <si>
    <t>137 </t>
  </si>
  <si>
    <t>128 </t>
  </si>
  <si>
    <t>23 </t>
  </si>
  <si>
    <t>22 </t>
  </si>
  <si>
    <t>144 </t>
  </si>
  <si>
    <t>156 </t>
  </si>
  <si>
    <t>164 </t>
  </si>
  <si>
    <t>35 </t>
  </si>
  <si>
    <r>
      <t> </t>
    </r>
    <r>
      <rPr>
        <sz val="10"/>
        <rFont val="Arial"/>
        <family val="2"/>
      </rPr>
      <t> </t>
    </r>
  </si>
  <si>
    <r>
      <t>Run #</t>
    </r>
    <r>
      <rPr>
        <sz val="10"/>
        <rFont val="Arial"/>
        <family val="2"/>
      </rPr>
      <t> </t>
    </r>
  </si>
  <si>
    <r>
      <t>Tire #</t>
    </r>
    <r>
      <rPr>
        <sz val="10"/>
        <rFont val="Arial"/>
        <family val="2"/>
      </rPr>
      <t> </t>
    </r>
  </si>
  <si>
    <r>
      <t>Outboard </t>
    </r>
    <r>
      <rPr>
        <sz val="10"/>
        <rFont val="Arial"/>
        <family val="2"/>
      </rPr>
      <t> </t>
    </r>
  </si>
  <si>
    <r>
      <t>Center</t>
    </r>
    <r>
      <rPr>
        <sz val="10"/>
        <rFont val="Arial"/>
        <family val="2"/>
      </rPr>
      <t> </t>
    </r>
  </si>
  <si>
    <r>
      <t>Inboard</t>
    </r>
    <r>
      <rPr>
        <sz val="10"/>
        <rFont val="Arial"/>
        <family val="2"/>
      </rPr>
      <t> </t>
    </r>
  </si>
  <si>
    <t>21 </t>
  </si>
  <si>
    <t>19 </t>
  </si>
  <si>
    <t>129 </t>
  </si>
  <si>
    <t>117 </t>
  </si>
  <si>
    <t>38 </t>
  </si>
  <si>
    <t>160 </t>
  </si>
  <si>
    <r>
      <t>Description</t>
    </r>
    <r>
      <rPr>
        <sz val="10"/>
        <color rgb="FF000000"/>
        <rFont val="Arial"/>
        <family val="2"/>
      </rPr>
      <t> </t>
    </r>
  </si>
  <si>
    <r>
      <t>V</t>
    </r>
    <r>
      <rPr>
        <sz val="10"/>
        <color rgb="FF000000"/>
        <rFont val="Arial"/>
        <family val="2"/>
      </rPr>
      <t> </t>
    </r>
  </si>
  <si>
    <r>
      <t>(mph)</t>
    </r>
    <r>
      <rPr>
        <sz val="10"/>
        <color rgb="FF000000"/>
        <rFont val="Arial"/>
        <family val="2"/>
      </rPr>
      <t> </t>
    </r>
  </si>
  <si>
    <r>
      <t>Spring Rate</t>
    </r>
    <r>
      <rPr>
        <sz val="10"/>
        <color rgb="FF000000"/>
        <rFont val="Arial"/>
        <family val="2"/>
      </rPr>
      <t> </t>
    </r>
  </si>
  <si>
    <t>Pre Test Static </t>
  </si>
  <si>
    <t>787.3 </t>
  </si>
  <si>
    <t>668.4 </t>
  </si>
  <si>
    <t>571.6 </t>
  </si>
  <si>
    <t>Pre cold to hot Dynamic </t>
  </si>
  <si>
    <t>25 </t>
  </si>
  <si>
    <t>882.9 </t>
  </si>
  <si>
    <t>691.0 </t>
  </si>
  <si>
    <t>545.1 </t>
  </si>
  <si>
    <t>Post cold to hot </t>
  </si>
  <si>
    <t>723.4 </t>
  </si>
  <si>
    <t>634.6 </t>
  </si>
  <si>
    <t>528.1 </t>
  </si>
  <si>
    <t>Post Test Dynamic </t>
  </si>
  <si>
    <t>638.7 </t>
  </si>
  <si>
    <t>591.2 </t>
  </si>
  <si>
    <t>508.7 </t>
  </si>
  <si>
    <t>575.9 </t>
  </si>
  <si>
    <t>539.9 </t>
  </si>
  <si>
    <t>461.6 </t>
  </si>
  <si>
    <t>676.9 </t>
  </si>
  <si>
    <t>628.9 </t>
  </si>
  <si>
    <t>546.0 </t>
  </si>
  <si>
    <t>497.4 </t>
  </si>
  <si>
    <t>478.4 </t>
  </si>
  <si>
    <t>413.5 </t>
  </si>
  <si>
    <t>630.8 </t>
  </si>
  <si>
    <t>590.7 </t>
  </si>
  <si>
    <t>503.1 </t>
  </si>
  <si>
    <t>810.4 </t>
  </si>
  <si>
    <t>718.3 </t>
  </si>
  <si>
    <t>624.0 </t>
  </si>
  <si>
    <t>822.5 </t>
  </si>
  <si>
    <t>711.5 </t>
  </si>
  <si>
    <t>580.2 </t>
  </si>
  <si>
    <t>710.5 </t>
  </si>
  <si>
    <t>641.7 </t>
  </si>
  <si>
    <t>545.5 </t>
  </si>
  <si>
    <t>657.5 </t>
  </si>
  <si>
    <t>607.9 </t>
  </si>
  <si>
    <t>521.5 </t>
  </si>
  <si>
    <t>599.1 </t>
  </si>
  <si>
    <t>553.2 </t>
  </si>
  <si>
    <t>469.4 </t>
  </si>
  <si>
    <t>700.6 </t>
  </si>
  <si>
    <t>651.7 </t>
  </si>
  <si>
    <t>563.7 </t>
  </si>
  <si>
    <t>497.0 </t>
  </si>
  <si>
    <t>421.3 </t>
  </si>
  <si>
    <t>657.1 </t>
  </si>
  <si>
    <t>610.5 </t>
  </si>
  <si>
    <t>525.4 </t>
  </si>
  <si>
    <t>Spring Rate and Cornering Stiffness Table</t>
  </si>
  <si>
    <r>
      <t>Pre and Post Test Spring Rate Table</t>
    </r>
    <r>
      <rPr>
        <sz val="12"/>
        <rFont val="Calibri"/>
        <family val="2"/>
      </rPr>
      <t> </t>
    </r>
  </si>
  <si>
    <r>
      <t>Pyrometer Readings</t>
    </r>
    <r>
      <rPr>
        <sz val="12"/>
        <rFont val="Calibri"/>
        <family val="2"/>
      </rPr>
      <t> </t>
    </r>
  </si>
  <si>
    <r>
      <t>Temp. (F)</t>
    </r>
    <r>
      <rPr>
        <sz val="10"/>
        <rFont val="Arial"/>
        <family val="2"/>
      </rPr>
      <t> </t>
    </r>
  </si>
  <si>
    <t>Cornering Stiffness vs. Inclination Angle Given Nominal Load</t>
  </si>
  <si>
    <t>12 psi</t>
  </si>
  <si>
    <t>Nominal Load</t>
  </si>
  <si>
    <t>Inclination Angle</t>
  </si>
  <si>
    <t>C_stiff</t>
  </si>
  <si>
    <t xml:space="preserve">1654-21 </t>
  </si>
  <si>
    <t>-</t>
  </si>
  <si>
    <t xml:space="preserve">1654-22 </t>
  </si>
  <si>
    <t>10 psi</t>
  </si>
  <si>
    <t>14 psi</t>
  </si>
  <si>
    <t>Initial 12 psi, 10 psi, 14 psi</t>
  </si>
  <si>
    <t>8 psi, Final 12 psi, Speed Test</t>
  </si>
  <si>
    <t>Cornering Stiffness vs. Nominal Load Given Inclination Angle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</si>
</sst>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FFFF00"/>
      <name val="Calibri"/>
      <family val="2"/>
      <scheme val="minor"/>
    </font>
    <font>
      <sz val="11"/>
      <color rgb="FF000000"/>
      <name val="Calibri"/>
      <family val="2"/>
      <scheme val="minor"/>
    </font>
    <font>
      <sz val="9"/>
      <color rgb="FF444444"/>
      <name val="Calibri"/>
      <family val="2"/>
      <scheme val="minor"/>
    </font>
    <font>
      <sz val="11"/>
      <color rgb="FFFFFF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sz val="16"/>
      <name val="Calibri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12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sz val="11"/>
      <name val="Calibri"/>
      <family val="2"/>
    </font>
    <font>
      <b/>
      <sz val="12"/>
      <name val="Calibri"/>
      <family val="2"/>
    </font>
    <font>
      <sz val="10"/>
      <color theme="1"/>
      <name val="Arial"/>
      <family val="2"/>
    </font>
  </fonts>
  <fills count="16">
    <fill>
      <patternFill patternType="none"/>
    </fill>
    <fill>
      <patternFill patternType="gray125"/>
    </fill>
    <fill>
      <patternFill patternType="solid">
        <fgColor rgb="FF00B0F0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theme="0"/>
        <bgColor rgb="FF000000"/>
      </patternFill>
    </fill>
    <fill>
      <patternFill patternType="solid">
        <fgColor rgb="FFF8CBAD"/>
        <bgColor rgb="FF000000"/>
      </patternFill>
    </fill>
    <fill>
      <patternFill patternType="solid">
        <fgColor rgb="FF92D050"/>
        <bgColor rgb="FF000000"/>
      </patternFill>
    </fill>
    <fill>
      <patternFill patternType="solid">
        <fgColor rgb="FFC6EFCE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rgb="FF000000"/>
      </patternFill>
    </fill>
    <fill>
      <patternFill patternType="solid">
        <fgColor theme="7"/>
        <bgColor indexed="64"/>
      </patternFill>
    </fill>
  </fills>
  <borders count="74">
    <border>
      <left/>
      <right/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rgb="FF909090"/>
      </left>
      <right style="medium">
        <color rgb="FF909090"/>
      </right>
      <top style="medium">
        <color rgb="FF909090"/>
      </top>
      <bottom style="medium">
        <color rgb="FF909090"/>
      </bottom>
      <diagonal/>
    </border>
    <border>
      <left style="thin">
        <color rgb="FF000000"/>
      </left>
      <right style="medium">
        <color rgb="FF909090"/>
      </right>
      <top style="thin">
        <color rgb="FF000000"/>
      </top>
      <bottom style="medium">
        <color rgb="FF909090"/>
      </bottom>
      <diagonal/>
    </border>
    <border>
      <left style="medium">
        <color rgb="FF909090"/>
      </left>
      <right style="medium">
        <color rgb="FF909090"/>
      </right>
      <top style="thin">
        <color rgb="FF000000"/>
      </top>
      <bottom style="medium">
        <color rgb="FF909090"/>
      </bottom>
      <diagonal/>
    </border>
    <border>
      <left style="medium">
        <color rgb="FF909090"/>
      </left>
      <right style="thin">
        <color rgb="FF000000"/>
      </right>
      <top style="thin">
        <color rgb="FF000000"/>
      </top>
      <bottom style="medium">
        <color rgb="FF909090"/>
      </bottom>
      <diagonal/>
    </border>
    <border>
      <left style="thin">
        <color rgb="FF000000"/>
      </left>
      <right style="medium">
        <color rgb="FF909090"/>
      </right>
      <top style="medium">
        <color rgb="FF909090"/>
      </top>
      <bottom style="medium">
        <color rgb="FF909090"/>
      </bottom>
      <diagonal/>
    </border>
    <border>
      <left style="medium">
        <color rgb="FF909090"/>
      </left>
      <right style="thin">
        <color rgb="FF000000"/>
      </right>
      <top style="medium">
        <color rgb="FF909090"/>
      </top>
      <bottom style="medium">
        <color rgb="FF909090"/>
      </bottom>
      <diagonal/>
    </border>
    <border>
      <left style="thin">
        <color rgb="FF000000"/>
      </left>
      <right style="medium">
        <color rgb="FF909090"/>
      </right>
      <top style="medium">
        <color rgb="FF909090"/>
      </top>
      <bottom style="thin">
        <color rgb="FF000000"/>
      </bottom>
      <diagonal/>
    </border>
    <border>
      <left style="medium">
        <color rgb="FF909090"/>
      </left>
      <right style="medium">
        <color rgb="FF909090"/>
      </right>
      <top style="medium">
        <color rgb="FF909090"/>
      </top>
      <bottom style="thin">
        <color rgb="FF000000"/>
      </bottom>
      <diagonal/>
    </border>
    <border>
      <left style="medium">
        <color rgb="FF909090"/>
      </left>
      <right style="thin">
        <color rgb="FF000000"/>
      </right>
      <top style="medium">
        <color rgb="FF909090"/>
      </top>
      <bottom style="thin">
        <color rgb="FF000000"/>
      </bottom>
      <diagonal/>
    </border>
    <border>
      <left style="medium">
        <color rgb="FF909090"/>
      </left>
      <right style="medium">
        <color rgb="FF909090"/>
      </right>
      <top/>
      <bottom/>
      <diagonal/>
    </border>
    <border>
      <left style="medium">
        <color rgb="FF909090"/>
      </left>
      <right style="medium">
        <color rgb="FF909090"/>
      </right>
      <top/>
      <bottom style="medium">
        <color rgb="FF909090"/>
      </bottom>
      <diagonal/>
    </border>
    <border>
      <left style="thin">
        <color rgb="FF000000"/>
      </left>
      <right style="medium">
        <color rgb="FF909090"/>
      </right>
      <top style="thin">
        <color rgb="FF000000"/>
      </top>
      <bottom/>
      <diagonal/>
    </border>
    <border>
      <left style="medium">
        <color rgb="FF909090"/>
      </left>
      <right style="medium">
        <color rgb="FF909090"/>
      </right>
      <top style="thin">
        <color rgb="FF000000"/>
      </top>
      <bottom/>
      <diagonal/>
    </border>
    <border>
      <left style="medium">
        <color rgb="FF90909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909090"/>
      </right>
      <top/>
      <bottom/>
      <diagonal/>
    </border>
    <border>
      <left style="medium">
        <color rgb="FF90909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909090"/>
      </right>
      <top/>
      <bottom style="medium">
        <color rgb="FF909090"/>
      </bottom>
      <diagonal/>
    </border>
    <border>
      <left style="medium">
        <color rgb="FF909090"/>
      </left>
      <right style="thin">
        <color rgb="FF000000"/>
      </right>
      <top/>
      <bottom style="medium">
        <color rgb="FF909090"/>
      </bottom>
      <diagonal/>
    </border>
    <border>
      <left style="thin">
        <color rgb="FF000000"/>
      </left>
      <right style="medium">
        <color rgb="FF909090"/>
      </right>
      <top style="medium">
        <color rgb="FF909090"/>
      </top>
      <bottom style="thin">
        <color indexed="64"/>
      </bottom>
      <diagonal/>
    </border>
    <border>
      <left style="medium">
        <color rgb="FF909090"/>
      </left>
      <right style="medium">
        <color rgb="FF909090"/>
      </right>
      <top style="medium">
        <color rgb="FF909090"/>
      </top>
      <bottom style="thin">
        <color indexed="64"/>
      </bottom>
      <diagonal/>
    </border>
    <border>
      <left style="medium">
        <color rgb="FF909090"/>
      </left>
      <right style="thin">
        <color rgb="FF000000"/>
      </right>
      <top style="medium">
        <color rgb="FF909090"/>
      </top>
      <bottom style="thin">
        <color indexed="64"/>
      </bottom>
      <diagonal/>
    </border>
    <border>
      <left style="thin">
        <color rgb="FF000000"/>
      </left>
      <right style="medium">
        <color rgb="FF909090"/>
      </right>
      <top style="thin">
        <color indexed="64"/>
      </top>
      <bottom style="medium">
        <color rgb="FF909090"/>
      </bottom>
      <diagonal/>
    </border>
    <border>
      <left style="medium">
        <color rgb="FF909090"/>
      </left>
      <right style="medium">
        <color rgb="FF909090"/>
      </right>
      <top style="thin">
        <color indexed="64"/>
      </top>
      <bottom style="medium">
        <color rgb="FF909090"/>
      </bottom>
      <diagonal/>
    </border>
    <border>
      <left style="medium">
        <color rgb="FF909090"/>
      </left>
      <right style="thin">
        <color rgb="FF000000"/>
      </right>
      <top style="thin">
        <color indexed="64"/>
      </top>
      <bottom style="medium">
        <color rgb="FF909090"/>
      </bottom>
      <diagonal/>
    </border>
  </borders>
  <cellStyleXfs count="2">
    <xf numFmtId="0" fontId="0" fillId="0" borderId="0"/>
    <xf numFmtId="0" fontId="19" fillId="0" borderId="0"/>
  </cellStyleXfs>
  <cellXfs count="190">
    <xf numFmtId="0" fontId="0" fillId="0" borderId="0" xfId="0"/>
    <xf numFmtId="0" fontId="3" fillId="3" borderId="2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 wrapText="1"/>
    </xf>
    <xf numFmtId="0" fontId="3" fillId="0" borderId="0" xfId="0" applyFont="1"/>
    <xf numFmtId="0" fontId="3" fillId="4" borderId="2" xfId="0" applyFont="1" applyFill="1" applyBorder="1" applyAlignment="1">
      <alignment horizontal="center" vertical="center" wrapText="1"/>
    </xf>
    <xf numFmtId="0" fontId="3" fillId="4" borderId="4" xfId="0" applyFont="1" applyFill="1" applyBorder="1" applyAlignment="1">
      <alignment horizontal="center" vertical="center" wrapText="1"/>
    </xf>
    <xf numFmtId="0" fontId="2" fillId="2" borderId="10" xfId="0" applyFont="1" applyFill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0" fontId="3" fillId="3" borderId="4" xfId="0" quotePrefix="1" applyFont="1" applyFill="1" applyBorder="1" applyAlignment="1">
      <alignment horizontal="center" vertical="center" wrapText="1"/>
    </xf>
    <xf numFmtId="0" fontId="3" fillId="3" borderId="6" xfId="0" quotePrefix="1" applyFont="1" applyFill="1" applyBorder="1" applyAlignment="1">
      <alignment horizontal="center" vertical="center" wrapText="1"/>
    </xf>
    <xf numFmtId="0" fontId="3" fillId="3" borderId="9" xfId="0" applyFont="1" applyFill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3" fillId="0" borderId="16" xfId="0" applyFont="1" applyBorder="1" applyAlignment="1">
      <alignment horizontal="center" vertical="center" wrapText="1"/>
    </xf>
    <xf numFmtId="0" fontId="3" fillId="3" borderId="20" xfId="0" applyFont="1" applyFill="1" applyBorder="1" applyAlignment="1">
      <alignment horizontal="center" vertical="center" wrapText="1"/>
    </xf>
    <xf numFmtId="0" fontId="3" fillId="3" borderId="21" xfId="0" applyFont="1" applyFill="1" applyBorder="1" applyAlignment="1">
      <alignment horizontal="center" vertical="center" wrapText="1"/>
    </xf>
    <xf numFmtId="0" fontId="3" fillId="0" borderId="21" xfId="0" applyFont="1" applyBorder="1" applyAlignment="1">
      <alignment horizontal="center" vertical="center" wrapText="1"/>
    </xf>
    <xf numFmtId="0" fontId="3" fillId="0" borderId="22" xfId="0" applyFont="1" applyBorder="1" applyAlignment="1">
      <alignment horizontal="center" vertical="center" wrapText="1"/>
    </xf>
    <xf numFmtId="0" fontId="3" fillId="3" borderId="23" xfId="0" applyFont="1" applyFill="1" applyBorder="1" applyAlignment="1">
      <alignment horizontal="center" vertical="center" wrapText="1"/>
    </xf>
    <xf numFmtId="0" fontId="3" fillId="0" borderId="24" xfId="0" applyFont="1" applyBorder="1" applyAlignment="1">
      <alignment horizontal="center" vertical="center" wrapText="1"/>
    </xf>
    <xf numFmtId="0" fontId="3" fillId="5" borderId="2" xfId="0" applyFont="1" applyFill="1" applyBorder="1" applyAlignment="1">
      <alignment horizontal="center" vertical="center" wrapText="1"/>
    </xf>
    <xf numFmtId="0" fontId="3" fillId="5" borderId="4" xfId="0" applyFont="1" applyFill="1" applyBorder="1" applyAlignment="1">
      <alignment horizontal="center" vertical="center" wrapText="1"/>
    </xf>
    <xf numFmtId="0" fontId="3" fillId="5" borderId="14" xfId="0" applyFont="1" applyFill="1" applyBorder="1" applyAlignment="1">
      <alignment horizontal="center" vertical="center" wrapText="1"/>
    </xf>
    <xf numFmtId="0" fontId="3" fillId="5" borderId="6" xfId="0" applyFont="1" applyFill="1" applyBorder="1" applyAlignment="1">
      <alignment horizontal="center" vertical="center" wrapText="1"/>
    </xf>
    <xf numFmtId="0" fontId="3" fillId="5" borderId="15" xfId="0" applyFont="1" applyFill="1" applyBorder="1" applyAlignment="1">
      <alignment horizontal="center" vertical="center" wrapText="1"/>
    </xf>
    <xf numFmtId="0" fontId="3" fillId="5" borderId="9" xfId="0" applyFont="1" applyFill="1" applyBorder="1" applyAlignment="1">
      <alignment horizontal="center" vertical="center" wrapText="1"/>
    </xf>
    <xf numFmtId="0" fontId="3" fillId="5" borderId="8" xfId="0" applyFont="1" applyFill="1" applyBorder="1" applyAlignment="1">
      <alignment horizontal="center" vertical="center" wrapText="1"/>
    </xf>
    <xf numFmtId="0" fontId="4" fillId="0" borderId="0" xfId="0" applyFont="1"/>
    <xf numFmtId="0" fontId="4" fillId="0" borderId="4" xfId="0" applyFont="1" applyBorder="1"/>
    <xf numFmtId="0" fontId="2" fillId="2" borderId="1" xfId="0" applyFont="1" applyFill="1" applyBorder="1" applyAlignment="1">
      <alignment horizontal="center" vertical="center" wrapText="1"/>
    </xf>
    <xf numFmtId="0" fontId="3" fillId="6" borderId="2" xfId="0" applyFont="1" applyFill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1" fillId="7" borderId="2" xfId="0" applyFont="1" applyFill="1" applyBorder="1" applyAlignment="1">
      <alignment horizontal="center" vertical="center" wrapText="1"/>
    </xf>
    <xf numFmtId="0" fontId="3" fillId="5" borderId="3" xfId="0" applyFont="1" applyFill="1" applyBorder="1" applyAlignment="1">
      <alignment horizontal="center" vertical="center" wrapText="1"/>
    </xf>
    <xf numFmtId="0" fontId="3" fillId="5" borderId="5" xfId="0" applyFont="1" applyFill="1" applyBorder="1" applyAlignment="1">
      <alignment horizontal="center" vertical="center" wrapText="1"/>
    </xf>
    <xf numFmtId="0" fontId="3" fillId="0" borderId="28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6" borderId="14" xfId="0" applyFont="1" applyFill="1" applyBorder="1" applyAlignment="1">
      <alignment horizontal="center" vertical="center" wrapText="1"/>
    </xf>
    <xf numFmtId="0" fontId="3" fillId="0" borderId="29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25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 wrapText="1"/>
    </xf>
    <xf numFmtId="0" fontId="3" fillId="5" borderId="7" xfId="0" applyFont="1" applyFill="1" applyBorder="1" applyAlignment="1">
      <alignment horizontal="center" vertical="center" wrapText="1"/>
    </xf>
    <xf numFmtId="0" fontId="3" fillId="4" borderId="14" xfId="0" applyFont="1" applyFill="1" applyBorder="1" applyAlignment="1">
      <alignment horizontal="center" vertical="center" wrapText="1"/>
    </xf>
    <xf numFmtId="0" fontId="3" fillId="8" borderId="4" xfId="0" applyFont="1" applyFill="1" applyBorder="1" applyAlignment="1">
      <alignment horizontal="center" vertical="center" wrapText="1"/>
    </xf>
    <xf numFmtId="0" fontId="3" fillId="8" borderId="2" xfId="0" applyFont="1" applyFill="1" applyBorder="1" applyAlignment="1">
      <alignment horizontal="center" vertical="center" wrapText="1"/>
    </xf>
    <xf numFmtId="0" fontId="3" fillId="8" borderId="14" xfId="0" applyFont="1" applyFill="1" applyBorder="1" applyAlignment="1">
      <alignment horizontal="center" vertical="center" wrapText="1"/>
    </xf>
    <xf numFmtId="0" fontId="3" fillId="8" borderId="6" xfId="0" applyFont="1" applyFill="1" applyBorder="1" applyAlignment="1">
      <alignment horizontal="center" vertical="center" wrapText="1"/>
    </xf>
    <xf numFmtId="0" fontId="5" fillId="8" borderId="0" xfId="0" applyFont="1" applyFill="1"/>
    <xf numFmtId="0" fontId="4" fillId="0" borderId="2" xfId="0" applyFont="1" applyBorder="1"/>
    <xf numFmtId="0" fontId="3" fillId="0" borderId="31" xfId="0" applyFont="1" applyBorder="1" applyAlignment="1">
      <alignment horizontal="center" vertical="center" wrapText="1"/>
    </xf>
    <xf numFmtId="0" fontId="3" fillId="0" borderId="32" xfId="0" applyFont="1" applyBorder="1" applyAlignment="1">
      <alignment horizontal="center" vertical="center" wrapText="1"/>
    </xf>
    <xf numFmtId="0" fontId="3" fillId="0" borderId="29" xfId="0" applyFont="1" applyBorder="1" applyAlignment="1">
      <alignment horizontal="center" vertical="center" wrapText="1"/>
    </xf>
    <xf numFmtId="0" fontId="6" fillId="0" borderId="0" xfId="0" applyFont="1"/>
    <xf numFmtId="0" fontId="0" fillId="9" borderId="0" xfId="0" applyFill="1"/>
    <xf numFmtId="11" fontId="0" fillId="0" borderId="0" xfId="0" applyNumberFormat="1"/>
    <xf numFmtId="0" fontId="2" fillId="2" borderId="33" xfId="0" applyFont="1" applyFill="1" applyBorder="1" applyAlignment="1">
      <alignment horizontal="center" vertical="center" wrapText="1"/>
    </xf>
    <xf numFmtId="0" fontId="2" fillId="2" borderId="17" xfId="0" applyFont="1" applyFill="1" applyBorder="1" applyAlignment="1">
      <alignment horizontal="center" vertical="center" wrapText="1"/>
    </xf>
    <xf numFmtId="0" fontId="0" fillId="0" borderId="18" xfId="0" applyBorder="1"/>
    <xf numFmtId="0" fontId="0" fillId="0" borderId="34" xfId="0" applyBorder="1"/>
    <xf numFmtId="0" fontId="0" fillId="0" borderId="35" xfId="0" applyBorder="1"/>
    <xf numFmtId="0" fontId="0" fillId="0" borderId="19" xfId="0" applyBorder="1"/>
    <xf numFmtId="0" fontId="0" fillId="0" borderId="36" xfId="0" applyBorder="1"/>
    <xf numFmtId="0" fontId="0" fillId="0" borderId="0" xfId="0" quotePrefix="1"/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2" fillId="2" borderId="37" xfId="0" applyFont="1" applyFill="1" applyBorder="1" applyAlignment="1">
      <alignment horizontal="center" vertical="center" wrapText="1"/>
    </xf>
    <xf numFmtId="0" fontId="6" fillId="10" borderId="38" xfId="0" applyFont="1" applyFill="1" applyBorder="1"/>
    <xf numFmtId="0" fontId="0" fillId="10" borderId="39" xfId="0" applyFill="1" applyBorder="1"/>
    <xf numFmtId="0" fontId="6" fillId="10" borderId="40" xfId="0" applyFont="1" applyFill="1" applyBorder="1"/>
    <xf numFmtId="0" fontId="0" fillId="0" borderId="41" xfId="0" applyBorder="1"/>
    <xf numFmtId="0" fontId="0" fillId="0" borderId="42" xfId="0" applyBorder="1"/>
    <xf numFmtId="0" fontId="0" fillId="11" borderId="41" xfId="0" applyFill="1" applyBorder="1"/>
    <xf numFmtId="0" fontId="0" fillId="11" borderId="0" xfId="0" applyFill="1"/>
    <xf numFmtId="0" fontId="0" fillId="11" borderId="34" xfId="0" applyFill="1" applyBorder="1"/>
    <xf numFmtId="0" fontId="0" fillId="11" borderId="42" xfId="0" applyFill="1" applyBorder="1"/>
    <xf numFmtId="0" fontId="6" fillId="12" borderId="41" xfId="0" applyFont="1" applyFill="1" applyBorder="1"/>
    <xf numFmtId="0" fontId="0" fillId="12" borderId="0" xfId="0" applyFill="1"/>
    <xf numFmtId="0" fontId="6" fillId="12" borderId="34" xfId="0" applyFont="1" applyFill="1" applyBorder="1"/>
    <xf numFmtId="0" fontId="0" fillId="0" borderId="43" xfId="0" applyBorder="1"/>
    <xf numFmtId="0" fontId="0" fillId="0" borderId="44" xfId="0" applyBorder="1"/>
    <xf numFmtId="0" fontId="0" fillId="0" borderId="45" xfId="0" applyBorder="1"/>
    <xf numFmtId="0" fontId="0" fillId="0" borderId="8" xfId="0" applyBorder="1"/>
    <xf numFmtId="0" fontId="5" fillId="0" borderId="0" xfId="0" applyFont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8" fillId="0" borderId="0" xfId="0" applyFont="1" applyAlignment="1">
      <alignment vertical="center" wrapText="1"/>
    </xf>
    <xf numFmtId="0" fontId="0" fillId="10" borderId="31" xfId="0" applyFill="1" applyBorder="1"/>
    <xf numFmtId="0" fontId="3" fillId="3" borderId="6" xfId="0" applyFont="1" applyFill="1" applyBorder="1" applyAlignment="1">
      <alignment horizontal="center" vertical="center" wrapText="1"/>
    </xf>
    <xf numFmtId="0" fontId="4" fillId="0" borderId="14" xfId="0" applyFont="1" applyBorder="1"/>
    <xf numFmtId="0" fontId="3" fillId="3" borderId="3" xfId="0" quotePrefix="1" applyFont="1" applyFill="1" applyBorder="1" applyAlignment="1">
      <alignment horizontal="center" vertical="center" wrapText="1"/>
    </xf>
    <xf numFmtId="0" fontId="3" fillId="3" borderId="5" xfId="0" quotePrefix="1" applyFont="1" applyFill="1" applyBorder="1" applyAlignment="1">
      <alignment horizontal="center" vertical="center" wrapText="1"/>
    </xf>
    <xf numFmtId="0" fontId="4" fillId="0" borderId="5" xfId="0" applyFont="1" applyBorder="1"/>
    <xf numFmtId="0" fontId="4" fillId="0" borderId="25" xfId="0" applyFont="1" applyBorder="1"/>
    <xf numFmtId="0" fontId="3" fillId="3" borderId="7" xfId="0" quotePrefix="1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0" fontId="3" fillId="3" borderId="5" xfId="0" applyFont="1" applyFill="1" applyBorder="1" applyAlignment="1">
      <alignment horizontal="center" vertical="center" wrapText="1"/>
    </xf>
    <xf numFmtId="0" fontId="2" fillId="14" borderId="12" xfId="0" applyFont="1" applyFill="1" applyBorder="1" applyAlignment="1">
      <alignment horizontal="center" vertical="center" wrapText="1"/>
    </xf>
    <xf numFmtId="0" fontId="2" fillId="14" borderId="13" xfId="0" applyFont="1" applyFill="1" applyBorder="1" applyAlignment="1">
      <alignment horizontal="center" vertical="center" wrapText="1"/>
    </xf>
    <xf numFmtId="0" fontId="3" fillId="3" borderId="46" xfId="0" applyFont="1" applyFill="1" applyBorder="1" applyAlignment="1">
      <alignment horizontal="center" vertical="center" wrapText="1"/>
    </xf>
    <xf numFmtId="0" fontId="3" fillId="3" borderId="47" xfId="0" applyFont="1" applyFill="1" applyBorder="1" applyAlignment="1">
      <alignment horizontal="center" vertical="center" wrapText="1"/>
    </xf>
    <xf numFmtId="0" fontId="3" fillId="3" borderId="28" xfId="0" applyFont="1" applyFill="1" applyBorder="1" applyAlignment="1">
      <alignment horizontal="center" vertical="center" wrapText="1"/>
    </xf>
    <xf numFmtId="0" fontId="3" fillId="5" borderId="29" xfId="0" applyFont="1" applyFill="1" applyBorder="1" applyAlignment="1">
      <alignment horizontal="center" vertical="center" wrapText="1"/>
    </xf>
    <xf numFmtId="0" fontId="3" fillId="6" borderId="48" xfId="0" applyFont="1" applyFill="1" applyBorder="1" applyAlignment="1">
      <alignment horizontal="center" vertical="center" wrapText="1"/>
    </xf>
    <xf numFmtId="0" fontId="1" fillId="7" borderId="48" xfId="0" applyFont="1" applyFill="1" applyBorder="1" applyAlignment="1">
      <alignment horizontal="center" vertical="center" wrapText="1"/>
    </xf>
    <xf numFmtId="0" fontId="3" fillId="0" borderId="48" xfId="0" applyFont="1" applyBorder="1" applyAlignment="1">
      <alignment horizontal="center" vertical="center" wrapText="1"/>
    </xf>
    <xf numFmtId="0" fontId="4" fillId="0" borderId="48" xfId="0" applyFont="1" applyBorder="1"/>
    <xf numFmtId="0" fontId="4" fillId="0" borderId="35" xfId="0" applyFont="1" applyBorder="1"/>
    <xf numFmtId="0" fontId="3" fillId="5" borderId="25" xfId="0" applyFont="1" applyFill="1" applyBorder="1" applyAlignment="1">
      <alignment horizontal="center" vertical="center" wrapText="1"/>
    </xf>
    <xf numFmtId="0" fontId="3" fillId="6" borderId="6" xfId="0" applyFont="1" applyFill="1" applyBorder="1" applyAlignment="1">
      <alignment horizontal="center" vertical="center" wrapText="1"/>
    </xf>
    <xf numFmtId="0" fontId="1" fillId="7" borderId="6" xfId="0" applyFont="1" applyFill="1" applyBorder="1" applyAlignment="1">
      <alignment horizontal="center" vertical="center" wrapText="1"/>
    </xf>
    <xf numFmtId="0" fontId="4" fillId="0" borderId="6" xfId="0" applyFont="1" applyBorder="1"/>
    <xf numFmtId="0" fontId="9" fillId="0" borderId="0" xfId="0" applyFont="1"/>
    <xf numFmtId="0" fontId="0" fillId="15" borderId="0" xfId="0" applyFill="1"/>
    <xf numFmtId="0" fontId="10" fillId="4" borderId="6" xfId="0" applyFont="1" applyFill="1" applyBorder="1" applyAlignment="1">
      <alignment horizontal="center" vertical="center" wrapText="1"/>
    </xf>
    <xf numFmtId="0" fontId="3" fillId="8" borderId="6" xfId="0" quotePrefix="1" applyFont="1" applyFill="1" applyBorder="1" applyAlignment="1">
      <alignment horizontal="center" vertical="center" wrapText="1"/>
    </xf>
    <xf numFmtId="0" fontId="3" fillId="8" borderId="4" xfId="0" quotePrefix="1" applyFont="1" applyFill="1" applyBorder="1" applyAlignment="1">
      <alignment horizontal="center" vertical="center" wrapText="1"/>
    </xf>
    <xf numFmtId="0" fontId="4" fillId="0" borderId="49" xfId="0" applyFont="1" applyBorder="1"/>
    <xf numFmtId="0" fontId="3" fillId="8" borderId="14" xfId="0" quotePrefix="1" applyFont="1" applyFill="1" applyBorder="1" applyAlignment="1">
      <alignment horizontal="center" vertical="center" wrapText="1"/>
    </xf>
    <xf numFmtId="0" fontId="12" fillId="0" borderId="50" xfId="0" applyFont="1" applyBorder="1" applyAlignment="1">
      <alignment horizontal="center" vertical="center" wrapText="1"/>
    </xf>
    <xf numFmtId="0" fontId="13" fillId="0" borderId="50" xfId="0" applyFont="1" applyBorder="1" applyAlignment="1">
      <alignment horizontal="center" vertical="center" wrapText="1"/>
    </xf>
    <xf numFmtId="0" fontId="12" fillId="0" borderId="51" xfId="0" applyFont="1" applyBorder="1" applyAlignment="1">
      <alignment horizontal="center" vertical="center" wrapText="1"/>
    </xf>
    <xf numFmtId="0" fontId="12" fillId="0" borderId="52" xfId="0" applyFont="1" applyBorder="1" applyAlignment="1">
      <alignment horizontal="center" vertical="center" wrapText="1"/>
    </xf>
    <xf numFmtId="0" fontId="12" fillId="0" borderId="53" xfId="0" applyFont="1" applyBorder="1" applyAlignment="1">
      <alignment horizontal="center" vertical="center" wrapText="1"/>
    </xf>
    <xf numFmtId="0" fontId="12" fillId="0" borderId="54" xfId="0" applyFont="1" applyBorder="1" applyAlignment="1">
      <alignment horizontal="center" vertical="center" wrapText="1"/>
    </xf>
    <xf numFmtId="0" fontId="12" fillId="0" borderId="55" xfId="0" applyFont="1" applyBorder="1" applyAlignment="1">
      <alignment horizontal="center" vertical="center" wrapText="1"/>
    </xf>
    <xf numFmtId="0" fontId="13" fillId="0" borderId="54" xfId="0" applyFont="1" applyBorder="1" applyAlignment="1">
      <alignment horizontal="center" vertical="center" wrapText="1"/>
    </xf>
    <xf numFmtId="0" fontId="13" fillId="0" borderId="55" xfId="0" applyFont="1" applyBorder="1" applyAlignment="1">
      <alignment horizontal="center" vertical="center" wrapText="1"/>
    </xf>
    <xf numFmtId="0" fontId="13" fillId="0" borderId="58" xfId="0" applyFont="1" applyBorder="1" applyAlignment="1">
      <alignment horizontal="center" vertical="center" wrapText="1"/>
    </xf>
    <xf numFmtId="0" fontId="14" fillId="0" borderId="0" xfId="0" applyFont="1" applyAlignment="1">
      <alignment horizontal="left" vertical="center" wrapText="1"/>
    </xf>
    <xf numFmtId="0" fontId="15" fillId="0" borderId="50" xfId="0" applyFont="1" applyBorder="1" applyAlignment="1">
      <alignment horizontal="center" vertical="center" wrapText="1"/>
    </xf>
    <xf numFmtId="0" fontId="16" fillId="0" borderId="50" xfId="0" applyFont="1" applyBorder="1" applyAlignment="1">
      <alignment horizontal="center" vertical="center" wrapText="1"/>
    </xf>
    <xf numFmtId="0" fontId="15" fillId="0" borderId="51" xfId="0" applyFont="1" applyBorder="1" applyAlignment="1">
      <alignment horizontal="center" vertical="center" wrapText="1"/>
    </xf>
    <xf numFmtId="0" fontId="17" fillId="0" borderId="52" xfId="0" applyFont="1" applyBorder="1" applyAlignment="1">
      <alignment horizontal="left" vertical="center" wrapText="1"/>
    </xf>
    <xf numFmtId="0" fontId="15" fillId="0" borderId="52" xfId="0" applyFont="1" applyBorder="1" applyAlignment="1">
      <alignment horizontal="center" vertical="center" wrapText="1"/>
    </xf>
    <xf numFmtId="0" fontId="17" fillId="0" borderId="53" xfId="0" applyFont="1" applyBorder="1" applyAlignment="1">
      <alignment horizontal="left" vertical="center" wrapText="1"/>
    </xf>
    <xf numFmtId="0" fontId="15" fillId="0" borderId="54" xfId="0" applyFont="1" applyBorder="1" applyAlignment="1">
      <alignment horizontal="center" vertical="center" wrapText="1"/>
    </xf>
    <xf numFmtId="0" fontId="15" fillId="0" borderId="55" xfId="0" applyFont="1" applyBorder="1" applyAlignment="1">
      <alignment horizontal="center" vertical="center" wrapText="1"/>
    </xf>
    <xf numFmtId="0" fontId="16" fillId="0" borderId="54" xfId="0" applyFont="1" applyBorder="1" applyAlignment="1">
      <alignment horizontal="center" vertical="center" wrapText="1"/>
    </xf>
    <xf numFmtId="0" fontId="16" fillId="0" borderId="55" xfId="0" applyFont="1" applyBorder="1" applyAlignment="1">
      <alignment horizontal="center" vertical="center" wrapText="1"/>
    </xf>
    <xf numFmtId="0" fontId="16" fillId="0" borderId="56" xfId="0" applyFont="1" applyBorder="1" applyAlignment="1">
      <alignment horizontal="center" vertical="center" wrapText="1"/>
    </xf>
    <xf numFmtId="0" fontId="16" fillId="0" borderId="57" xfId="0" applyFont="1" applyBorder="1" applyAlignment="1">
      <alignment horizontal="center" vertical="center" wrapText="1"/>
    </xf>
    <xf numFmtId="0" fontId="16" fillId="0" borderId="58" xfId="0" applyFont="1" applyBorder="1" applyAlignment="1">
      <alignment horizontal="center" vertical="center" wrapText="1"/>
    </xf>
    <xf numFmtId="0" fontId="11" fillId="0" borderId="0" xfId="0" applyFont="1" applyAlignment="1">
      <alignment horizontal="left" vertical="center" wrapText="1"/>
    </xf>
    <xf numFmtId="0" fontId="12" fillId="0" borderId="59" xfId="0" applyFont="1" applyBorder="1" applyAlignment="1">
      <alignment horizontal="center" vertical="center" wrapText="1"/>
    </xf>
    <xf numFmtId="0" fontId="17" fillId="0" borderId="60" xfId="0" applyFont="1" applyBorder="1" applyAlignment="1">
      <alignment horizontal="left" vertical="center" wrapText="1"/>
    </xf>
    <xf numFmtId="0" fontId="12" fillId="0" borderId="62" xfId="0" applyFont="1" applyBorder="1" applyAlignment="1">
      <alignment horizontal="center" vertical="center" wrapText="1"/>
    </xf>
    <xf numFmtId="0" fontId="12" fillId="0" borderId="63" xfId="0" applyFont="1" applyBorder="1" applyAlignment="1">
      <alignment horizontal="center" vertical="center" wrapText="1"/>
    </xf>
    <xf numFmtId="0" fontId="12" fillId="0" borderId="65" xfId="0" applyFont="1" applyBorder="1" applyAlignment="1">
      <alignment horizontal="center" vertical="center" wrapText="1"/>
    </xf>
    <xf numFmtId="0" fontId="17" fillId="0" borderId="67" xfId="0" applyFont="1" applyBorder="1" applyAlignment="1">
      <alignment horizontal="left" vertical="center" wrapText="1"/>
    </xf>
    <xf numFmtId="0" fontId="18" fillId="0" borderId="0" xfId="0" applyFont="1" applyAlignment="1">
      <alignment horizontal="left" vertical="center"/>
    </xf>
    <xf numFmtId="0" fontId="12" fillId="0" borderId="0" xfId="0" applyFont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  <xf numFmtId="0" fontId="13" fillId="0" borderId="68" xfId="0" applyFont="1" applyBorder="1" applyAlignment="1">
      <alignment horizontal="center" vertical="center" wrapText="1"/>
    </xf>
    <xf numFmtId="0" fontId="13" fillId="0" borderId="69" xfId="0" applyFont="1" applyBorder="1" applyAlignment="1">
      <alignment horizontal="center" vertical="center" wrapText="1"/>
    </xf>
    <xf numFmtId="0" fontId="13" fillId="0" borderId="70" xfId="0" applyFont="1" applyBorder="1" applyAlignment="1">
      <alignment horizontal="center" vertical="center" wrapText="1"/>
    </xf>
    <xf numFmtId="0" fontId="13" fillId="0" borderId="71" xfId="0" applyFont="1" applyBorder="1" applyAlignment="1">
      <alignment horizontal="center" vertical="center" wrapText="1"/>
    </xf>
    <xf numFmtId="0" fontId="13" fillId="0" borderId="72" xfId="0" applyFont="1" applyBorder="1" applyAlignment="1">
      <alignment horizontal="center" vertical="center" wrapText="1"/>
    </xf>
    <xf numFmtId="0" fontId="13" fillId="0" borderId="73" xfId="0" applyFont="1" applyBorder="1" applyAlignment="1">
      <alignment horizontal="center" vertical="center" wrapText="1"/>
    </xf>
    <xf numFmtId="0" fontId="12" fillId="0" borderId="61" xfId="0" applyFont="1" applyBorder="1" applyAlignment="1">
      <alignment horizontal="center" vertical="center" wrapText="1"/>
    </xf>
    <xf numFmtId="0" fontId="12" fillId="0" borderId="64" xfId="0" applyFont="1" applyBorder="1" applyAlignment="1">
      <alignment horizontal="center" vertical="center" wrapText="1"/>
    </xf>
    <xf numFmtId="0" fontId="12" fillId="0" borderId="66" xfId="0" applyFont="1" applyBorder="1" applyAlignment="1">
      <alignment horizontal="center" vertical="center" wrapText="1"/>
    </xf>
    <xf numFmtId="0" fontId="12" fillId="0" borderId="62" xfId="0" applyFont="1" applyBorder="1" applyAlignment="1">
      <alignment horizontal="center" vertical="center" wrapText="1"/>
    </xf>
    <xf numFmtId="0" fontId="12" fillId="0" borderId="59" xfId="0" applyFont="1" applyBorder="1" applyAlignment="1">
      <alignment horizontal="center" vertical="center" wrapText="1"/>
    </xf>
    <xf numFmtId="0" fontId="12" fillId="0" borderId="60" xfId="0" applyFont="1" applyBorder="1" applyAlignment="1">
      <alignment horizontal="center" vertical="center" wrapText="1"/>
    </xf>
    <xf numFmtId="0" fontId="2" fillId="13" borderId="4" xfId="0" applyFont="1" applyFill="1" applyBorder="1" applyAlignment="1">
      <alignment horizontal="center" vertical="center" wrapText="1"/>
    </xf>
    <xf numFmtId="0" fontId="8" fillId="13" borderId="4" xfId="0" applyFont="1" applyFill="1" applyBorder="1" applyAlignment="1">
      <alignment horizontal="center" vertical="center" wrapText="1"/>
    </xf>
    <xf numFmtId="0" fontId="2" fillId="10" borderId="4" xfId="0" applyFont="1" applyFill="1" applyBorder="1" applyAlignment="1">
      <alignment horizontal="center" vertical="center" wrapText="1"/>
    </xf>
    <xf numFmtId="0" fontId="8" fillId="10" borderId="4" xfId="0" applyFont="1" applyFill="1" applyBorder="1" applyAlignment="1">
      <alignment horizontal="center" vertical="center" wrapText="1"/>
    </xf>
    <xf numFmtId="0" fontId="2" fillId="12" borderId="17" xfId="0" applyFont="1" applyFill="1" applyBorder="1" applyAlignment="1">
      <alignment horizontal="center" vertical="center" wrapText="1"/>
    </xf>
    <xf numFmtId="0" fontId="2" fillId="12" borderId="18" xfId="0" applyFont="1" applyFill="1" applyBorder="1" applyAlignment="1">
      <alignment horizontal="center" vertical="center" wrapText="1"/>
    </xf>
    <xf numFmtId="0" fontId="2" fillId="12" borderId="19" xfId="0" applyFont="1" applyFill="1" applyBorder="1" applyAlignment="1">
      <alignment horizontal="center" vertical="center" wrapText="1"/>
    </xf>
    <xf numFmtId="0" fontId="2" fillId="2" borderId="10" xfId="0" applyFont="1" applyFill="1" applyBorder="1" applyAlignment="1">
      <alignment horizontal="center" vertical="center" wrapText="1"/>
    </xf>
    <xf numFmtId="0" fontId="2" fillId="2" borderId="11" xfId="0" applyFont="1" applyFill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  <xf numFmtId="0" fontId="2" fillId="10" borderId="17" xfId="0" applyFont="1" applyFill="1" applyBorder="1" applyAlignment="1">
      <alignment horizontal="center" vertical="center" wrapText="1"/>
    </xf>
    <xf numFmtId="0" fontId="5" fillId="10" borderId="18" xfId="0" applyFont="1" applyFill="1" applyBorder="1" applyAlignment="1">
      <alignment horizontal="center" vertical="center" wrapText="1"/>
    </xf>
    <xf numFmtId="0" fontId="5" fillId="10" borderId="19" xfId="0" applyFont="1" applyFill="1" applyBorder="1" applyAlignment="1">
      <alignment horizontal="center" vertical="center" wrapText="1"/>
    </xf>
    <xf numFmtId="0" fontId="2" fillId="10" borderId="18" xfId="0" applyFont="1" applyFill="1" applyBorder="1" applyAlignment="1">
      <alignment horizontal="center" vertical="center" wrapText="1"/>
    </xf>
    <xf numFmtId="0" fontId="3" fillId="0" borderId="26" xfId="0" applyFont="1" applyBorder="1" applyAlignment="1">
      <alignment horizontal="center" vertical="center"/>
    </xf>
    <xf numFmtId="0" fontId="3" fillId="0" borderId="27" xfId="0" applyFont="1" applyBorder="1" applyAlignment="1">
      <alignment horizontal="center" vertical="center"/>
    </xf>
    <xf numFmtId="0" fontId="3" fillId="0" borderId="30" xfId="0" applyFont="1" applyBorder="1" applyAlignment="1">
      <alignment horizontal="center" vertical="center"/>
    </xf>
    <xf numFmtId="0" fontId="3" fillId="5" borderId="17" xfId="0" applyFont="1" applyFill="1" applyBorder="1" applyAlignment="1">
      <alignment horizontal="center" vertical="center" wrapText="1"/>
    </xf>
    <xf numFmtId="0" fontId="3" fillId="5" borderId="18" xfId="0" applyFont="1" applyFill="1" applyBorder="1" applyAlignment="1">
      <alignment horizontal="center" vertical="center" wrapText="1"/>
    </xf>
    <xf numFmtId="0" fontId="3" fillId="5" borderId="19" xfId="0" applyFont="1" applyFill="1" applyBorder="1" applyAlignment="1">
      <alignment horizontal="center" vertical="center" wrapText="1"/>
    </xf>
  </cellXfs>
  <cellStyles count="2">
    <cellStyle name="Normal" xfId="0" builtinId="0"/>
    <cellStyle name="Normal 3" xfId="1" xr:uid="{368D6303-4A9E-49C0-BEFE-E10BA8BDB7EA}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C_stiff</a:t>
            </a:r>
            <a:r>
              <a:rPr lang="en-US" baseline="0"/>
              <a:t> vs. IA (Initial 12 psi)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50</c:v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'Tire Data'!$BF$3:$BF$5</c:f>
              <c:numCache>
                <c:formatCode>General</c:formatCode>
                <c:ptCount val="3"/>
                <c:pt idx="0">
                  <c:v>0</c:v>
                </c:pt>
                <c:pt idx="1">
                  <c:v>2</c:v>
                </c:pt>
                <c:pt idx="2">
                  <c:v>4</c:v>
                </c:pt>
              </c:numCache>
            </c:numRef>
          </c:xVal>
          <c:yVal>
            <c:numRef>
              <c:f>'Tire Data'!$BG$3:$BG$5</c:f>
              <c:numCache>
                <c:formatCode>General</c:formatCode>
                <c:ptCount val="3"/>
                <c:pt idx="0">
                  <c:v>75</c:v>
                </c:pt>
                <c:pt idx="1">
                  <c:v>61</c:v>
                </c:pt>
                <c:pt idx="2">
                  <c:v>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A8C-4463-B948-94FC22C931EB}"/>
            </c:ext>
          </c:extLst>
        </c:ser>
        <c:ser>
          <c:idx val="1"/>
          <c:order val="1"/>
          <c:tx>
            <c:v>100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'Tire Data'!$BF$6:$BF$8</c:f>
              <c:numCache>
                <c:formatCode>General</c:formatCode>
                <c:ptCount val="3"/>
                <c:pt idx="0">
                  <c:v>0</c:v>
                </c:pt>
                <c:pt idx="1">
                  <c:v>2</c:v>
                </c:pt>
                <c:pt idx="2">
                  <c:v>4</c:v>
                </c:pt>
              </c:numCache>
            </c:numRef>
          </c:xVal>
          <c:yVal>
            <c:numRef>
              <c:f>'Tire Data'!$BG$6:$BG$8</c:f>
              <c:numCache>
                <c:formatCode>General</c:formatCode>
                <c:ptCount val="3"/>
                <c:pt idx="0">
                  <c:v>102</c:v>
                </c:pt>
                <c:pt idx="1">
                  <c:v>90</c:v>
                </c:pt>
                <c:pt idx="2">
                  <c:v>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A8C-4463-B948-94FC22C931EB}"/>
            </c:ext>
          </c:extLst>
        </c:ser>
        <c:ser>
          <c:idx val="2"/>
          <c:order val="2"/>
          <c:tx>
            <c:v>150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'Tire Data'!$BF$9:$BF$11</c:f>
              <c:numCache>
                <c:formatCode>General</c:formatCode>
                <c:ptCount val="3"/>
                <c:pt idx="0">
                  <c:v>0</c:v>
                </c:pt>
                <c:pt idx="1">
                  <c:v>2</c:v>
                </c:pt>
                <c:pt idx="2">
                  <c:v>4</c:v>
                </c:pt>
              </c:numCache>
            </c:numRef>
          </c:xVal>
          <c:yVal>
            <c:numRef>
              <c:f>'Tire Data'!$BG$9:$BG$11</c:f>
              <c:numCache>
                <c:formatCode>General</c:formatCode>
                <c:ptCount val="3"/>
                <c:pt idx="0">
                  <c:v>125</c:v>
                </c:pt>
                <c:pt idx="1">
                  <c:v>115</c:v>
                </c:pt>
                <c:pt idx="2">
                  <c:v>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A8C-4463-B948-94FC22C931EB}"/>
            </c:ext>
          </c:extLst>
        </c:ser>
        <c:ser>
          <c:idx val="3"/>
          <c:order val="3"/>
          <c:tx>
            <c:v>200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'Tire Data'!$BF$12:$BF$14</c:f>
              <c:numCache>
                <c:formatCode>General</c:formatCode>
                <c:ptCount val="3"/>
                <c:pt idx="0">
                  <c:v>0</c:v>
                </c:pt>
                <c:pt idx="1">
                  <c:v>2</c:v>
                </c:pt>
                <c:pt idx="2">
                  <c:v>4</c:v>
                </c:pt>
              </c:numCache>
            </c:numRef>
          </c:xVal>
          <c:yVal>
            <c:numRef>
              <c:f>'Tire Data'!$BG$12:$BG$14</c:f>
              <c:numCache>
                <c:formatCode>General</c:formatCode>
                <c:ptCount val="3"/>
                <c:pt idx="0">
                  <c:v>141</c:v>
                </c:pt>
                <c:pt idx="1">
                  <c:v>134</c:v>
                </c:pt>
                <c:pt idx="2">
                  <c:v>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A8C-4463-B948-94FC22C931EB}"/>
            </c:ext>
          </c:extLst>
        </c:ser>
        <c:ser>
          <c:idx val="4"/>
          <c:order val="4"/>
          <c:tx>
            <c:v>250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'Tire Data'!$BF$15:$BF$17</c:f>
              <c:numCache>
                <c:formatCode>General</c:formatCode>
                <c:ptCount val="3"/>
                <c:pt idx="0">
                  <c:v>0</c:v>
                </c:pt>
                <c:pt idx="1">
                  <c:v>2</c:v>
                </c:pt>
                <c:pt idx="2">
                  <c:v>4</c:v>
                </c:pt>
              </c:numCache>
            </c:numRef>
          </c:xVal>
          <c:yVal>
            <c:numRef>
              <c:f>'Tire Data'!$BG$15:$BG$17</c:f>
              <c:numCache>
                <c:formatCode>General</c:formatCode>
                <c:ptCount val="3"/>
                <c:pt idx="0">
                  <c:v>153.5</c:v>
                </c:pt>
                <c:pt idx="1">
                  <c:v>145</c:v>
                </c:pt>
                <c:pt idx="2">
                  <c:v>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A8C-4463-B948-94FC22C931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0017232"/>
        <c:axId val="1570012240"/>
      </c:scatterChart>
      <c:valAx>
        <c:axId val="1570017232"/>
        <c:scaling>
          <c:orientation val="minMax"/>
          <c:max val="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0012240"/>
        <c:crosses val="autoZero"/>
        <c:crossBetween val="midCat"/>
      </c:valAx>
      <c:valAx>
        <c:axId val="1570012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C_stiff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0017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C_stiff</a:t>
            </a:r>
            <a:r>
              <a:rPr lang="en-US" baseline="0"/>
              <a:t> vs. IA (10 psi)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50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'Tire Data'!$BF$19:$BF$21</c:f>
              <c:numCache>
                <c:formatCode>General</c:formatCode>
                <c:ptCount val="3"/>
                <c:pt idx="0">
                  <c:v>0</c:v>
                </c:pt>
                <c:pt idx="1">
                  <c:v>2</c:v>
                </c:pt>
                <c:pt idx="2">
                  <c:v>4</c:v>
                </c:pt>
              </c:numCache>
            </c:numRef>
          </c:xVal>
          <c:yVal>
            <c:numRef>
              <c:f>'Tire Data'!$BG$19:$BG$21</c:f>
              <c:numCache>
                <c:formatCode>General</c:formatCode>
                <c:ptCount val="3"/>
                <c:pt idx="0">
                  <c:v>75</c:v>
                </c:pt>
                <c:pt idx="1">
                  <c:v>60</c:v>
                </c:pt>
                <c:pt idx="2">
                  <c:v>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FB3-44C4-B689-FF4E9F831C5C}"/>
            </c:ext>
          </c:extLst>
        </c:ser>
        <c:ser>
          <c:idx val="1"/>
          <c:order val="1"/>
          <c:tx>
            <c:v>100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'Tire Data'!$BF$22:$BF$24</c:f>
              <c:numCache>
                <c:formatCode>General</c:formatCode>
                <c:ptCount val="3"/>
                <c:pt idx="0">
                  <c:v>0</c:v>
                </c:pt>
                <c:pt idx="1">
                  <c:v>2</c:v>
                </c:pt>
                <c:pt idx="2">
                  <c:v>4</c:v>
                </c:pt>
              </c:numCache>
            </c:numRef>
          </c:xVal>
          <c:yVal>
            <c:numRef>
              <c:f>'Tire Data'!$BG$22:$BG$24</c:f>
              <c:numCache>
                <c:formatCode>General</c:formatCode>
                <c:ptCount val="3"/>
                <c:pt idx="0">
                  <c:v>104</c:v>
                </c:pt>
                <c:pt idx="1">
                  <c:v>91</c:v>
                </c:pt>
                <c:pt idx="2">
                  <c:v>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FB3-44C4-B689-FF4E9F831C5C}"/>
            </c:ext>
          </c:extLst>
        </c:ser>
        <c:ser>
          <c:idx val="2"/>
          <c:order val="2"/>
          <c:tx>
            <c:v>150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'Tire Data'!$BF$25:$BF$27</c:f>
              <c:numCache>
                <c:formatCode>General</c:formatCode>
                <c:ptCount val="3"/>
                <c:pt idx="0">
                  <c:v>0</c:v>
                </c:pt>
                <c:pt idx="1">
                  <c:v>2</c:v>
                </c:pt>
                <c:pt idx="2">
                  <c:v>4</c:v>
                </c:pt>
              </c:numCache>
            </c:numRef>
          </c:xVal>
          <c:yVal>
            <c:numRef>
              <c:f>'Tire Data'!$BG$25:$BG$27</c:f>
              <c:numCache>
                <c:formatCode>General</c:formatCode>
                <c:ptCount val="3"/>
                <c:pt idx="0">
                  <c:v>125</c:v>
                </c:pt>
                <c:pt idx="1">
                  <c:v>115</c:v>
                </c:pt>
                <c:pt idx="2">
                  <c:v>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FB3-44C4-B689-FF4E9F831C5C}"/>
            </c:ext>
          </c:extLst>
        </c:ser>
        <c:ser>
          <c:idx val="3"/>
          <c:order val="3"/>
          <c:tx>
            <c:v>200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'Tire Data'!$BF$28:$BF$30</c:f>
              <c:numCache>
                <c:formatCode>General</c:formatCode>
                <c:ptCount val="3"/>
                <c:pt idx="0">
                  <c:v>0</c:v>
                </c:pt>
                <c:pt idx="1">
                  <c:v>2</c:v>
                </c:pt>
                <c:pt idx="2">
                  <c:v>4</c:v>
                </c:pt>
              </c:numCache>
            </c:numRef>
          </c:xVal>
          <c:yVal>
            <c:numRef>
              <c:f>'Tire Data'!$BG$28:$BG$30</c:f>
              <c:numCache>
                <c:formatCode>General</c:formatCode>
                <c:ptCount val="3"/>
                <c:pt idx="0">
                  <c:v>139</c:v>
                </c:pt>
                <c:pt idx="1">
                  <c:v>132</c:v>
                </c:pt>
                <c:pt idx="2">
                  <c:v>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FB3-44C4-B689-FF4E9F831C5C}"/>
            </c:ext>
          </c:extLst>
        </c:ser>
        <c:ser>
          <c:idx val="4"/>
          <c:order val="4"/>
          <c:tx>
            <c:v>250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'Tire Data'!$BF$31:$BF$33</c:f>
              <c:numCache>
                <c:formatCode>General</c:formatCode>
                <c:ptCount val="3"/>
                <c:pt idx="0">
                  <c:v>0</c:v>
                </c:pt>
                <c:pt idx="1">
                  <c:v>2</c:v>
                </c:pt>
                <c:pt idx="2">
                  <c:v>4</c:v>
                </c:pt>
              </c:numCache>
            </c:numRef>
          </c:xVal>
          <c:yVal>
            <c:numRef>
              <c:f>'Tire Data'!$BG$31:$BG$33</c:f>
              <c:numCache>
                <c:formatCode>General</c:formatCode>
                <c:ptCount val="3"/>
                <c:pt idx="0">
                  <c:v>147</c:v>
                </c:pt>
                <c:pt idx="1">
                  <c:v>139</c:v>
                </c:pt>
                <c:pt idx="2">
                  <c:v>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FB3-44C4-B689-FF4E9F831C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0017232"/>
        <c:axId val="1570012240"/>
      </c:scatterChart>
      <c:valAx>
        <c:axId val="1570017232"/>
        <c:scaling>
          <c:orientation val="minMax"/>
          <c:max val="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0012240"/>
        <c:crosses val="autoZero"/>
        <c:crossBetween val="midCat"/>
      </c:valAx>
      <c:valAx>
        <c:axId val="1570012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C_stiff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0017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C_stiff</a:t>
            </a:r>
            <a:r>
              <a:rPr lang="en-US" baseline="0"/>
              <a:t> vs. IA (14 psi)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50</c:v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'Tire Data'!$BF$3:$BF$5</c:f>
              <c:numCache>
                <c:formatCode>General</c:formatCode>
                <c:ptCount val="3"/>
                <c:pt idx="0">
                  <c:v>0</c:v>
                </c:pt>
                <c:pt idx="1">
                  <c:v>2</c:v>
                </c:pt>
                <c:pt idx="2">
                  <c:v>4</c:v>
                </c:pt>
              </c:numCache>
            </c:numRef>
          </c:xVal>
          <c:yVal>
            <c:numRef>
              <c:f>'Tire Data'!$BG$3:$BG$5</c:f>
              <c:numCache>
                <c:formatCode>General</c:formatCode>
                <c:ptCount val="3"/>
                <c:pt idx="0">
                  <c:v>75</c:v>
                </c:pt>
                <c:pt idx="1">
                  <c:v>61</c:v>
                </c:pt>
                <c:pt idx="2">
                  <c:v>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85-4871-9A87-58B998BC0DB2}"/>
            </c:ext>
          </c:extLst>
        </c:ser>
        <c:ser>
          <c:idx val="1"/>
          <c:order val="1"/>
          <c:tx>
            <c:v>100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'Tire Data'!$BF$6:$BF$8</c:f>
              <c:numCache>
                <c:formatCode>General</c:formatCode>
                <c:ptCount val="3"/>
                <c:pt idx="0">
                  <c:v>0</c:v>
                </c:pt>
                <c:pt idx="1">
                  <c:v>2</c:v>
                </c:pt>
                <c:pt idx="2">
                  <c:v>4</c:v>
                </c:pt>
              </c:numCache>
            </c:numRef>
          </c:xVal>
          <c:yVal>
            <c:numRef>
              <c:f>'Tire Data'!$BG$6:$BG$8</c:f>
              <c:numCache>
                <c:formatCode>General</c:formatCode>
                <c:ptCount val="3"/>
                <c:pt idx="0">
                  <c:v>102</c:v>
                </c:pt>
                <c:pt idx="1">
                  <c:v>90</c:v>
                </c:pt>
                <c:pt idx="2">
                  <c:v>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85-4871-9A87-58B998BC0DB2}"/>
            </c:ext>
          </c:extLst>
        </c:ser>
        <c:ser>
          <c:idx val="2"/>
          <c:order val="2"/>
          <c:tx>
            <c:v>150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'Tire Data'!$BF$9:$BF$11</c:f>
              <c:numCache>
                <c:formatCode>General</c:formatCode>
                <c:ptCount val="3"/>
                <c:pt idx="0">
                  <c:v>0</c:v>
                </c:pt>
                <c:pt idx="1">
                  <c:v>2</c:v>
                </c:pt>
                <c:pt idx="2">
                  <c:v>4</c:v>
                </c:pt>
              </c:numCache>
            </c:numRef>
          </c:xVal>
          <c:yVal>
            <c:numRef>
              <c:f>'Tire Data'!$BG$9:$BG$11</c:f>
              <c:numCache>
                <c:formatCode>General</c:formatCode>
                <c:ptCount val="3"/>
                <c:pt idx="0">
                  <c:v>125</c:v>
                </c:pt>
                <c:pt idx="1">
                  <c:v>115</c:v>
                </c:pt>
                <c:pt idx="2">
                  <c:v>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785-4871-9A87-58B998BC0DB2}"/>
            </c:ext>
          </c:extLst>
        </c:ser>
        <c:ser>
          <c:idx val="3"/>
          <c:order val="3"/>
          <c:tx>
            <c:v>200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'Tire Data'!$BF$12:$BF$14</c:f>
              <c:numCache>
                <c:formatCode>General</c:formatCode>
                <c:ptCount val="3"/>
                <c:pt idx="0">
                  <c:v>0</c:v>
                </c:pt>
                <c:pt idx="1">
                  <c:v>2</c:v>
                </c:pt>
                <c:pt idx="2">
                  <c:v>4</c:v>
                </c:pt>
              </c:numCache>
            </c:numRef>
          </c:xVal>
          <c:yVal>
            <c:numRef>
              <c:f>'Tire Data'!$BG$12:$BG$14</c:f>
              <c:numCache>
                <c:formatCode>General</c:formatCode>
                <c:ptCount val="3"/>
                <c:pt idx="0">
                  <c:v>141</c:v>
                </c:pt>
                <c:pt idx="1">
                  <c:v>134</c:v>
                </c:pt>
                <c:pt idx="2">
                  <c:v>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785-4871-9A87-58B998BC0DB2}"/>
            </c:ext>
          </c:extLst>
        </c:ser>
        <c:ser>
          <c:idx val="4"/>
          <c:order val="4"/>
          <c:tx>
            <c:v>250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'Tire Data'!$BF$15:$BF$17</c:f>
              <c:numCache>
                <c:formatCode>General</c:formatCode>
                <c:ptCount val="3"/>
                <c:pt idx="0">
                  <c:v>0</c:v>
                </c:pt>
                <c:pt idx="1">
                  <c:v>2</c:v>
                </c:pt>
                <c:pt idx="2">
                  <c:v>4</c:v>
                </c:pt>
              </c:numCache>
            </c:numRef>
          </c:xVal>
          <c:yVal>
            <c:numRef>
              <c:f>'Tire Data'!$BG$15:$BG$17</c:f>
              <c:numCache>
                <c:formatCode>General</c:formatCode>
                <c:ptCount val="3"/>
                <c:pt idx="0">
                  <c:v>153.5</c:v>
                </c:pt>
                <c:pt idx="1">
                  <c:v>145</c:v>
                </c:pt>
                <c:pt idx="2">
                  <c:v>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785-4871-9A87-58B998BC0D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0017232"/>
        <c:axId val="1570012240"/>
      </c:scatterChart>
      <c:valAx>
        <c:axId val="1570017232"/>
        <c:scaling>
          <c:orientation val="minMax"/>
          <c:max val="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0012240"/>
        <c:crosses val="autoZero"/>
        <c:crossBetween val="midCat"/>
      </c:valAx>
      <c:valAx>
        <c:axId val="1570012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C_stiff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0017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jpe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chart" Target="../charts/chart3.xml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chart" Target="../charts/chart2.xml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chart" Target="../charts/chart1.xml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4.png"/><Relationship Id="rId1" Type="http://schemas.openxmlformats.org/officeDocument/2006/relationships/image" Target="../media/image4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6" Type="http://schemas.openxmlformats.org/officeDocument/2006/relationships/image" Target="../media/image50.png"/><Relationship Id="rId5" Type="http://schemas.openxmlformats.org/officeDocument/2006/relationships/image" Target="../media/image49.png"/><Relationship Id="rId4" Type="http://schemas.openxmlformats.org/officeDocument/2006/relationships/image" Target="../media/image4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449580</xdr:colOff>
      <xdr:row>6</xdr:row>
      <xdr:rowOff>149811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1BC0458-B2B9-4631-95D9-E01AEABFD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74477" cy="13114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4</xdr:col>
      <xdr:colOff>518183</xdr:colOff>
      <xdr:row>20</xdr:row>
      <xdr:rowOff>118782</xdr:rowOff>
    </xdr:to>
    <xdr:pic>
      <xdr:nvPicPr>
        <xdr:cNvPr id="3" name="Picture 2" descr="Tire input data &#10;Hoosier 18.0 x 7.5 10 R25B (Item 43105), 7 inch rim &#10;100 &#10;50 &#10;-50 &#10;-100 &#10;2 &#10;3 &#10;sample # &#10;4 &#10;5 &#10;6 &#10;x 104 &#10;slip angle (deg) &#10;inclination angle (deg) &#10;vertical load (lbf/10) &#10;tire pressure (psi) ">
          <a:extLst>
            <a:ext uri="{FF2B5EF4-FFF2-40B4-BE49-F238E27FC236}">
              <a16:creationId xmlns:a16="http://schemas.microsoft.com/office/drawing/2014/main" id="{35D3D0DF-AEBA-42ED-AA57-A50C353CF5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5920"/>
          <a:ext cx="2956583" cy="2232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487680</xdr:colOff>
      <xdr:row>9</xdr:row>
      <xdr:rowOff>7621</xdr:rowOff>
    </xdr:from>
    <xdr:to>
      <xdr:col>9</xdr:col>
      <xdr:colOff>396240</xdr:colOff>
      <xdr:row>20</xdr:row>
      <xdr:rowOff>110319</xdr:rowOff>
    </xdr:to>
    <xdr:pic>
      <xdr:nvPicPr>
        <xdr:cNvPr id="4" name="Picture 3" descr="Tire output data &#10;Hoosier 18.0 x 7.5 10 R25B (Item 431 &#10;&gt; &#10;50 &#10;-50 &#10;o &#10;200 &#10;400 &#10;600 &#10;sample # &#10;800 &#10;1000 &#10;1200 &#10;Slip angle (deg) &#10;Lateral force, Fy (lbf/100) &#10;Lateral friction coefficient, muy CIO) &#10;Aligning torque, Mz (lbf-ft ">
          <a:extLst>
            <a:ext uri="{FF2B5EF4-FFF2-40B4-BE49-F238E27FC236}">
              <a16:creationId xmlns:a16="http://schemas.microsoft.com/office/drawing/2014/main" id="{A128C029-E8FE-4654-8FD9-1A7ED59150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26080" y="1653541"/>
          <a:ext cx="2956560" cy="22165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22</xdr:row>
      <xdr:rowOff>0</xdr:rowOff>
    </xdr:from>
    <xdr:to>
      <xdr:col>4</xdr:col>
      <xdr:colOff>525781</xdr:colOff>
      <xdr:row>33</xdr:row>
      <xdr:rowOff>106711</xdr:rowOff>
    </xdr:to>
    <xdr:pic>
      <xdr:nvPicPr>
        <xdr:cNvPr id="5" name="Picture 4" descr="Tire input data &#10;Hoosier 18.0 x 7.5 10 R25B (Item 43105), 7 inch rim &#10;100 &#10;50 &#10;-50 &#10;-100 &#10;2 &#10;3 &#10;sample # &#10;4 &#10;5 &#10;6 &#10;x 104 &#10;slip angle (deg) &#10;inclination angle (deg) &#10;vertical load (lbf/10) &#10;tire pressure (psi) ">
          <a:extLst>
            <a:ext uri="{FF2B5EF4-FFF2-40B4-BE49-F238E27FC236}">
              <a16:creationId xmlns:a16="http://schemas.microsoft.com/office/drawing/2014/main" id="{FA6B8E22-8144-432B-9349-1DD27F896E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4023360"/>
          <a:ext cx="2964180" cy="22205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518160</xdr:colOff>
      <xdr:row>21</xdr:row>
      <xdr:rowOff>175260</xdr:rowOff>
    </xdr:from>
    <xdr:to>
      <xdr:col>9</xdr:col>
      <xdr:colOff>457200</xdr:colOff>
      <xdr:row>33</xdr:row>
      <xdr:rowOff>104692</xdr:rowOff>
    </xdr:to>
    <xdr:pic>
      <xdr:nvPicPr>
        <xdr:cNvPr id="6" name="Picture 5" descr="Tire output data &#10;Hoosier 18.0 x 7.5 10 R25B (Item 43105), 7 inch rim &#10;60 &#10;40 &#10;20 &#10;&gt; &#10;-20 &#10;-40 &#10;-60 &#10;o &#10;200 &#10;400 &#10;600 &#10;sample # &#10;800 &#10;1000 &#10;1200 &#10;Slip angle (deg) &#10;Lateral force, Fy (lbf/100) &#10;Lateral friction coefficient, muy CIO) &#10;Aligning torque, Mz (lbf-ft) ">
          <a:extLst>
            <a:ext uri="{FF2B5EF4-FFF2-40B4-BE49-F238E27FC236}">
              <a16:creationId xmlns:a16="http://schemas.microsoft.com/office/drawing/2014/main" id="{74988609-DE43-4E98-B327-C6B1015CF2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6560" y="4015740"/>
          <a:ext cx="2987040" cy="22351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35</xdr:row>
      <xdr:rowOff>0</xdr:rowOff>
    </xdr:from>
    <xdr:to>
      <xdr:col>4</xdr:col>
      <xdr:colOff>547413</xdr:colOff>
      <xdr:row>46</xdr:row>
      <xdr:rowOff>134023</xdr:rowOff>
    </xdr:to>
    <xdr:pic>
      <xdr:nvPicPr>
        <xdr:cNvPr id="7" name="Picture 6" descr="Tire input data &#10;Hoosier 18.0 x 7.5 10 R25B (Item 43105), 8 inch rim &#10;100 &#10;50 &#10;-50 &#10;-100 &#10;2 &#10;3 &#10;sample # &#10;4 &#10;5 &#10;6 &#10;x 104 &#10;slip angle (deg) &#10;inclination angle (deg) &#10;vertical load (lbf/10) &#10;tire pressure (psi) ">
          <a:extLst>
            <a:ext uri="{FF2B5EF4-FFF2-40B4-BE49-F238E27FC236}">
              <a16:creationId xmlns:a16="http://schemas.microsoft.com/office/drawing/2014/main" id="{E8D226EF-2152-4110-BD10-EF1B5F3B45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6400800"/>
          <a:ext cx="2985812" cy="2247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472440</xdr:colOff>
      <xdr:row>34</xdr:row>
      <xdr:rowOff>167640</xdr:rowOff>
    </xdr:from>
    <xdr:to>
      <xdr:col>9</xdr:col>
      <xdr:colOff>441960</xdr:colOff>
      <xdr:row>46</xdr:row>
      <xdr:rowOff>125923</xdr:rowOff>
    </xdr:to>
    <xdr:pic>
      <xdr:nvPicPr>
        <xdr:cNvPr id="11" name="Picture 10" descr="Tire output data &#10;Hoosier 18.0 x 7.5 10 R25B (Item 43105), 8 inch rim &#10;&gt; &#10;50 &#10;-50 &#10;o &#10;200 &#10;400 &#10;600 &#10;sample # &#10;800 &#10;1000 &#10;1200 &#10;Slip angle (deg) &#10;Lateral force, Fy (lbf/100) &#10;Lateral friction coefficient, muy CIO) &#10;Aligning torque, Mz (lbf-ft) ">
          <a:extLst>
            <a:ext uri="{FF2B5EF4-FFF2-40B4-BE49-F238E27FC236}">
              <a16:creationId xmlns:a16="http://schemas.microsoft.com/office/drawing/2014/main" id="{6CB27E05-1A15-4C28-B19C-464ECF8FD3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10840" y="6385560"/>
          <a:ext cx="3017520" cy="22640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4</xdr:col>
      <xdr:colOff>563880</xdr:colOff>
      <xdr:row>59</xdr:row>
      <xdr:rowOff>179925</xdr:rowOff>
    </xdr:to>
    <xdr:pic>
      <xdr:nvPicPr>
        <xdr:cNvPr id="12" name="Picture 11" descr="Tire input data &#10;Hoosier 18.0 x 7.5 10 R25B (Item 43105), 8 inch rim &#10;100 &#10;50 &#10;-50 &#10;-100 &#10;2 &#10;3 &#10;sample # &#10;4 &#10;5 &#10;6 &#10;x 104 &#10;slip angle (deg) &#10;inclination angle (deg) &#10;vertical load (lbf/10) &#10;tire pressure (psi) ">
          <a:extLst>
            <a:ext uri="{FF2B5EF4-FFF2-40B4-BE49-F238E27FC236}">
              <a16:creationId xmlns:a16="http://schemas.microsoft.com/office/drawing/2014/main" id="{9FC0CF9B-2EDB-482B-862B-E9BAF23044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78240"/>
          <a:ext cx="3002280" cy="22611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457200</xdr:colOff>
      <xdr:row>47</xdr:row>
      <xdr:rowOff>175260</xdr:rowOff>
    </xdr:from>
    <xdr:to>
      <xdr:col>9</xdr:col>
      <xdr:colOff>419100</xdr:colOff>
      <xdr:row>59</xdr:row>
      <xdr:rowOff>174272</xdr:rowOff>
    </xdr:to>
    <xdr:pic>
      <xdr:nvPicPr>
        <xdr:cNvPr id="13" name="Picture 12" descr="Tire output data &#10;Hoosier 18.0 x 7.5 10 R25B (Item 43105), 8 inch rim &#10;60 &#10;40 &#10;20 &#10;&gt; &#10;C' -20 &#10;-40 &#10;-60 &#10;o &#10;200 &#10;400 &#10;600 &#10;sample # &#10;800 &#10;1000 &#10;1200 &#10;Slip angle (deg) &#10;Lateral force, Fy (lbf/100) &#10;Lateral friction coefficient, muy CIO) &#10;Aligning torque, Mz (lbf-ft) ">
          <a:extLst>
            <a:ext uri="{FF2B5EF4-FFF2-40B4-BE49-F238E27FC236}">
              <a16:creationId xmlns:a16="http://schemas.microsoft.com/office/drawing/2014/main" id="{0367875E-952E-4B84-9D80-EF7EA35102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95600" y="8770620"/>
          <a:ext cx="3009900" cy="22720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997</xdr:colOff>
      <xdr:row>0</xdr:row>
      <xdr:rowOff>0</xdr:rowOff>
    </xdr:from>
    <xdr:to>
      <xdr:col>12</xdr:col>
      <xdr:colOff>555477</xdr:colOff>
      <xdr:row>6</xdr:row>
      <xdr:rowOff>162369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46CCA9E-30E0-4510-913D-C0320E2C7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25483" y="0"/>
          <a:ext cx="1779377" cy="132401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9</xdr:row>
      <xdr:rowOff>1</xdr:rowOff>
    </xdr:from>
    <xdr:to>
      <xdr:col>14</xdr:col>
      <xdr:colOff>518160</xdr:colOff>
      <xdr:row>20</xdr:row>
      <xdr:rowOff>101003</xdr:rowOff>
    </xdr:to>
    <xdr:pic>
      <xdr:nvPicPr>
        <xdr:cNvPr id="15" name="Picture 14" descr="Tire input data &#10;Hoosier 18.0 x 7.5 10 R25B (Item 43105), 7 inch rim &#10;&gt; &#10;100 &#10;80 &#10;60 &#10;40 &#10;20 &#10;-20 &#10;5600 &#10;5700 &#10;5800 5900 &#10;sample # &#10;slip angle (deg) &#10;slip ratio (%) &#10;inclination angle (deg) &#10;vertical load (lbf/10) &#10;tire pressure (psi) &#10;6000 &#10;6100 ">
          <a:extLst>
            <a:ext uri="{FF2B5EF4-FFF2-40B4-BE49-F238E27FC236}">
              <a16:creationId xmlns:a16="http://schemas.microsoft.com/office/drawing/2014/main" id="{413A454C-10B7-4119-958D-CBD5957472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1645921"/>
          <a:ext cx="2956560" cy="2214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502920</xdr:colOff>
      <xdr:row>9</xdr:row>
      <xdr:rowOff>1</xdr:rowOff>
    </xdr:from>
    <xdr:to>
      <xdr:col>19</xdr:col>
      <xdr:colOff>403860</xdr:colOff>
      <xdr:row>20</xdr:row>
      <xdr:rowOff>103753</xdr:rowOff>
    </xdr:to>
    <xdr:pic>
      <xdr:nvPicPr>
        <xdr:cNvPr id="16" name="Picture 15" descr="100 &#10;80 &#10;60 &#10;40 &#10;20 &#10;-20 &#10;Tire output data &#10;Hoosier 18.0 x 7.5 10 R25B (Item 431 &#10;slip ratio (%) &#10;longitudinal force, Fx (lbf/10) &#10;mux*10 &#10;-40 &#10;-60 &#10;-80 &#10;-100 &#10;5600 &#10;5700 &#10;5800 5900 &#10;sample # &#10;6000 &#10;6100 ">
          <a:extLst>
            <a:ext uri="{FF2B5EF4-FFF2-40B4-BE49-F238E27FC236}">
              <a16:creationId xmlns:a16="http://schemas.microsoft.com/office/drawing/2014/main" id="{D2A6EADC-E7F4-4754-86B2-0150DB5A9F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37320" y="1645921"/>
          <a:ext cx="2948940" cy="22176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21</xdr:row>
      <xdr:rowOff>175261</xdr:rowOff>
    </xdr:from>
    <xdr:to>
      <xdr:col>14</xdr:col>
      <xdr:colOff>579120</xdr:colOff>
      <xdr:row>33</xdr:row>
      <xdr:rowOff>117440</xdr:rowOff>
    </xdr:to>
    <xdr:pic>
      <xdr:nvPicPr>
        <xdr:cNvPr id="17" name="Picture 16" descr="Tire input data &#10;Hoosier 18.0 x 7.5 10 R25B (Item 431 &#10;&gt; &#10;100 &#10;80 &#10;60 &#10;40 &#10;20 &#10;-20 &#10;5600 &#10;5700 &#10;5800 5900 &#10;sample # &#10;slip angle (deg) &#10;slip ratio (%) &#10;inclination angle (deg) &#10;vertical load (lbf/10) &#10;tire pressure (psi) &#10;6000 &#10;6100 ">
          <a:extLst>
            <a:ext uri="{FF2B5EF4-FFF2-40B4-BE49-F238E27FC236}">
              <a16:creationId xmlns:a16="http://schemas.microsoft.com/office/drawing/2014/main" id="{4E9F45FA-02BC-4322-969B-487C850EAB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1" y="4015741"/>
          <a:ext cx="3017519" cy="2247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441960</xdr:colOff>
      <xdr:row>21</xdr:row>
      <xdr:rowOff>167641</xdr:rowOff>
    </xdr:from>
    <xdr:to>
      <xdr:col>19</xdr:col>
      <xdr:colOff>411480</xdr:colOff>
      <xdr:row>33</xdr:row>
      <xdr:rowOff>109819</xdr:rowOff>
    </xdr:to>
    <xdr:pic>
      <xdr:nvPicPr>
        <xdr:cNvPr id="18" name="Picture 17" descr="300 &#10;200 &#10;100 &#10;-100 &#10;Tire output data &#10;Hoosier 18.0 x 7.5 10 R25B (Item 43105), 7 inch rim &#10;slip ratio (%) &#10;longitudinal force, Fx (lbf/10) &#10;5600 &#10;5700 &#10;mux*10 &#10;5800 5900 &#10;sample # &#10;6000 &#10;6100 ">
          <a:extLst>
            <a:ext uri="{FF2B5EF4-FFF2-40B4-BE49-F238E27FC236}">
              <a16:creationId xmlns:a16="http://schemas.microsoft.com/office/drawing/2014/main" id="{6F4188AC-DF43-4E21-8835-ED8991922E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76360" y="4008121"/>
          <a:ext cx="3017520" cy="2247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11963</xdr:colOff>
      <xdr:row>34</xdr:row>
      <xdr:rowOff>185158</xdr:rowOff>
    </xdr:from>
    <xdr:to>
      <xdr:col>14</xdr:col>
      <xdr:colOff>548354</xdr:colOff>
      <xdr:row>46</xdr:row>
      <xdr:rowOff>106420</xdr:rowOff>
    </xdr:to>
    <xdr:pic>
      <xdr:nvPicPr>
        <xdr:cNvPr id="19" name="Picture 18" descr="Tire input data &#10;Hoosier 18.0 x 7.5 10 R25B (Item 43105), 7 inch rim &#10;&gt; &#10;60 &#10;40 &#10;20 &#10;-20 &#10;5600 &#10;5700 &#10;5800 5900 &#10;sample # &#10;slip angle (deg) &#10;slip ratio (%) &#10;inclination angle (deg) &#10;vertical load (lbf/10) &#10;tire pressure (psi) &#10;6000 &#10;6100 ">
          <a:extLst>
            <a:ext uri="{FF2B5EF4-FFF2-40B4-BE49-F238E27FC236}">
              <a16:creationId xmlns:a16="http://schemas.microsoft.com/office/drawing/2014/main" id="{B8C6B230-A162-4136-AC80-058B12B61B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36449" y="6480560"/>
          <a:ext cx="2986185" cy="22566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526991</xdr:colOff>
      <xdr:row>35</xdr:row>
      <xdr:rowOff>0</xdr:rowOff>
    </xdr:from>
    <xdr:to>
      <xdr:col>19</xdr:col>
      <xdr:colOff>427290</xdr:colOff>
      <xdr:row>46</xdr:row>
      <xdr:rowOff>121396</xdr:rowOff>
    </xdr:to>
    <xdr:pic>
      <xdr:nvPicPr>
        <xdr:cNvPr id="20" name="Picture 19" descr="400 &#10;300 &#10;200 &#10;100 &#10;-100 &#10;Tire output data &#10;Hoosier 18.0 x 7.5 10 R25B (Item 43105), 7 inch rim &#10;slip ratio (%) &#10;longitudinal force, Fx (lbf/10) &#10;5600 &#10;5700 &#10;mux*10 &#10;5800 5900 &#10;sample # &#10;6000 &#10;6100 ">
          <a:extLst>
            <a:ext uri="{FF2B5EF4-FFF2-40B4-BE49-F238E27FC236}">
              <a16:creationId xmlns:a16="http://schemas.microsoft.com/office/drawing/2014/main" id="{9A0F2844-259E-44F7-84D5-8BEF06DC18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01271" y="6480561"/>
          <a:ext cx="2962542" cy="22626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48</xdr:row>
      <xdr:rowOff>1</xdr:rowOff>
    </xdr:from>
    <xdr:to>
      <xdr:col>14</xdr:col>
      <xdr:colOff>548356</xdr:colOff>
      <xdr:row>59</xdr:row>
      <xdr:rowOff>160681</xdr:rowOff>
    </xdr:to>
    <xdr:pic>
      <xdr:nvPicPr>
        <xdr:cNvPr id="21" name="Picture 20" descr="Tire input data &#10;Hoosier 18.0 x 7.5 10 R25B (Item 431 &#10;&gt; &#10;100 &#10;80 &#10;60 &#10;40 &#10;20 &#10;-20 &#10;5600 &#10;5700 &#10;5800 5900 &#10;sample # &#10;slip angle (deg) &#10;slip ratio (%) &#10;inclination angle (deg) &#10;vertical load (lbf/10) &#10;tire pressure (psi) &#10;6000 &#10;6100 ">
          <a:extLst>
            <a:ext uri="{FF2B5EF4-FFF2-40B4-BE49-F238E27FC236}">
              <a16:creationId xmlns:a16="http://schemas.microsoft.com/office/drawing/2014/main" id="{C0C9D8E7-27EA-4A02-9C6D-B3A3F1D6CE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24487" y="8887627"/>
          <a:ext cx="2998149" cy="22692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548355</xdr:colOff>
      <xdr:row>48</xdr:row>
      <xdr:rowOff>7121</xdr:rowOff>
    </xdr:from>
    <xdr:to>
      <xdr:col>19</xdr:col>
      <xdr:colOff>505627</xdr:colOff>
      <xdr:row>59</xdr:row>
      <xdr:rowOff>168428</xdr:rowOff>
    </xdr:to>
    <xdr:pic>
      <xdr:nvPicPr>
        <xdr:cNvPr id="22" name="Picture 21" descr="Tire output data &#10;Hoosier 18.0 x 7.5 10 R25B (Item 43105), 8 inch rim &#10;-20 &#10;-30 &#10;10 &#10;-10 &#10;-40 &#10;-50 &#10;-60 &#10;5600 &#10;slip ratio (%) &#10;longitudinal force, Fx (lbf/10) &#10;5700 &#10;mux*10 &#10;5800 5900 &#10;sample # &#10;6000 &#10;6100 ">
          <a:extLst>
            <a:ext uri="{FF2B5EF4-FFF2-40B4-BE49-F238E27FC236}">
              <a16:creationId xmlns:a16="http://schemas.microsoft.com/office/drawing/2014/main" id="{E1CA2413-9175-4D4F-AB2A-A571BC217F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22635" y="8894747"/>
          <a:ext cx="3019515" cy="2269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61</xdr:row>
      <xdr:rowOff>1</xdr:rowOff>
    </xdr:from>
    <xdr:to>
      <xdr:col>14</xdr:col>
      <xdr:colOff>505627</xdr:colOff>
      <xdr:row>72</xdr:row>
      <xdr:rowOff>121923</xdr:rowOff>
    </xdr:to>
    <xdr:pic>
      <xdr:nvPicPr>
        <xdr:cNvPr id="23" name="Picture 22" descr="Tire input data &#10;Hoosier 18.0 x 7.5 10 R25B (Item 43105), 8 inch rim &#10;&gt; &#10;100 &#10;80 &#10;60 &#10;40 &#10;20 &#10;-20 &#10;5600 &#10;5700 &#10;5800 5900 &#10;sample # &#10;slip angle (deg) &#10;slip ratio (%) &#10;inclination angle (deg) &#10;vertical load (lbf/10) &#10;tire pressure (psi) &#10;6000 &#10;6100 ">
          <a:extLst>
            <a:ext uri="{FF2B5EF4-FFF2-40B4-BE49-F238E27FC236}">
              <a16:creationId xmlns:a16="http://schemas.microsoft.com/office/drawing/2014/main" id="{FFC5CAC3-2AE4-48F8-AF1D-56EDFCF919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24486" y="11294693"/>
          <a:ext cx="2955421" cy="22631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498506</xdr:colOff>
      <xdr:row>60</xdr:row>
      <xdr:rowOff>178039</xdr:rowOff>
    </xdr:from>
    <xdr:to>
      <xdr:col>19</xdr:col>
      <xdr:colOff>424566</xdr:colOff>
      <xdr:row>72</xdr:row>
      <xdr:rowOff>121570</xdr:rowOff>
    </xdr:to>
    <xdr:pic>
      <xdr:nvPicPr>
        <xdr:cNvPr id="24" name="Picture 23" descr="300 &#10;200 &#10;100 &#10;-100 &#10;Tire output data &#10;Hoosier 18.0 x 7.5 10 R25B (Item 431 &#10;slip ratio (%) &#10;longitudinal force, Fx (lbf/10) &#10;mux*10 &#10;5600 &#10;5700 &#10;5800 5900 &#10;sample # &#10;6000 &#10;6100 ">
          <a:extLst>
            <a:ext uri="{FF2B5EF4-FFF2-40B4-BE49-F238E27FC236}">
              <a16:creationId xmlns:a16="http://schemas.microsoft.com/office/drawing/2014/main" id="{9CBF0C97-6147-43EA-84D8-9D048FD68F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72786" y="11287572"/>
          <a:ext cx="2988303" cy="2278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74</xdr:row>
      <xdr:rowOff>1</xdr:rowOff>
    </xdr:from>
    <xdr:to>
      <xdr:col>14</xdr:col>
      <xdr:colOff>491384</xdr:colOff>
      <xdr:row>85</xdr:row>
      <xdr:rowOff>81465</xdr:rowOff>
    </xdr:to>
    <xdr:pic>
      <xdr:nvPicPr>
        <xdr:cNvPr id="25" name="Picture 24" descr="Tire input data &#10;Hoosier 18.0 x 7.5 10 R25B (Item 43105), 8 inch rim &#10;&gt; &#10;60 &#10;40 &#10;20 &#10;-20 &#10;5600 &#10;5700 &#10;5800 5900 &#10;sample # &#10;slip angle (deg) &#10;slip ratio (%) &#10;inclination angle (deg) &#10;vertical load (lbf/10) &#10;tire pressure (psi) &#10;6000 &#10;6100 ">
          <a:extLst>
            <a:ext uri="{FF2B5EF4-FFF2-40B4-BE49-F238E27FC236}">
              <a16:creationId xmlns:a16="http://schemas.microsoft.com/office/drawing/2014/main" id="{7CA96E66-E4C2-43B1-AB5E-386EBC4A84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24486" y="13701758"/>
          <a:ext cx="2941178" cy="22226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470018</xdr:colOff>
      <xdr:row>74</xdr:row>
      <xdr:rowOff>7120</xdr:rowOff>
    </xdr:from>
    <xdr:to>
      <xdr:col>19</xdr:col>
      <xdr:colOff>351167</xdr:colOff>
      <xdr:row>85</xdr:row>
      <xdr:rowOff>102046</xdr:rowOff>
    </xdr:to>
    <xdr:pic>
      <xdr:nvPicPr>
        <xdr:cNvPr id="27" name="Picture 26" descr="Tire output data &#10;Hoosier 18.0 x 7.5 10 R25B (Item 431 &#10;300 &#10;200 &#10;100 &#10;-100 &#10;5600 &#10;slip ratio (%) &#10;longitudinal force, Fx (lbf/10) &#10;5700 &#10;mux*10 &#10;5800 5900 &#10;sample # &#10;6000 &#10;6100 ">
          <a:extLst>
            <a:ext uri="{FF2B5EF4-FFF2-40B4-BE49-F238E27FC236}">
              <a16:creationId xmlns:a16="http://schemas.microsoft.com/office/drawing/2014/main" id="{D8627966-B70C-4476-AEA1-F5589DBF02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44298" y="13708877"/>
          <a:ext cx="2943392" cy="22361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26894</xdr:colOff>
      <xdr:row>3</xdr:row>
      <xdr:rowOff>17930</xdr:rowOff>
    </xdr:from>
    <xdr:to>
      <xdr:col>25</xdr:col>
      <xdr:colOff>589573</xdr:colOff>
      <xdr:row>14</xdr:row>
      <xdr:rowOff>143436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A1F72A4-3953-4000-AE47-90E8A54E0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828494" y="376518"/>
          <a:ext cx="3001079" cy="2196353"/>
        </a:xfrm>
        <a:prstGeom prst="rect">
          <a:avLst/>
        </a:prstGeom>
      </xdr:spPr>
    </xdr:pic>
    <xdr:clientData/>
  </xdr:twoCellAnchor>
  <xdr:twoCellAnchor editAs="oneCell">
    <xdr:from>
      <xdr:col>21</xdr:col>
      <xdr:colOff>35860</xdr:colOff>
      <xdr:row>17</xdr:row>
      <xdr:rowOff>17931</xdr:rowOff>
    </xdr:from>
    <xdr:to>
      <xdr:col>25</xdr:col>
      <xdr:colOff>591671</xdr:colOff>
      <xdr:row>29</xdr:row>
      <xdr:rowOff>24947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7FE58EA-70C3-4E18-AC96-1EE12034D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837460" y="2886637"/>
          <a:ext cx="2994211" cy="2266122"/>
        </a:xfrm>
        <a:prstGeom prst="rect">
          <a:avLst/>
        </a:prstGeom>
      </xdr:spPr>
    </xdr:pic>
    <xdr:clientData/>
  </xdr:twoCellAnchor>
  <xdr:twoCellAnchor editAs="oneCell">
    <xdr:from>
      <xdr:col>21</xdr:col>
      <xdr:colOff>26894</xdr:colOff>
      <xdr:row>47</xdr:row>
      <xdr:rowOff>26894</xdr:rowOff>
    </xdr:from>
    <xdr:to>
      <xdr:col>25</xdr:col>
      <xdr:colOff>591670</xdr:colOff>
      <xdr:row>59</xdr:row>
      <xdr:rowOff>46373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C737393-7A2F-488B-84C1-EC6429DC7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828494" y="8453718"/>
          <a:ext cx="3003176" cy="2245928"/>
        </a:xfrm>
        <a:prstGeom prst="rect">
          <a:avLst/>
        </a:prstGeom>
      </xdr:spPr>
    </xdr:pic>
    <xdr:clientData/>
  </xdr:twoCellAnchor>
  <xdr:twoCellAnchor editAs="oneCell">
    <xdr:from>
      <xdr:col>21</xdr:col>
      <xdr:colOff>26895</xdr:colOff>
      <xdr:row>33</xdr:row>
      <xdr:rowOff>26895</xdr:rowOff>
    </xdr:from>
    <xdr:to>
      <xdr:col>25</xdr:col>
      <xdr:colOff>591671</xdr:colOff>
      <xdr:row>45</xdr:row>
      <xdr:rowOff>19091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905C129-4407-4880-848B-6581F4809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828495" y="5943601"/>
          <a:ext cx="3003176" cy="2251302"/>
        </a:xfrm>
        <a:prstGeom prst="rect">
          <a:avLst/>
        </a:prstGeom>
      </xdr:spPr>
    </xdr:pic>
    <xdr:clientData/>
  </xdr:twoCellAnchor>
  <xdr:twoCellAnchor editAs="oneCell">
    <xdr:from>
      <xdr:col>27</xdr:col>
      <xdr:colOff>35859</xdr:colOff>
      <xdr:row>3</xdr:row>
      <xdr:rowOff>26895</xdr:rowOff>
    </xdr:from>
    <xdr:to>
      <xdr:col>31</xdr:col>
      <xdr:colOff>582706</xdr:colOff>
      <xdr:row>15</xdr:row>
      <xdr:rowOff>17416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7F9CF2F-1912-4B75-AC90-CBAD352F8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6495059" y="564777"/>
          <a:ext cx="2985247" cy="2249627"/>
        </a:xfrm>
        <a:prstGeom prst="rect">
          <a:avLst/>
        </a:prstGeom>
      </xdr:spPr>
    </xdr:pic>
    <xdr:clientData/>
  </xdr:twoCellAnchor>
  <xdr:twoCellAnchor editAs="oneCell">
    <xdr:from>
      <xdr:col>27</xdr:col>
      <xdr:colOff>35859</xdr:colOff>
      <xdr:row>17</xdr:row>
      <xdr:rowOff>8964</xdr:rowOff>
    </xdr:from>
    <xdr:to>
      <xdr:col>31</xdr:col>
      <xdr:colOff>591670</xdr:colOff>
      <xdr:row>29</xdr:row>
      <xdr:rowOff>3055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3F2467B-7344-42C3-BD10-B813AC7DC3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495059" y="3056964"/>
          <a:ext cx="2994211" cy="2253197"/>
        </a:xfrm>
        <a:prstGeom prst="rect">
          <a:avLst/>
        </a:prstGeom>
      </xdr:spPr>
    </xdr:pic>
    <xdr:clientData/>
  </xdr:twoCellAnchor>
  <xdr:twoCellAnchor editAs="oneCell">
    <xdr:from>
      <xdr:col>27</xdr:col>
      <xdr:colOff>35860</xdr:colOff>
      <xdr:row>33</xdr:row>
      <xdr:rowOff>17931</xdr:rowOff>
    </xdr:from>
    <xdr:to>
      <xdr:col>31</xdr:col>
      <xdr:colOff>603875</xdr:colOff>
      <xdr:row>45</xdr:row>
      <xdr:rowOff>17931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EF56A44-215E-461B-B4D3-0E3E8E5B95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6495060" y="5934637"/>
          <a:ext cx="3006415" cy="2259106"/>
        </a:xfrm>
        <a:prstGeom prst="rect">
          <a:avLst/>
        </a:prstGeom>
      </xdr:spPr>
    </xdr:pic>
    <xdr:clientData/>
  </xdr:twoCellAnchor>
  <xdr:twoCellAnchor editAs="oneCell">
    <xdr:from>
      <xdr:col>27</xdr:col>
      <xdr:colOff>26894</xdr:colOff>
      <xdr:row>47</xdr:row>
      <xdr:rowOff>26895</xdr:rowOff>
    </xdr:from>
    <xdr:to>
      <xdr:col>31</xdr:col>
      <xdr:colOff>600635</xdr:colOff>
      <xdr:row>59</xdr:row>
      <xdr:rowOff>64954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019E1B2-C3DF-4F9A-ABC4-C7178630F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6486094" y="8453719"/>
          <a:ext cx="3012141" cy="2264508"/>
        </a:xfrm>
        <a:prstGeom prst="rect">
          <a:avLst/>
        </a:prstGeom>
      </xdr:spPr>
    </xdr:pic>
    <xdr:clientData/>
  </xdr:twoCellAnchor>
  <xdr:twoCellAnchor editAs="oneCell">
    <xdr:from>
      <xdr:col>33</xdr:col>
      <xdr:colOff>26894</xdr:colOff>
      <xdr:row>3</xdr:row>
      <xdr:rowOff>17930</xdr:rowOff>
    </xdr:from>
    <xdr:to>
      <xdr:col>37</xdr:col>
      <xdr:colOff>600635</xdr:colOff>
      <xdr:row>15</xdr:row>
      <xdr:rowOff>23332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C3656D7E-80E2-4892-A434-E9F59DC234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0143694" y="555812"/>
          <a:ext cx="3012141" cy="2264508"/>
        </a:xfrm>
        <a:prstGeom prst="rect">
          <a:avLst/>
        </a:prstGeom>
      </xdr:spPr>
    </xdr:pic>
    <xdr:clientData/>
  </xdr:twoCellAnchor>
  <xdr:twoCellAnchor editAs="oneCell">
    <xdr:from>
      <xdr:col>33</xdr:col>
      <xdr:colOff>26894</xdr:colOff>
      <xdr:row>17</xdr:row>
      <xdr:rowOff>26895</xdr:rowOff>
    </xdr:from>
    <xdr:to>
      <xdr:col>37</xdr:col>
      <xdr:colOff>589610</xdr:colOff>
      <xdr:row>29</xdr:row>
      <xdr:rowOff>8965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C5138225-3425-46F1-A992-013190B301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0143694" y="3074895"/>
          <a:ext cx="3001116" cy="2241176"/>
        </a:xfrm>
        <a:prstGeom prst="rect">
          <a:avLst/>
        </a:prstGeom>
      </xdr:spPr>
    </xdr:pic>
    <xdr:clientData/>
  </xdr:twoCellAnchor>
  <xdr:twoCellAnchor editAs="oneCell">
    <xdr:from>
      <xdr:col>33</xdr:col>
      <xdr:colOff>26894</xdr:colOff>
      <xdr:row>33</xdr:row>
      <xdr:rowOff>17930</xdr:rowOff>
    </xdr:from>
    <xdr:to>
      <xdr:col>37</xdr:col>
      <xdr:colOff>587248</xdr:colOff>
      <xdr:row>45</xdr:row>
      <xdr:rowOff>8965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55818ED1-46FA-4619-ACB8-6E6A7345C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0143694" y="5934636"/>
          <a:ext cx="2998754" cy="2250141"/>
        </a:xfrm>
        <a:prstGeom prst="rect">
          <a:avLst/>
        </a:prstGeom>
      </xdr:spPr>
    </xdr:pic>
    <xdr:clientData/>
  </xdr:twoCellAnchor>
  <xdr:twoCellAnchor editAs="oneCell">
    <xdr:from>
      <xdr:col>33</xdr:col>
      <xdr:colOff>44824</xdr:colOff>
      <xdr:row>47</xdr:row>
      <xdr:rowOff>44824</xdr:rowOff>
    </xdr:from>
    <xdr:to>
      <xdr:col>37</xdr:col>
      <xdr:colOff>564776</xdr:colOff>
      <xdr:row>59</xdr:row>
      <xdr:rowOff>39271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EA6FF3A-987A-4802-B84A-C184319DB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0161624" y="8471648"/>
          <a:ext cx="2958352" cy="2220896"/>
        </a:xfrm>
        <a:prstGeom prst="rect">
          <a:avLst/>
        </a:prstGeom>
      </xdr:spPr>
    </xdr:pic>
    <xdr:clientData/>
  </xdr:twoCellAnchor>
  <xdr:twoCellAnchor editAs="oneCell">
    <xdr:from>
      <xdr:col>39</xdr:col>
      <xdr:colOff>35859</xdr:colOff>
      <xdr:row>17</xdr:row>
      <xdr:rowOff>35860</xdr:rowOff>
    </xdr:from>
    <xdr:to>
      <xdr:col>43</xdr:col>
      <xdr:colOff>591671</xdr:colOff>
      <xdr:row>29</xdr:row>
      <xdr:rowOff>27782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B82FA6C8-F9BB-496B-8BF2-9D8E05E0F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3810259" y="3083860"/>
          <a:ext cx="2994212" cy="2251028"/>
        </a:xfrm>
        <a:prstGeom prst="rect">
          <a:avLst/>
        </a:prstGeom>
      </xdr:spPr>
    </xdr:pic>
    <xdr:clientData/>
  </xdr:twoCellAnchor>
  <xdr:twoCellAnchor editAs="oneCell">
    <xdr:from>
      <xdr:col>39</xdr:col>
      <xdr:colOff>26895</xdr:colOff>
      <xdr:row>3</xdr:row>
      <xdr:rowOff>35859</xdr:rowOff>
    </xdr:from>
    <xdr:to>
      <xdr:col>43</xdr:col>
      <xdr:colOff>600156</xdr:colOff>
      <xdr:row>15</xdr:row>
      <xdr:rowOff>26894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B3BBBCBB-3F1A-4ABE-88F5-697F6033AE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3801295" y="573741"/>
          <a:ext cx="3011661" cy="2250141"/>
        </a:xfrm>
        <a:prstGeom prst="rect">
          <a:avLst/>
        </a:prstGeom>
      </xdr:spPr>
    </xdr:pic>
    <xdr:clientData/>
  </xdr:twoCellAnchor>
  <xdr:twoCellAnchor editAs="oneCell">
    <xdr:from>
      <xdr:col>39</xdr:col>
      <xdr:colOff>35859</xdr:colOff>
      <xdr:row>33</xdr:row>
      <xdr:rowOff>35859</xdr:rowOff>
    </xdr:from>
    <xdr:to>
      <xdr:col>43</xdr:col>
      <xdr:colOff>581425</xdr:colOff>
      <xdr:row>45</xdr:row>
      <xdr:rowOff>17929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9DA26F13-6614-413A-8874-EE18C9B44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3810259" y="5952565"/>
          <a:ext cx="2983966" cy="2241176"/>
        </a:xfrm>
        <a:prstGeom prst="rect">
          <a:avLst/>
        </a:prstGeom>
      </xdr:spPr>
    </xdr:pic>
    <xdr:clientData/>
  </xdr:twoCellAnchor>
  <xdr:twoCellAnchor editAs="oneCell">
    <xdr:from>
      <xdr:col>39</xdr:col>
      <xdr:colOff>26894</xdr:colOff>
      <xdr:row>47</xdr:row>
      <xdr:rowOff>35860</xdr:rowOff>
    </xdr:from>
    <xdr:to>
      <xdr:col>43</xdr:col>
      <xdr:colOff>591671</xdr:colOff>
      <xdr:row>59</xdr:row>
      <xdr:rowOff>56423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F57C5849-B315-45A7-9252-E759EEF2D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3801294" y="8462684"/>
          <a:ext cx="3003177" cy="2247012"/>
        </a:xfrm>
        <a:prstGeom prst="rect">
          <a:avLst/>
        </a:prstGeom>
      </xdr:spPr>
    </xdr:pic>
    <xdr:clientData/>
  </xdr:twoCellAnchor>
  <xdr:twoCellAnchor editAs="oneCell">
    <xdr:from>
      <xdr:col>29</xdr:col>
      <xdr:colOff>89647</xdr:colOff>
      <xdr:row>60</xdr:row>
      <xdr:rowOff>80682</xdr:rowOff>
    </xdr:from>
    <xdr:to>
      <xdr:col>35</xdr:col>
      <xdr:colOff>601100</xdr:colOff>
      <xdr:row>72</xdr:row>
      <xdr:rowOff>154929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68F80F90-9B93-48EF-A031-581192A0A1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68047" y="11510682"/>
          <a:ext cx="4169053" cy="23602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59</xdr:col>
      <xdr:colOff>359228</xdr:colOff>
      <xdr:row>2</xdr:row>
      <xdr:rowOff>10885</xdr:rowOff>
    </xdr:from>
    <xdr:to>
      <xdr:col>64</xdr:col>
      <xdr:colOff>522515</xdr:colOff>
      <xdr:row>16</xdr:row>
      <xdr:rowOff>195942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59B54540-CEFF-4266-B543-3DE376C36B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59</xdr:col>
      <xdr:colOff>370114</xdr:colOff>
      <xdr:row>18</xdr:row>
      <xdr:rowOff>10886</xdr:rowOff>
    </xdr:from>
    <xdr:to>
      <xdr:col>64</xdr:col>
      <xdr:colOff>533401</xdr:colOff>
      <xdr:row>32</xdr:row>
      <xdr:rowOff>177437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7084CB4E-BE5A-4DC3-97C3-64E94CD18C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59</xdr:col>
      <xdr:colOff>381000</xdr:colOff>
      <xdr:row>34</xdr:row>
      <xdr:rowOff>0</xdr:rowOff>
    </xdr:from>
    <xdr:to>
      <xdr:col>64</xdr:col>
      <xdr:colOff>544287</xdr:colOff>
      <xdr:row>48</xdr:row>
      <xdr:rowOff>166551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D46BC13A-5A2A-45B8-A082-FA5E674195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57</xdr:row>
      <xdr:rowOff>20667</xdr:rowOff>
    </xdr:from>
    <xdr:to>
      <xdr:col>5</xdr:col>
      <xdr:colOff>1981219</xdr:colOff>
      <xdr:row>73</xdr:row>
      <xdr:rowOff>141622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F86001A-310D-49AC-81EE-99B5A2FEF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498167"/>
          <a:ext cx="8257281" cy="3045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48380</xdr:rowOff>
    </xdr:from>
    <xdr:to>
      <xdr:col>6</xdr:col>
      <xdr:colOff>2537</xdr:colOff>
      <xdr:row>107</xdr:row>
      <xdr:rowOff>104383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10CE9AA-B2B5-4C65-8AA2-2D318A367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6736702"/>
          <a:ext cx="8274934" cy="2978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171815</xdr:rowOff>
    </xdr:from>
    <xdr:to>
      <xdr:col>6</xdr:col>
      <xdr:colOff>7650</xdr:colOff>
      <xdr:row>140</xdr:row>
      <xdr:rowOff>156575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9BD7E82-7A6E-44C8-84CB-671E07BB2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2705616"/>
          <a:ext cx="8280047" cy="309017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171450</xdr:rowOff>
    </xdr:from>
    <xdr:to>
      <xdr:col>23</xdr:col>
      <xdr:colOff>464294</xdr:colOff>
      <xdr:row>25</xdr:row>
      <xdr:rowOff>6578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C604A3A-7E82-4F04-AC5A-F41AF7D38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"/>
          <a:ext cx="14485094" cy="44388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186266</xdr:rowOff>
    </xdr:from>
    <xdr:to>
      <xdr:col>23</xdr:col>
      <xdr:colOff>507724</xdr:colOff>
      <xdr:row>51</xdr:row>
      <xdr:rowOff>84666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F81FEFD-D530-472E-B8F7-4EB4205CE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029199"/>
          <a:ext cx="14528524" cy="455506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12</xdr:row>
      <xdr:rowOff>38100</xdr:rowOff>
    </xdr:from>
    <xdr:to>
      <xdr:col>3</xdr:col>
      <xdr:colOff>495301</xdr:colOff>
      <xdr:row>19</xdr:row>
      <xdr:rowOff>168777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31F8291-8EEC-45CB-A24C-B9D1D756A3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866900"/>
          <a:ext cx="2362200" cy="1403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38100</xdr:rowOff>
    </xdr:from>
    <xdr:to>
      <xdr:col>3</xdr:col>
      <xdr:colOff>538005</xdr:colOff>
      <xdr:row>43</xdr:row>
      <xdr:rowOff>99060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27A455F-C8FE-4809-8DD5-E041767DE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158740"/>
          <a:ext cx="2404905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38101</xdr:rowOff>
    </xdr:from>
    <xdr:to>
      <xdr:col>3</xdr:col>
      <xdr:colOff>546015</xdr:colOff>
      <xdr:row>56</xdr:row>
      <xdr:rowOff>30481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725848C-CA4B-4CA7-A53B-E1540E0E5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073141"/>
          <a:ext cx="2412915" cy="2004060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</xdr:colOff>
      <xdr:row>2</xdr:row>
      <xdr:rowOff>30481</xdr:rowOff>
    </xdr:from>
    <xdr:to>
      <xdr:col>3</xdr:col>
      <xdr:colOff>144779</xdr:colOff>
      <xdr:row>10</xdr:row>
      <xdr:rowOff>146190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71A8196-10D4-439E-A1BC-0440B9E5F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" y="396241"/>
          <a:ext cx="1958339" cy="1578749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</xdr:colOff>
      <xdr:row>22</xdr:row>
      <xdr:rowOff>45721</xdr:rowOff>
    </xdr:from>
    <xdr:to>
      <xdr:col>3</xdr:col>
      <xdr:colOff>586740</xdr:colOff>
      <xdr:row>25</xdr:row>
      <xdr:rowOff>116675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48E2D90-519F-45EE-869B-C6F4357F0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40" y="4069081"/>
          <a:ext cx="2438400" cy="619594"/>
        </a:xfrm>
        <a:prstGeom prst="rect">
          <a:avLst/>
        </a:prstGeom>
      </xdr:spPr>
    </xdr:pic>
    <xdr:clientData/>
  </xdr:twoCellAnchor>
  <xdr:twoCellAnchor editAs="oneCell">
    <xdr:from>
      <xdr:col>0</xdr:col>
      <xdr:colOff>22861</xdr:colOff>
      <xdr:row>27</xdr:row>
      <xdr:rowOff>60961</xdr:rowOff>
    </xdr:from>
    <xdr:to>
      <xdr:col>3</xdr:col>
      <xdr:colOff>587224</xdr:colOff>
      <xdr:row>38</xdr:row>
      <xdr:rowOff>68580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0549904-2B65-475E-A08C-04AB2F868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861" y="4998721"/>
          <a:ext cx="2431263" cy="20192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A1F52-7421-492F-8E7E-A61E507D61E5}">
  <dimension ref="A1:F29"/>
  <sheetViews>
    <sheetView tabSelected="1" workbookViewId="0">
      <selection activeCell="B2" sqref="B2"/>
    </sheetView>
  </sheetViews>
  <sheetFormatPr defaultRowHeight="15" x14ac:dyDescent="0.25"/>
  <cols>
    <col min="1" max="1" width="27" customWidth="1"/>
    <col min="4" max="4" width="22.42578125" customWidth="1"/>
  </cols>
  <sheetData>
    <row r="1" spans="1:6" x14ac:dyDescent="0.25">
      <c r="A1" s="56" t="s">
        <v>55</v>
      </c>
      <c r="D1" s="56" t="s">
        <v>146</v>
      </c>
    </row>
    <row r="2" spans="1:6" x14ac:dyDescent="0.25">
      <c r="A2" s="57" t="s">
        <v>56</v>
      </c>
      <c r="B2">
        <v>700</v>
      </c>
      <c r="D2" s="57" t="s">
        <v>147</v>
      </c>
      <c r="E2">
        <v>1.7</v>
      </c>
    </row>
    <row r="3" spans="1:6" x14ac:dyDescent="0.25">
      <c r="A3" s="57" t="s">
        <v>57</v>
      </c>
      <c r="B3">
        <v>48</v>
      </c>
      <c r="D3" s="57" t="s">
        <v>148</v>
      </c>
      <c r="E3">
        <v>1.7</v>
      </c>
    </row>
    <row r="4" spans="1:6" x14ac:dyDescent="0.25">
      <c r="A4" s="57" t="s">
        <v>58</v>
      </c>
      <c r="B4">
        <v>52</v>
      </c>
      <c r="D4" s="116" t="s">
        <v>149</v>
      </c>
      <c r="E4">
        <v>1.7</v>
      </c>
    </row>
    <row r="5" spans="1:6" x14ac:dyDescent="0.25">
      <c r="A5" s="57" t="s">
        <v>59</v>
      </c>
      <c r="B5">
        <v>61</v>
      </c>
      <c r="D5" s="116" t="s">
        <v>150</v>
      </c>
      <c r="E5">
        <v>1.7380580000000001</v>
      </c>
      <c r="F5" t="s">
        <v>180</v>
      </c>
    </row>
    <row r="6" spans="1:6" x14ac:dyDescent="0.25">
      <c r="A6" s="57" t="s">
        <v>60</v>
      </c>
      <c r="B6">
        <v>48</v>
      </c>
      <c r="D6" s="57" t="s">
        <v>151</v>
      </c>
      <c r="E6">
        <v>167</v>
      </c>
      <c r="F6" t="s">
        <v>152</v>
      </c>
    </row>
    <row r="7" spans="1:6" x14ac:dyDescent="0.25">
      <c r="A7" s="57" t="s">
        <v>61</v>
      </c>
      <c r="B7">
        <v>48</v>
      </c>
      <c r="D7" s="57" t="s">
        <v>153</v>
      </c>
      <c r="E7">
        <v>92.4</v>
      </c>
      <c r="F7" t="s">
        <v>154</v>
      </c>
    </row>
    <row r="8" spans="1:6" x14ac:dyDescent="0.25">
      <c r="A8" s="57" t="s">
        <v>62</v>
      </c>
      <c r="B8">
        <v>9.84</v>
      </c>
      <c r="D8" s="57" t="s">
        <v>155</v>
      </c>
      <c r="E8">
        <v>671</v>
      </c>
    </row>
    <row r="9" spans="1:6" x14ac:dyDescent="0.25">
      <c r="A9" s="57" t="s">
        <v>63</v>
      </c>
      <c r="B9">
        <v>9</v>
      </c>
      <c r="D9" s="57" t="s">
        <v>156</v>
      </c>
      <c r="E9">
        <v>533</v>
      </c>
    </row>
    <row r="10" spans="1:6" x14ac:dyDescent="0.25">
      <c r="A10" s="57" t="s">
        <v>64</v>
      </c>
      <c r="B10">
        <f>B5*(B4/100)</f>
        <v>31.720000000000002</v>
      </c>
    </row>
    <row r="11" spans="1:6" x14ac:dyDescent="0.25">
      <c r="A11" s="57" t="s">
        <v>65</v>
      </c>
      <c r="B11">
        <f>B5*(B3/100)</f>
        <v>29.279999999999998</v>
      </c>
    </row>
    <row r="12" spans="1:6" x14ac:dyDescent="0.25">
      <c r="A12" s="57" t="s">
        <v>66</v>
      </c>
      <c r="B12">
        <v>9</v>
      </c>
    </row>
    <row r="13" spans="1:6" x14ac:dyDescent="0.25">
      <c r="A13" s="57" t="s">
        <v>67</v>
      </c>
      <c r="B13">
        <v>9</v>
      </c>
    </row>
    <row r="14" spans="1:6" x14ac:dyDescent="0.25">
      <c r="A14" s="57" t="s">
        <v>68</v>
      </c>
      <c r="B14">
        <v>1.5833999999999999</v>
      </c>
    </row>
    <row r="15" spans="1:6" x14ac:dyDescent="0.25">
      <c r="A15" s="57" t="s">
        <v>69</v>
      </c>
      <c r="B15">
        <v>6.0487000000000002</v>
      </c>
    </row>
    <row r="17" spans="1:5" x14ac:dyDescent="0.25">
      <c r="A17" s="56" t="s">
        <v>70</v>
      </c>
      <c r="D17" s="56" t="s">
        <v>157</v>
      </c>
    </row>
    <row r="18" spans="1:5" x14ac:dyDescent="0.25">
      <c r="A18" s="57" t="s">
        <v>71</v>
      </c>
      <c r="B18">
        <v>200</v>
      </c>
      <c r="D18" s="57" t="s">
        <v>158</v>
      </c>
      <c r="E18">
        <v>-1.7035499999999999</v>
      </c>
    </row>
    <row r="19" spans="1:5" x14ac:dyDescent="0.25">
      <c r="A19" s="57" t="s">
        <v>72</v>
      </c>
      <c r="B19">
        <v>250</v>
      </c>
    </row>
    <row r="20" spans="1:5" x14ac:dyDescent="0.25">
      <c r="A20" s="57" t="s">
        <v>73</v>
      </c>
      <c r="B20">
        <v>0.5</v>
      </c>
    </row>
    <row r="21" spans="1:5" x14ac:dyDescent="0.25">
      <c r="A21" s="57" t="s">
        <v>74</v>
      </c>
      <c r="B21">
        <v>0.5</v>
      </c>
    </row>
    <row r="22" spans="1:5" x14ac:dyDescent="0.25">
      <c r="A22" s="57" t="s">
        <v>75</v>
      </c>
      <c r="B22" s="58">
        <v>271</v>
      </c>
    </row>
    <row r="23" spans="1:5" x14ac:dyDescent="0.25">
      <c r="A23" s="57" t="s">
        <v>76</v>
      </c>
      <c r="B23" s="58">
        <v>260</v>
      </c>
    </row>
    <row r="24" spans="1:5" x14ac:dyDescent="0.25">
      <c r="A24" s="57" t="s">
        <v>77</v>
      </c>
      <c r="B24">
        <v>0.5</v>
      </c>
    </row>
    <row r="25" spans="1:5" x14ac:dyDescent="0.25">
      <c r="A25" s="57" t="s">
        <v>78</v>
      </c>
      <c r="B25">
        <v>0.5</v>
      </c>
    </row>
    <row r="26" spans="1:5" x14ac:dyDescent="0.25">
      <c r="A26" s="57" t="s">
        <v>79</v>
      </c>
      <c r="B26">
        <v>-0.2223</v>
      </c>
    </row>
    <row r="27" spans="1:5" x14ac:dyDescent="0.25">
      <c r="A27" s="57" t="s">
        <v>80</v>
      </c>
      <c r="B27">
        <v>0</v>
      </c>
    </row>
    <row r="28" spans="1:5" x14ac:dyDescent="0.25">
      <c r="A28" s="57" t="s">
        <v>143</v>
      </c>
      <c r="B28">
        <v>0.27</v>
      </c>
    </row>
    <row r="29" spans="1:5" x14ac:dyDescent="0.25">
      <c r="A29" s="57" t="s">
        <v>144</v>
      </c>
      <c r="B29">
        <v>3.08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FB7DB-8140-4785-B888-3C06C707C0CA}">
  <dimension ref="A1:BQ195"/>
  <sheetViews>
    <sheetView topLeftCell="AQ1" zoomScale="70" zoomScaleNormal="70" workbookViewId="0">
      <selection activeCell="BN38" sqref="BN38"/>
    </sheetView>
  </sheetViews>
  <sheetFormatPr defaultRowHeight="15" x14ac:dyDescent="0.25"/>
  <cols>
    <col min="46" max="46" width="26.42578125" customWidth="1"/>
    <col min="48" max="48" width="11.28515625" customWidth="1"/>
    <col min="49" max="49" width="9.42578125" customWidth="1"/>
    <col min="52" max="52" width="9.28515625" customWidth="1"/>
    <col min="57" max="57" width="15.28515625" customWidth="1"/>
    <col min="58" max="58" width="18.28515625" customWidth="1"/>
    <col min="59" max="65" width="10.85546875" customWidth="1"/>
    <col min="66" max="66" width="9.28515625" customWidth="1"/>
    <col min="67" max="67" width="17.5703125" customWidth="1"/>
    <col min="68" max="68" width="20" customWidth="1"/>
    <col min="69" max="69" width="10.28515625" customWidth="1"/>
  </cols>
  <sheetData>
    <row r="1" spans="1:69" ht="15" customHeight="1" x14ac:dyDescent="0.25">
      <c r="V1" s="56" t="s">
        <v>142</v>
      </c>
      <c r="AH1" s="56" t="s">
        <v>145</v>
      </c>
      <c r="AU1" s="153" t="s">
        <v>287</v>
      </c>
      <c r="BD1" t="s">
        <v>291</v>
      </c>
      <c r="BN1" t="s">
        <v>303</v>
      </c>
    </row>
    <row r="2" spans="1:69" ht="15.75" thickBot="1" x14ac:dyDescent="0.3">
      <c r="V2" s="115" t="s">
        <v>132</v>
      </c>
      <c r="AB2" s="115" t="s">
        <v>134</v>
      </c>
      <c r="AH2" s="115" t="s">
        <v>137</v>
      </c>
      <c r="AN2" s="115" t="s">
        <v>140</v>
      </c>
      <c r="AT2" t="s">
        <v>301</v>
      </c>
      <c r="AU2" s="124" t="s">
        <v>182</v>
      </c>
      <c r="AV2" s="125" t="s">
        <v>183</v>
      </c>
      <c r="AW2" s="125" t="s">
        <v>184</v>
      </c>
      <c r="AX2" s="125" t="s">
        <v>185</v>
      </c>
      <c r="AY2" s="125" t="s">
        <v>186</v>
      </c>
      <c r="AZ2" s="125" t="s">
        <v>187</v>
      </c>
      <c r="BA2" s="125" t="s">
        <v>188</v>
      </c>
      <c r="BB2" s="126" t="s">
        <v>189</v>
      </c>
      <c r="BC2" s="154"/>
      <c r="BD2" s="155"/>
      <c r="BE2" s="155" t="s">
        <v>293</v>
      </c>
      <c r="BF2" s="156" t="s">
        <v>294</v>
      </c>
      <c r="BG2" s="156" t="s">
        <v>295</v>
      </c>
      <c r="BH2" s="156"/>
      <c r="BI2" s="156"/>
      <c r="BJ2" s="156"/>
      <c r="BK2" s="156"/>
      <c r="BL2" s="156"/>
      <c r="BM2" s="156"/>
      <c r="BO2" s="156" t="s">
        <v>294</v>
      </c>
      <c r="BP2" s="156" t="s">
        <v>293</v>
      </c>
      <c r="BQ2" s="156" t="s">
        <v>295</v>
      </c>
    </row>
    <row r="3" spans="1:69" ht="14.45" customHeight="1" thickBot="1" x14ac:dyDescent="0.3">
      <c r="V3" t="s">
        <v>22</v>
      </c>
      <c r="AB3" t="s">
        <v>22</v>
      </c>
      <c r="AH3" t="s">
        <v>22</v>
      </c>
      <c r="AN3" t="s">
        <v>22</v>
      </c>
      <c r="AU3" s="127" t="s">
        <v>190</v>
      </c>
      <c r="AV3" s="122" t="s">
        <v>191</v>
      </c>
      <c r="AW3" s="122" t="s">
        <v>190</v>
      </c>
      <c r="AX3" s="122" t="s">
        <v>190</v>
      </c>
      <c r="AY3" s="122" t="s">
        <v>192</v>
      </c>
      <c r="AZ3" s="122" t="s">
        <v>190</v>
      </c>
      <c r="BA3" s="122" t="s">
        <v>190</v>
      </c>
      <c r="BB3" s="128" t="s">
        <v>190</v>
      </c>
      <c r="BC3" s="154"/>
      <c r="BD3" s="155" t="s">
        <v>292</v>
      </c>
      <c r="BE3">
        <v>50</v>
      </c>
      <c r="BF3">
        <v>0</v>
      </c>
      <c r="BG3">
        <f>AZ8</f>
        <v>75</v>
      </c>
      <c r="BN3" s="156" t="s">
        <v>292</v>
      </c>
      <c r="BO3">
        <v>0</v>
      </c>
      <c r="BP3">
        <v>50</v>
      </c>
      <c r="BQ3">
        <f>BG3</f>
        <v>75</v>
      </c>
    </row>
    <row r="4" spans="1:69" ht="15" customHeight="1" thickBot="1" x14ac:dyDescent="0.3">
      <c r="AH4" s="56"/>
      <c r="AU4" s="127" t="s">
        <v>190</v>
      </c>
      <c r="AV4" s="122" t="s">
        <v>193</v>
      </c>
      <c r="AW4" s="122" t="s">
        <v>194</v>
      </c>
      <c r="AX4" s="122" t="s">
        <v>195</v>
      </c>
      <c r="AY4" s="122" t="s">
        <v>196</v>
      </c>
      <c r="AZ4" s="122" t="s">
        <v>197</v>
      </c>
      <c r="BA4" s="122" t="s">
        <v>190</v>
      </c>
      <c r="BB4" s="128" t="s">
        <v>196</v>
      </c>
      <c r="BC4" s="154"/>
      <c r="BF4">
        <v>2</v>
      </c>
      <c r="BG4">
        <f>AZ13</f>
        <v>61</v>
      </c>
      <c r="BP4">
        <v>100</v>
      </c>
      <c r="BQ4">
        <f>BG6</f>
        <v>102</v>
      </c>
    </row>
    <row r="5" spans="1:69" ht="15.75" thickBot="1" x14ac:dyDescent="0.3">
      <c r="AU5" s="129" t="s">
        <v>296</v>
      </c>
      <c r="AV5" s="123">
        <v>635</v>
      </c>
      <c r="AW5" s="123">
        <v>12</v>
      </c>
      <c r="AX5" s="123">
        <v>0</v>
      </c>
      <c r="AY5" s="123">
        <v>250</v>
      </c>
      <c r="AZ5" s="123">
        <v>155</v>
      </c>
      <c r="BA5" s="123">
        <v>0.61899999999999999</v>
      </c>
      <c r="BB5" s="130">
        <v>11</v>
      </c>
      <c r="BC5" s="155"/>
      <c r="BF5">
        <v>4</v>
      </c>
      <c r="BG5">
        <f>AZ18</f>
        <v>46</v>
      </c>
      <c r="BP5">
        <v>150</v>
      </c>
      <c r="BQ5">
        <f>BG9</f>
        <v>125</v>
      </c>
    </row>
    <row r="6" spans="1:69" ht="15.75" thickBot="1" x14ac:dyDescent="0.3">
      <c r="AU6" s="129"/>
      <c r="AV6" s="123" t="s">
        <v>297</v>
      </c>
      <c r="AW6" s="123"/>
      <c r="AX6" s="123">
        <v>0</v>
      </c>
      <c r="AY6" s="123">
        <v>200</v>
      </c>
      <c r="AZ6" s="123">
        <v>141</v>
      </c>
      <c r="BA6" s="123">
        <v>0.70499999999999996</v>
      </c>
      <c r="BB6" s="130">
        <v>10</v>
      </c>
      <c r="BC6" s="155"/>
      <c r="BE6">
        <v>100</v>
      </c>
      <c r="BF6">
        <v>0</v>
      </c>
      <c r="BG6">
        <f>AZ10</f>
        <v>102</v>
      </c>
      <c r="BP6">
        <v>200</v>
      </c>
      <c r="BQ6">
        <f>BG12</f>
        <v>141</v>
      </c>
    </row>
    <row r="7" spans="1:69" ht="15.75" thickBot="1" x14ac:dyDescent="0.3">
      <c r="AU7" s="129"/>
      <c r="AV7" s="123" t="s">
        <v>297</v>
      </c>
      <c r="AW7" s="123"/>
      <c r="AX7" s="123">
        <v>0</v>
      </c>
      <c r="AY7" s="123">
        <v>150</v>
      </c>
      <c r="AZ7" s="123">
        <v>125</v>
      </c>
      <c r="BA7" s="123">
        <v>0.83099999999999996</v>
      </c>
      <c r="BB7" s="130">
        <v>9</v>
      </c>
      <c r="BC7" s="155"/>
      <c r="BF7">
        <v>2</v>
      </c>
      <c r="BG7">
        <f>AZ15</f>
        <v>90</v>
      </c>
      <c r="BP7">
        <v>250</v>
      </c>
      <c r="BQ7">
        <f>BG15</f>
        <v>153.5</v>
      </c>
    </row>
    <row r="8" spans="1:69" ht="15.75" thickBot="1" x14ac:dyDescent="0.3">
      <c r="AU8" s="129"/>
      <c r="AV8" s="123" t="s">
        <v>297</v>
      </c>
      <c r="AW8" s="123"/>
      <c r="AX8" s="123">
        <v>0</v>
      </c>
      <c r="AY8" s="123">
        <v>50</v>
      </c>
      <c r="AZ8" s="123">
        <v>75</v>
      </c>
      <c r="BA8" s="123">
        <v>1.4950000000000001</v>
      </c>
      <c r="BB8" s="130">
        <v>3</v>
      </c>
      <c r="BC8" s="155"/>
      <c r="BF8">
        <v>4</v>
      </c>
      <c r="BG8">
        <f>AZ20</f>
        <v>74</v>
      </c>
      <c r="BO8">
        <v>2</v>
      </c>
      <c r="BP8">
        <v>50</v>
      </c>
      <c r="BQ8">
        <f>BG4</f>
        <v>61</v>
      </c>
    </row>
    <row r="9" spans="1:69" ht="15.75" thickBot="1" x14ac:dyDescent="0.3">
      <c r="A9" s="115" t="s">
        <v>132</v>
      </c>
      <c r="K9" s="115" t="s">
        <v>136</v>
      </c>
      <c r="AU9" s="129"/>
      <c r="AV9" s="123" t="s">
        <v>297</v>
      </c>
      <c r="AW9" s="123"/>
      <c r="AX9" s="123">
        <v>0</v>
      </c>
      <c r="AY9" s="123">
        <v>250</v>
      </c>
      <c r="AZ9" s="123">
        <v>152</v>
      </c>
      <c r="BA9" s="123">
        <v>0.61</v>
      </c>
      <c r="BB9" s="130">
        <v>10</v>
      </c>
      <c r="BC9" s="155"/>
      <c r="BE9">
        <v>150</v>
      </c>
      <c r="BF9">
        <v>0</v>
      </c>
      <c r="BG9">
        <f>AZ7</f>
        <v>125</v>
      </c>
      <c r="BP9">
        <v>100</v>
      </c>
      <c r="BQ9">
        <f>BG7</f>
        <v>90</v>
      </c>
    </row>
    <row r="10" spans="1:69" ht="15.75" thickBot="1" x14ac:dyDescent="0.3">
      <c r="AU10" s="129"/>
      <c r="AV10" s="123" t="s">
        <v>297</v>
      </c>
      <c r="AW10" s="123"/>
      <c r="AX10" s="123">
        <v>0</v>
      </c>
      <c r="AY10" s="123">
        <v>100</v>
      </c>
      <c r="AZ10" s="123">
        <v>102</v>
      </c>
      <c r="BA10" s="123">
        <v>1.018</v>
      </c>
      <c r="BB10" s="130">
        <v>6</v>
      </c>
      <c r="BC10" s="155"/>
      <c r="BF10">
        <v>2</v>
      </c>
      <c r="BG10">
        <f>AZ12</f>
        <v>115</v>
      </c>
      <c r="BP10">
        <v>150</v>
      </c>
      <c r="BQ10">
        <f>BG10</f>
        <v>115</v>
      </c>
    </row>
    <row r="11" spans="1:69" ht="15.75" thickBot="1" x14ac:dyDescent="0.3">
      <c r="AU11" s="129"/>
      <c r="AV11" s="123">
        <v>578</v>
      </c>
      <c r="AW11" s="123"/>
      <c r="AX11" s="123">
        <v>2</v>
      </c>
      <c r="AY11" s="123">
        <v>200</v>
      </c>
      <c r="AZ11" s="123">
        <v>134</v>
      </c>
      <c r="BA11" s="123">
        <v>0.67100000000000004</v>
      </c>
      <c r="BB11" s="130">
        <v>43</v>
      </c>
      <c r="BC11" s="155"/>
      <c r="BF11">
        <v>4</v>
      </c>
      <c r="BG11">
        <f>AZ17</f>
        <v>95</v>
      </c>
      <c r="BP11">
        <v>200</v>
      </c>
      <c r="BQ11">
        <f>BG13</f>
        <v>134</v>
      </c>
    </row>
    <row r="12" spans="1:69" ht="15.75" thickBot="1" x14ac:dyDescent="0.3">
      <c r="AU12" s="129"/>
      <c r="AV12" s="123" t="s">
        <v>297</v>
      </c>
      <c r="AW12" s="123"/>
      <c r="AX12" s="123">
        <v>2</v>
      </c>
      <c r="AY12" s="123">
        <v>150</v>
      </c>
      <c r="AZ12" s="123">
        <v>115</v>
      </c>
      <c r="BA12" s="123">
        <v>0.76400000000000001</v>
      </c>
      <c r="BB12" s="130">
        <v>29</v>
      </c>
      <c r="BC12" s="155"/>
      <c r="BE12">
        <v>200</v>
      </c>
      <c r="BF12">
        <v>0</v>
      </c>
      <c r="BG12">
        <f>AZ6</f>
        <v>141</v>
      </c>
      <c r="BP12">
        <v>250</v>
      </c>
      <c r="BQ12">
        <f>BG16</f>
        <v>145</v>
      </c>
    </row>
    <row r="13" spans="1:69" ht="15.75" thickBot="1" x14ac:dyDescent="0.3">
      <c r="AU13" s="129"/>
      <c r="AV13" s="123" t="s">
        <v>297</v>
      </c>
      <c r="AW13" s="123"/>
      <c r="AX13" s="123">
        <v>2</v>
      </c>
      <c r="AY13" s="123">
        <v>50</v>
      </c>
      <c r="AZ13" s="123">
        <v>61</v>
      </c>
      <c r="BA13" s="123">
        <v>1.2290000000000001</v>
      </c>
      <c r="BB13" s="130">
        <v>0</v>
      </c>
      <c r="BC13" s="155"/>
      <c r="BF13">
        <v>2</v>
      </c>
      <c r="BG13">
        <f>AZ11</f>
        <v>134</v>
      </c>
      <c r="BO13">
        <v>4</v>
      </c>
      <c r="BP13">
        <v>50</v>
      </c>
      <c r="BQ13">
        <f>BG5</f>
        <v>46</v>
      </c>
    </row>
    <row r="14" spans="1:69" ht="15.75" thickBot="1" x14ac:dyDescent="0.3">
      <c r="AU14" s="129"/>
      <c r="AV14" s="123" t="s">
        <v>297</v>
      </c>
      <c r="AW14" s="123"/>
      <c r="AX14" s="123">
        <v>2</v>
      </c>
      <c r="AY14" s="123">
        <v>250</v>
      </c>
      <c r="AZ14" s="123">
        <v>145</v>
      </c>
      <c r="BA14" s="123">
        <v>0.58099999999999996</v>
      </c>
      <c r="BB14" s="130">
        <v>55</v>
      </c>
      <c r="BC14" s="155"/>
      <c r="BF14">
        <v>4</v>
      </c>
      <c r="BG14">
        <f>AZ16</f>
        <v>116</v>
      </c>
      <c r="BP14">
        <v>100</v>
      </c>
      <c r="BQ14">
        <f>BG8</f>
        <v>74</v>
      </c>
    </row>
    <row r="15" spans="1:69" ht="15.75" thickBot="1" x14ac:dyDescent="0.3">
      <c r="AU15" s="129"/>
      <c r="AV15" s="123" t="s">
        <v>297</v>
      </c>
      <c r="AW15" s="123"/>
      <c r="AX15" s="123">
        <v>2</v>
      </c>
      <c r="AY15" s="123">
        <v>100</v>
      </c>
      <c r="AZ15" s="123">
        <v>90</v>
      </c>
      <c r="BA15" s="123">
        <v>0.90500000000000003</v>
      </c>
      <c r="BB15" s="130">
        <v>13</v>
      </c>
      <c r="BC15" s="155"/>
      <c r="BE15">
        <v>250</v>
      </c>
      <c r="BF15">
        <v>0</v>
      </c>
      <c r="BG15">
        <f>AVERAGE(AZ5,AZ9)</f>
        <v>153.5</v>
      </c>
      <c r="BP15">
        <v>150</v>
      </c>
      <c r="BQ15">
        <f>BG11</f>
        <v>95</v>
      </c>
    </row>
    <row r="16" spans="1:69" ht="15.75" thickBot="1" x14ac:dyDescent="0.3">
      <c r="AU16" s="129"/>
      <c r="AV16" s="123">
        <v>500</v>
      </c>
      <c r="AW16" s="123"/>
      <c r="AX16" s="123">
        <v>4</v>
      </c>
      <c r="AY16" s="123">
        <v>200</v>
      </c>
      <c r="AZ16" s="123">
        <v>116</v>
      </c>
      <c r="BA16" s="123">
        <v>0.57999999999999996</v>
      </c>
      <c r="BB16" s="130">
        <v>62</v>
      </c>
      <c r="BC16" s="155"/>
      <c r="BF16">
        <v>2</v>
      </c>
      <c r="BG16">
        <f>AZ14</f>
        <v>145</v>
      </c>
      <c r="BP16">
        <v>200</v>
      </c>
      <c r="BQ16">
        <f>BG14</f>
        <v>116</v>
      </c>
    </row>
    <row r="17" spans="1:69" ht="15.75" thickBot="1" x14ac:dyDescent="0.3">
      <c r="V17" t="s">
        <v>23</v>
      </c>
      <c r="AB17" t="s">
        <v>23</v>
      </c>
      <c r="AH17" t="s">
        <v>23</v>
      </c>
      <c r="AN17" t="s">
        <v>23</v>
      </c>
      <c r="AU17" s="129"/>
      <c r="AV17" s="123" t="s">
        <v>297</v>
      </c>
      <c r="AW17" s="123"/>
      <c r="AX17" s="123">
        <v>4</v>
      </c>
      <c r="AY17" s="123">
        <v>150</v>
      </c>
      <c r="AZ17" s="123">
        <v>95</v>
      </c>
      <c r="BA17" s="123">
        <v>0.63300000000000001</v>
      </c>
      <c r="BB17" s="130">
        <v>39</v>
      </c>
      <c r="BC17" s="155"/>
      <c r="BF17">
        <v>4</v>
      </c>
      <c r="BG17">
        <f>AZ19</f>
        <v>132</v>
      </c>
      <c r="BP17">
        <v>250</v>
      </c>
      <c r="BQ17">
        <f>BG17</f>
        <v>132</v>
      </c>
    </row>
    <row r="18" spans="1:69" ht="15.75" thickBot="1" x14ac:dyDescent="0.3">
      <c r="AU18" s="129"/>
      <c r="AV18" s="123" t="s">
        <v>297</v>
      </c>
      <c r="AW18" s="123"/>
      <c r="AX18" s="123">
        <v>4</v>
      </c>
      <c r="AY18" s="123">
        <v>50</v>
      </c>
      <c r="AZ18" s="123">
        <v>46</v>
      </c>
      <c r="BA18" s="123">
        <v>0.92100000000000004</v>
      </c>
      <c r="BB18" s="130">
        <v>1</v>
      </c>
      <c r="BC18" s="155"/>
    </row>
    <row r="19" spans="1:69" ht="15.75" thickBot="1" x14ac:dyDescent="0.3">
      <c r="AU19" s="129"/>
      <c r="AV19" s="123" t="s">
        <v>297</v>
      </c>
      <c r="AW19" s="123"/>
      <c r="AX19" s="123">
        <v>4</v>
      </c>
      <c r="AY19" s="123">
        <v>250</v>
      </c>
      <c r="AZ19" s="123">
        <v>132</v>
      </c>
      <c r="BA19" s="123">
        <v>0.52900000000000003</v>
      </c>
      <c r="BB19" s="130">
        <v>84</v>
      </c>
      <c r="BC19" s="155"/>
      <c r="BD19" s="156" t="s">
        <v>299</v>
      </c>
      <c r="BE19">
        <v>50</v>
      </c>
      <c r="BF19">
        <v>0</v>
      </c>
      <c r="BG19">
        <f>AZ24</f>
        <v>75</v>
      </c>
      <c r="BN19" s="156" t="s">
        <v>299</v>
      </c>
      <c r="BO19">
        <v>0</v>
      </c>
      <c r="BP19">
        <v>50</v>
      </c>
      <c r="BQ19">
        <f>BG19</f>
        <v>75</v>
      </c>
    </row>
    <row r="20" spans="1:69" ht="15.75" thickBot="1" x14ac:dyDescent="0.3">
      <c r="AU20" s="129"/>
      <c r="AV20" s="123" t="s">
        <v>297</v>
      </c>
      <c r="AW20" s="123"/>
      <c r="AX20" s="123">
        <v>4</v>
      </c>
      <c r="AY20" s="123">
        <v>100</v>
      </c>
      <c r="AZ20" s="123">
        <v>74</v>
      </c>
      <c r="BA20" s="123">
        <v>0.73799999999999999</v>
      </c>
      <c r="BB20" s="130">
        <v>18</v>
      </c>
      <c r="BC20" s="155"/>
      <c r="BF20">
        <v>2</v>
      </c>
      <c r="BG20">
        <f>AZ29</f>
        <v>60</v>
      </c>
      <c r="BP20">
        <v>100</v>
      </c>
      <c r="BQ20">
        <f>BG22</f>
        <v>104</v>
      </c>
    </row>
    <row r="21" spans="1:69" ht="15.75" thickBot="1" x14ac:dyDescent="0.3">
      <c r="AU21" s="129"/>
      <c r="AV21" s="123">
        <v>579</v>
      </c>
      <c r="AW21" s="123">
        <v>10</v>
      </c>
      <c r="AX21" s="123">
        <v>0</v>
      </c>
      <c r="AY21" s="123">
        <v>250</v>
      </c>
      <c r="AZ21" s="123">
        <v>149</v>
      </c>
      <c r="BA21" s="123">
        <v>0.59599999999999997</v>
      </c>
      <c r="BB21" s="130">
        <v>5</v>
      </c>
      <c r="BC21" s="155"/>
      <c r="BF21">
        <v>4</v>
      </c>
      <c r="BG21">
        <f>AZ34</f>
        <v>45</v>
      </c>
      <c r="BP21">
        <v>150</v>
      </c>
      <c r="BQ21">
        <f>BG25</f>
        <v>125</v>
      </c>
    </row>
    <row r="22" spans="1:69" ht="15.75" thickBot="1" x14ac:dyDescent="0.3">
      <c r="A22" s="115" t="s">
        <v>133</v>
      </c>
      <c r="K22" s="115" t="s">
        <v>137</v>
      </c>
      <c r="AU22" s="129"/>
      <c r="AV22" s="123" t="s">
        <v>297</v>
      </c>
      <c r="AW22" s="123"/>
      <c r="AX22" s="123">
        <v>0</v>
      </c>
      <c r="AY22" s="123">
        <v>200</v>
      </c>
      <c r="AZ22" s="123">
        <v>139</v>
      </c>
      <c r="BA22" s="123">
        <v>0.69499999999999995</v>
      </c>
      <c r="BB22" s="130">
        <v>9</v>
      </c>
      <c r="BC22" s="155"/>
      <c r="BE22">
        <v>100</v>
      </c>
      <c r="BF22">
        <v>0</v>
      </c>
      <c r="BG22">
        <f>AZ26</f>
        <v>104</v>
      </c>
      <c r="BP22">
        <v>200</v>
      </c>
      <c r="BQ22">
        <f>BG28</f>
        <v>139</v>
      </c>
    </row>
    <row r="23" spans="1:69" ht="15.75" thickBot="1" x14ac:dyDescent="0.3">
      <c r="AU23" s="129"/>
      <c r="AV23" s="123" t="s">
        <v>297</v>
      </c>
      <c r="AW23" s="123"/>
      <c r="AX23" s="123">
        <v>0</v>
      </c>
      <c r="AY23" s="123">
        <v>150</v>
      </c>
      <c r="AZ23" s="123">
        <v>125</v>
      </c>
      <c r="BA23" s="123">
        <v>0.83399999999999996</v>
      </c>
      <c r="BB23" s="130">
        <v>10</v>
      </c>
      <c r="BC23" s="155"/>
      <c r="BF23">
        <v>2</v>
      </c>
      <c r="BG23">
        <f>AZ31</f>
        <v>91</v>
      </c>
      <c r="BP23">
        <v>250</v>
      </c>
      <c r="BQ23">
        <f>BG31</f>
        <v>147</v>
      </c>
    </row>
    <row r="24" spans="1:69" ht="15.75" thickBot="1" x14ac:dyDescent="0.3">
      <c r="AU24" s="129"/>
      <c r="AV24" s="123" t="s">
        <v>297</v>
      </c>
      <c r="AW24" s="123"/>
      <c r="AX24" s="123">
        <v>0</v>
      </c>
      <c r="AY24" s="123">
        <v>50</v>
      </c>
      <c r="AZ24" s="123">
        <v>75</v>
      </c>
      <c r="BA24" s="123">
        <v>1.49</v>
      </c>
      <c r="BB24" s="130">
        <v>4</v>
      </c>
      <c r="BC24" s="155"/>
      <c r="BF24">
        <v>4</v>
      </c>
      <c r="BG24">
        <f>AZ36</f>
        <v>74</v>
      </c>
      <c r="BO24">
        <v>2</v>
      </c>
      <c r="BP24">
        <v>50</v>
      </c>
      <c r="BQ24">
        <f>BG20</f>
        <v>60</v>
      </c>
    </row>
    <row r="25" spans="1:69" ht="15.75" thickBot="1" x14ac:dyDescent="0.3">
      <c r="AU25" s="129"/>
      <c r="AV25" s="123" t="s">
        <v>297</v>
      </c>
      <c r="AW25" s="123"/>
      <c r="AX25" s="123">
        <v>0</v>
      </c>
      <c r="AY25" s="123">
        <v>250</v>
      </c>
      <c r="AZ25" s="123">
        <v>145</v>
      </c>
      <c r="BA25" s="123">
        <v>0.57999999999999996</v>
      </c>
      <c r="BB25" s="130">
        <v>8</v>
      </c>
      <c r="BC25" s="155"/>
      <c r="BE25">
        <v>150</v>
      </c>
      <c r="BF25">
        <v>0</v>
      </c>
      <c r="BG25">
        <f>AZ23</f>
        <v>125</v>
      </c>
      <c r="BP25">
        <v>100</v>
      </c>
      <c r="BQ25">
        <f>BG23</f>
        <v>91</v>
      </c>
    </row>
    <row r="26" spans="1:69" ht="15.75" thickBot="1" x14ac:dyDescent="0.3">
      <c r="AU26" s="129"/>
      <c r="AV26" s="123" t="s">
        <v>297</v>
      </c>
      <c r="AW26" s="123"/>
      <c r="AX26" s="123">
        <v>0</v>
      </c>
      <c r="AY26" s="123">
        <v>100</v>
      </c>
      <c r="AZ26" s="123">
        <v>104</v>
      </c>
      <c r="BA26" s="123">
        <v>1.036</v>
      </c>
      <c r="BB26" s="130">
        <v>8</v>
      </c>
      <c r="BC26" s="155"/>
      <c r="BF26">
        <v>2</v>
      </c>
      <c r="BG26">
        <f>AZ28</f>
        <v>115</v>
      </c>
      <c r="BP26">
        <v>150</v>
      </c>
      <c r="BQ26">
        <f>BG26</f>
        <v>115</v>
      </c>
    </row>
    <row r="27" spans="1:69" ht="15.75" thickBot="1" x14ac:dyDescent="0.3">
      <c r="AU27" s="129"/>
      <c r="AV27" s="123">
        <v>522</v>
      </c>
      <c r="AW27" s="123"/>
      <c r="AX27" s="123">
        <v>2</v>
      </c>
      <c r="AY27" s="123">
        <v>200</v>
      </c>
      <c r="AZ27" s="123">
        <v>132</v>
      </c>
      <c r="BA27" s="123">
        <v>0.66200000000000003</v>
      </c>
      <c r="BB27" s="130">
        <v>49</v>
      </c>
      <c r="BC27" s="155"/>
      <c r="BF27">
        <v>4</v>
      </c>
      <c r="BG27">
        <f>AZ33</f>
        <v>97</v>
      </c>
      <c r="BP27">
        <v>200</v>
      </c>
      <c r="BQ27">
        <f>BG29</f>
        <v>132</v>
      </c>
    </row>
    <row r="28" spans="1:69" ht="15.75" thickBot="1" x14ac:dyDescent="0.3">
      <c r="AU28" s="129"/>
      <c r="AV28" s="123" t="s">
        <v>297</v>
      </c>
      <c r="AW28" s="123"/>
      <c r="AX28" s="123">
        <v>2</v>
      </c>
      <c r="AY28" s="123">
        <v>150</v>
      </c>
      <c r="AZ28" s="123">
        <v>115</v>
      </c>
      <c r="BA28" s="123">
        <v>0.76400000000000001</v>
      </c>
      <c r="BB28" s="130">
        <v>37</v>
      </c>
      <c r="BC28" s="155"/>
      <c r="BE28">
        <v>200</v>
      </c>
      <c r="BF28">
        <v>0</v>
      </c>
      <c r="BG28">
        <f>AZ22</f>
        <v>139</v>
      </c>
      <c r="BP28">
        <v>250</v>
      </c>
      <c r="BQ28">
        <f>BG32</f>
        <v>139</v>
      </c>
    </row>
    <row r="29" spans="1:69" ht="15.75" thickBot="1" x14ac:dyDescent="0.3">
      <c r="AU29" s="129"/>
      <c r="AV29" s="123" t="s">
        <v>297</v>
      </c>
      <c r="AW29" s="123"/>
      <c r="AX29" s="123">
        <v>2</v>
      </c>
      <c r="AY29" s="123">
        <v>50</v>
      </c>
      <c r="AZ29" s="123">
        <v>60</v>
      </c>
      <c r="BA29" s="123">
        <v>1.2090000000000001</v>
      </c>
      <c r="BB29" s="130">
        <v>3</v>
      </c>
      <c r="BC29" s="155"/>
      <c r="BF29">
        <v>2</v>
      </c>
      <c r="BG29">
        <f>AZ27</f>
        <v>132</v>
      </c>
      <c r="BO29">
        <v>4</v>
      </c>
      <c r="BP29">
        <v>50</v>
      </c>
      <c r="BQ29">
        <f>BG21</f>
        <v>45</v>
      </c>
    </row>
    <row r="30" spans="1:69" ht="15.75" thickBot="1" x14ac:dyDescent="0.3">
      <c r="AU30" s="129"/>
      <c r="AV30" s="123" t="s">
        <v>297</v>
      </c>
      <c r="AW30" s="123"/>
      <c r="AX30" s="123">
        <v>2</v>
      </c>
      <c r="AY30" s="123">
        <v>250</v>
      </c>
      <c r="AZ30" s="123">
        <v>139</v>
      </c>
      <c r="BA30" s="123">
        <v>0.55800000000000005</v>
      </c>
      <c r="BB30" s="130">
        <v>55</v>
      </c>
      <c r="BC30" s="155"/>
      <c r="BF30">
        <v>4</v>
      </c>
      <c r="BG30">
        <f>AZ32</f>
        <v>119</v>
      </c>
      <c r="BP30">
        <v>100</v>
      </c>
      <c r="BQ30">
        <f>BG24</f>
        <v>74</v>
      </c>
    </row>
    <row r="31" spans="1:69" ht="15.75" thickBot="1" x14ac:dyDescent="0.3">
      <c r="AU31" s="129"/>
      <c r="AV31" s="123" t="s">
        <v>297</v>
      </c>
      <c r="AW31" s="123"/>
      <c r="AX31" s="123">
        <v>2</v>
      </c>
      <c r="AY31" s="123">
        <v>100</v>
      </c>
      <c r="AZ31" s="123">
        <v>91</v>
      </c>
      <c r="BA31" s="123">
        <v>0.90700000000000003</v>
      </c>
      <c r="BB31" s="130">
        <v>20</v>
      </c>
      <c r="BC31" s="155"/>
      <c r="BE31">
        <v>250</v>
      </c>
      <c r="BF31">
        <v>0</v>
      </c>
      <c r="BG31">
        <f>AVERAGE(AZ21,AZ25)</f>
        <v>147</v>
      </c>
      <c r="BP31">
        <v>150</v>
      </c>
      <c r="BQ31">
        <f>BG27</f>
        <v>97</v>
      </c>
    </row>
    <row r="32" spans="1:69" ht="15.75" thickBot="1" x14ac:dyDescent="0.3">
      <c r="V32" s="115" t="s">
        <v>133</v>
      </c>
      <c r="AB32" s="115" t="s">
        <v>135</v>
      </c>
      <c r="AH32" s="115" t="s">
        <v>138</v>
      </c>
      <c r="AN32" s="115" t="s">
        <v>141</v>
      </c>
      <c r="AU32" s="129"/>
      <c r="AV32" s="123">
        <v>451</v>
      </c>
      <c r="AW32" s="123"/>
      <c r="AX32" s="123">
        <v>4</v>
      </c>
      <c r="AY32" s="123">
        <v>200</v>
      </c>
      <c r="AZ32" s="123">
        <v>119</v>
      </c>
      <c r="BA32" s="123">
        <v>0.59699999999999998</v>
      </c>
      <c r="BB32" s="130">
        <v>74</v>
      </c>
      <c r="BC32" s="155"/>
      <c r="BF32">
        <v>2</v>
      </c>
      <c r="BG32">
        <f>AZ30</f>
        <v>139</v>
      </c>
      <c r="BP32">
        <v>200</v>
      </c>
      <c r="BQ32">
        <f>BG30</f>
        <v>119</v>
      </c>
    </row>
    <row r="33" spans="1:69" ht="15.75" thickBot="1" x14ac:dyDescent="0.3">
      <c r="V33" t="s">
        <v>22</v>
      </c>
      <c r="AB33" t="s">
        <v>22</v>
      </c>
      <c r="AH33" t="s">
        <v>22</v>
      </c>
      <c r="AN33" t="s">
        <v>22</v>
      </c>
      <c r="AU33" s="129"/>
      <c r="AV33" s="123" t="s">
        <v>297</v>
      </c>
      <c r="AW33" s="123"/>
      <c r="AX33" s="123">
        <v>4</v>
      </c>
      <c r="AY33" s="123">
        <v>150</v>
      </c>
      <c r="AZ33" s="123">
        <v>97</v>
      </c>
      <c r="BA33" s="123">
        <v>0.64600000000000002</v>
      </c>
      <c r="BB33" s="130">
        <v>49</v>
      </c>
      <c r="BC33" s="155"/>
      <c r="BF33">
        <v>4</v>
      </c>
      <c r="BG33">
        <f>AZ35</f>
        <v>132</v>
      </c>
      <c r="BP33">
        <v>250</v>
      </c>
      <c r="BQ33">
        <f>BG33</f>
        <v>132</v>
      </c>
    </row>
    <row r="34" spans="1:69" ht="15.75" thickBot="1" x14ac:dyDescent="0.3">
      <c r="AU34" s="129"/>
      <c r="AV34" s="123" t="s">
        <v>297</v>
      </c>
      <c r="AW34" s="123"/>
      <c r="AX34" s="123">
        <v>4</v>
      </c>
      <c r="AY34" s="123">
        <v>50</v>
      </c>
      <c r="AZ34" s="123">
        <v>45</v>
      </c>
      <c r="BA34" s="123">
        <v>0.89100000000000001</v>
      </c>
      <c r="BB34" s="130">
        <v>4</v>
      </c>
      <c r="BC34" s="155"/>
    </row>
    <row r="35" spans="1:69" ht="15.75" thickBot="1" x14ac:dyDescent="0.3">
      <c r="A35" s="115" t="s">
        <v>134</v>
      </c>
      <c r="K35" s="115" t="s">
        <v>138</v>
      </c>
      <c r="AU35" s="129"/>
      <c r="AV35" s="123" t="s">
        <v>297</v>
      </c>
      <c r="AW35" s="123"/>
      <c r="AX35" s="123">
        <v>4</v>
      </c>
      <c r="AY35" s="123">
        <v>250</v>
      </c>
      <c r="AZ35" s="123">
        <v>132</v>
      </c>
      <c r="BA35" s="123">
        <v>0.52800000000000002</v>
      </c>
      <c r="BB35" s="130">
        <v>93</v>
      </c>
      <c r="BC35" s="155"/>
      <c r="BD35" s="156" t="s">
        <v>300</v>
      </c>
      <c r="BE35">
        <v>50</v>
      </c>
      <c r="BF35">
        <v>0</v>
      </c>
      <c r="BG35">
        <f>AZ40</f>
        <v>66</v>
      </c>
      <c r="BN35" s="156" t="s">
        <v>300</v>
      </c>
      <c r="BO35">
        <v>0</v>
      </c>
      <c r="BP35">
        <v>50</v>
      </c>
      <c r="BQ35">
        <f>BG35</f>
        <v>66</v>
      </c>
    </row>
    <row r="36" spans="1:69" ht="15.75" thickBot="1" x14ac:dyDescent="0.3">
      <c r="AU36" s="129"/>
      <c r="AV36" s="123" t="s">
        <v>297</v>
      </c>
      <c r="AW36" s="123"/>
      <c r="AX36" s="123">
        <v>4</v>
      </c>
      <c r="AY36" s="123">
        <v>100</v>
      </c>
      <c r="AZ36" s="123">
        <v>74</v>
      </c>
      <c r="BA36" s="123">
        <v>0.73599999999999999</v>
      </c>
      <c r="BB36" s="130">
        <v>24</v>
      </c>
      <c r="BC36" s="155"/>
      <c r="BF36">
        <v>2</v>
      </c>
      <c r="BG36">
        <f>AZ45</f>
        <v>54</v>
      </c>
      <c r="BP36">
        <v>100</v>
      </c>
      <c r="BQ36">
        <f>BG38</f>
        <v>91</v>
      </c>
    </row>
    <row r="37" spans="1:69" ht="15.75" thickBot="1" x14ac:dyDescent="0.3">
      <c r="AU37" s="129"/>
      <c r="AV37" s="123">
        <v>671</v>
      </c>
      <c r="AW37" s="123">
        <v>14</v>
      </c>
      <c r="AX37" s="123">
        <v>0</v>
      </c>
      <c r="AY37" s="123">
        <v>250</v>
      </c>
      <c r="AZ37" s="123">
        <v>152</v>
      </c>
      <c r="BA37" s="123">
        <v>0.61</v>
      </c>
      <c r="BB37" s="130">
        <v>9</v>
      </c>
      <c r="BC37" s="155"/>
      <c r="BF37">
        <v>4</v>
      </c>
      <c r="BG37">
        <f>AZ50</f>
        <v>40</v>
      </c>
      <c r="BP37">
        <v>150</v>
      </c>
      <c r="BQ37">
        <f>BG41</f>
        <v>116</v>
      </c>
    </row>
    <row r="38" spans="1:69" ht="15.75" thickBot="1" x14ac:dyDescent="0.3">
      <c r="AU38" s="129"/>
      <c r="AV38" s="123" t="s">
        <v>297</v>
      </c>
      <c r="AW38" s="123"/>
      <c r="AX38" s="123">
        <v>0</v>
      </c>
      <c r="AY38" s="123">
        <v>200</v>
      </c>
      <c r="AZ38" s="123">
        <v>137</v>
      </c>
      <c r="BA38" s="123">
        <v>0.68300000000000005</v>
      </c>
      <c r="BB38" s="130">
        <v>10</v>
      </c>
      <c r="BC38" s="155"/>
      <c r="BE38">
        <v>100</v>
      </c>
      <c r="BF38">
        <v>0</v>
      </c>
      <c r="BG38">
        <f>AZ42</f>
        <v>91</v>
      </c>
      <c r="BN38">
        <v>4</v>
      </c>
      <c r="BP38">
        <v>200</v>
      </c>
      <c r="BQ38">
        <f>BG44</f>
        <v>137</v>
      </c>
    </row>
    <row r="39" spans="1:69" ht="15.75" thickBot="1" x14ac:dyDescent="0.3">
      <c r="AU39" s="129"/>
      <c r="AV39" s="123" t="s">
        <v>297</v>
      </c>
      <c r="AW39" s="123"/>
      <c r="AX39" s="123">
        <v>0</v>
      </c>
      <c r="AY39" s="123">
        <v>150</v>
      </c>
      <c r="AZ39" s="123">
        <v>116</v>
      </c>
      <c r="BA39" s="123">
        <v>0.77300000000000002</v>
      </c>
      <c r="BB39" s="130">
        <v>10</v>
      </c>
      <c r="BC39" s="155"/>
      <c r="BF39">
        <v>2</v>
      </c>
      <c r="BG39">
        <f>AZ47</f>
        <v>81</v>
      </c>
      <c r="BP39">
        <v>250</v>
      </c>
      <c r="BQ39">
        <f>BG47</f>
        <v>151</v>
      </c>
    </row>
    <row r="40" spans="1:69" ht="15.75" thickBot="1" x14ac:dyDescent="0.3">
      <c r="AU40" s="129"/>
      <c r="AV40" s="123" t="s">
        <v>297</v>
      </c>
      <c r="AW40" s="123"/>
      <c r="AX40" s="123">
        <v>0</v>
      </c>
      <c r="AY40" s="123">
        <v>50</v>
      </c>
      <c r="AZ40" s="123">
        <v>66</v>
      </c>
      <c r="BA40" s="123">
        <v>1.3129999999999999</v>
      </c>
      <c r="BB40" s="130">
        <v>3</v>
      </c>
      <c r="BC40" s="155"/>
      <c r="BF40">
        <v>4</v>
      </c>
      <c r="BG40">
        <f>AZ52</f>
        <v>66</v>
      </c>
      <c r="BO40">
        <v>2</v>
      </c>
      <c r="BP40">
        <v>50</v>
      </c>
      <c r="BQ40">
        <f>BG36</f>
        <v>54</v>
      </c>
    </row>
    <row r="41" spans="1:69" ht="15.75" thickBot="1" x14ac:dyDescent="0.3">
      <c r="AU41" s="129"/>
      <c r="AV41" s="123" t="s">
        <v>297</v>
      </c>
      <c r="AW41" s="123"/>
      <c r="AX41" s="123">
        <v>0</v>
      </c>
      <c r="AY41" s="123">
        <v>250</v>
      </c>
      <c r="AZ41" s="123">
        <v>150</v>
      </c>
      <c r="BA41" s="123">
        <v>0.60099999999999998</v>
      </c>
      <c r="BB41" s="130">
        <v>10</v>
      </c>
      <c r="BC41" s="155"/>
      <c r="BE41">
        <v>150</v>
      </c>
      <c r="BF41">
        <v>0</v>
      </c>
      <c r="BG41">
        <f>AZ39</f>
        <v>116</v>
      </c>
      <c r="BP41">
        <v>100</v>
      </c>
      <c r="BQ41">
        <f>BG39</f>
        <v>81</v>
      </c>
    </row>
    <row r="42" spans="1:69" ht="15.75" thickBot="1" x14ac:dyDescent="0.3">
      <c r="AU42" s="129"/>
      <c r="AV42" s="123" t="s">
        <v>297</v>
      </c>
      <c r="AW42" s="123"/>
      <c r="AX42" s="123">
        <v>0</v>
      </c>
      <c r="AY42" s="123">
        <v>100</v>
      </c>
      <c r="AZ42" s="123">
        <v>91</v>
      </c>
      <c r="BA42" s="123">
        <v>0.91400000000000003</v>
      </c>
      <c r="BB42" s="130">
        <v>7</v>
      </c>
      <c r="BC42" s="155"/>
      <c r="BF42">
        <v>2</v>
      </c>
      <c r="BG42">
        <f>AZ44</f>
        <v>107</v>
      </c>
      <c r="BP42">
        <v>150</v>
      </c>
      <c r="BQ42">
        <f>BG42</f>
        <v>107</v>
      </c>
    </row>
    <row r="43" spans="1:69" ht="15.75" thickBot="1" x14ac:dyDescent="0.3">
      <c r="AU43" s="129"/>
      <c r="AV43" s="123">
        <v>613</v>
      </c>
      <c r="AW43" s="123"/>
      <c r="AX43" s="123">
        <v>2</v>
      </c>
      <c r="AY43" s="123">
        <v>200</v>
      </c>
      <c r="AZ43" s="123">
        <v>128</v>
      </c>
      <c r="BA43" s="123">
        <v>0.64</v>
      </c>
      <c r="BB43" s="130">
        <v>36</v>
      </c>
      <c r="BC43" s="155"/>
      <c r="BF43">
        <v>4</v>
      </c>
      <c r="BG43">
        <f>AZ49</f>
        <v>88</v>
      </c>
      <c r="BP43">
        <v>200</v>
      </c>
      <c r="BQ43">
        <f>BG45</f>
        <v>128</v>
      </c>
    </row>
    <row r="44" spans="1:69" ht="15.75" thickBot="1" x14ac:dyDescent="0.3">
      <c r="AU44" s="129"/>
      <c r="AV44" s="123" t="s">
        <v>297</v>
      </c>
      <c r="AW44" s="123"/>
      <c r="AX44" s="123">
        <v>2</v>
      </c>
      <c r="AY44" s="123">
        <v>150</v>
      </c>
      <c r="AZ44" s="123">
        <v>107</v>
      </c>
      <c r="BA44" s="123">
        <v>0.71099999999999997</v>
      </c>
      <c r="BB44" s="130">
        <v>23</v>
      </c>
      <c r="BC44" s="155"/>
      <c r="BE44">
        <v>200</v>
      </c>
      <c r="BF44">
        <v>0</v>
      </c>
      <c r="BG44">
        <f>AZ38</f>
        <v>137</v>
      </c>
      <c r="BP44">
        <v>250</v>
      </c>
      <c r="BQ44">
        <f>BG48</f>
        <v>143</v>
      </c>
    </row>
    <row r="45" spans="1:69" ht="15.75" thickBot="1" x14ac:dyDescent="0.3">
      <c r="AU45" s="129"/>
      <c r="AV45" s="123" t="s">
        <v>297</v>
      </c>
      <c r="AW45" s="123"/>
      <c r="AX45" s="123">
        <v>2</v>
      </c>
      <c r="AY45" s="123">
        <v>50</v>
      </c>
      <c r="AZ45" s="123">
        <v>54</v>
      </c>
      <c r="BA45" s="123">
        <v>1.071</v>
      </c>
      <c r="BB45" s="130">
        <v>1</v>
      </c>
      <c r="BC45" s="155"/>
      <c r="BF45">
        <v>2</v>
      </c>
      <c r="BG45">
        <f>AZ43</f>
        <v>128</v>
      </c>
      <c r="BO45">
        <v>4</v>
      </c>
      <c r="BP45">
        <v>50</v>
      </c>
      <c r="BQ45">
        <f>BG37</f>
        <v>40</v>
      </c>
    </row>
    <row r="46" spans="1:69" ht="15.75" thickBot="1" x14ac:dyDescent="0.3">
      <c r="AU46" s="129"/>
      <c r="AV46" s="123" t="s">
        <v>297</v>
      </c>
      <c r="AW46" s="123"/>
      <c r="AX46" s="123">
        <v>2</v>
      </c>
      <c r="AY46" s="123">
        <v>250</v>
      </c>
      <c r="AZ46" s="123">
        <v>143</v>
      </c>
      <c r="BA46" s="123">
        <v>0.57299999999999995</v>
      </c>
      <c r="BB46" s="130">
        <v>48</v>
      </c>
      <c r="BC46" s="155"/>
      <c r="BF46">
        <v>4</v>
      </c>
      <c r="BG46">
        <f>AZ48</f>
        <v>110</v>
      </c>
      <c r="BP46">
        <v>100</v>
      </c>
      <c r="BQ46">
        <f>BG40</f>
        <v>66</v>
      </c>
    </row>
    <row r="47" spans="1:69" ht="15.75" thickBot="1" x14ac:dyDescent="0.3">
      <c r="V47" t="s">
        <v>23</v>
      </c>
      <c r="AB47" t="s">
        <v>23</v>
      </c>
      <c r="AH47" t="s">
        <v>23</v>
      </c>
      <c r="AN47" t="s">
        <v>23</v>
      </c>
      <c r="AU47" s="129"/>
      <c r="AV47" s="123" t="s">
        <v>297</v>
      </c>
      <c r="AW47" s="123"/>
      <c r="AX47" s="123">
        <v>2</v>
      </c>
      <c r="AY47" s="123">
        <v>100</v>
      </c>
      <c r="AZ47" s="123">
        <v>81</v>
      </c>
      <c r="BA47" s="123">
        <v>0.81499999999999995</v>
      </c>
      <c r="BB47" s="130">
        <v>10</v>
      </c>
      <c r="BC47" s="155"/>
      <c r="BE47">
        <v>250</v>
      </c>
      <c r="BF47">
        <v>0</v>
      </c>
      <c r="BG47">
        <f>AVERAGE(AZ37,AZ41)</f>
        <v>151</v>
      </c>
      <c r="BP47">
        <v>150</v>
      </c>
      <c r="BQ47">
        <f>BG43</f>
        <v>88</v>
      </c>
    </row>
    <row r="48" spans="1:69" ht="15.75" thickBot="1" x14ac:dyDescent="0.3">
      <c r="A48" s="115" t="s">
        <v>135</v>
      </c>
      <c r="K48" s="115" t="s">
        <v>139</v>
      </c>
      <c r="AU48" s="129"/>
      <c r="AV48" s="123">
        <v>533</v>
      </c>
      <c r="AW48" s="123"/>
      <c r="AX48" s="123">
        <v>4</v>
      </c>
      <c r="AY48" s="123">
        <v>200</v>
      </c>
      <c r="AZ48" s="123">
        <v>110</v>
      </c>
      <c r="BA48" s="123">
        <v>0.55100000000000005</v>
      </c>
      <c r="BB48" s="130">
        <v>51</v>
      </c>
      <c r="BC48" s="155"/>
      <c r="BF48">
        <v>2</v>
      </c>
      <c r="BG48">
        <f>AZ46</f>
        <v>143</v>
      </c>
      <c r="BP48">
        <v>200</v>
      </c>
      <c r="BQ48">
        <f>BG46</f>
        <v>110</v>
      </c>
    </row>
    <row r="49" spans="11:69" ht="15.75" thickBot="1" x14ac:dyDescent="0.3">
      <c r="AU49" s="129"/>
      <c r="AV49" s="123" t="s">
        <v>297</v>
      </c>
      <c r="AW49" s="123"/>
      <c r="AX49" s="123">
        <v>4</v>
      </c>
      <c r="AY49" s="123">
        <v>150</v>
      </c>
      <c r="AZ49" s="123">
        <v>88</v>
      </c>
      <c r="BA49" s="123">
        <v>0.58799999999999997</v>
      </c>
      <c r="BB49" s="130">
        <v>31</v>
      </c>
      <c r="BC49" s="155"/>
      <c r="BF49">
        <v>4</v>
      </c>
      <c r="BG49">
        <f>AZ51</f>
        <v>127</v>
      </c>
      <c r="BP49">
        <v>250</v>
      </c>
      <c r="BQ49">
        <f>BG49</f>
        <v>127</v>
      </c>
    </row>
    <row r="50" spans="11:69" ht="15.75" thickBot="1" x14ac:dyDescent="0.3">
      <c r="AU50" s="129"/>
      <c r="AV50" s="123" t="s">
        <v>297</v>
      </c>
      <c r="AW50" s="123"/>
      <c r="AX50" s="123">
        <v>4</v>
      </c>
      <c r="AY50" s="123">
        <v>50</v>
      </c>
      <c r="AZ50" s="123">
        <v>40</v>
      </c>
      <c r="BA50" s="123">
        <v>0.79800000000000004</v>
      </c>
      <c r="BB50" s="130">
        <v>1</v>
      </c>
      <c r="BC50" s="155"/>
    </row>
    <row r="51" spans="11:69" ht="15.75" thickBot="1" x14ac:dyDescent="0.3">
      <c r="AU51" s="129"/>
      <c r="AV51" s="123" t="s">
        <v>297</v>
      </c>
      <c r="AW51" s="123"/>
      <c r="AX51" s="123">
        <v>4</v>
      </c>
      <c r="AY51" s="123">
        <v>250</v>
      </c>
      <c r="AZ51" s="123">
        <v>127</v>
      </c>
      <c r="BA51" s="123">
        <v>0.51</v>
      </c>
      <c r="BB51" s="130">
        <v>72</v>
      </c>
      <c r="BC51" s="155"/>
    </row>
    <row r="52" spans="11:69" x14ac:dyDescent="0.25">
      <c r="AU52" s="157"/>
      <c r="AV52" s="158" t="s">
        <v>297</v>
      </c>
      <c r="AW52" s="158"/>
      <c r="AX52" s="158">
        <v>4</v>
      </c>
      <c r="AY52" s="158">
        <v>100</v>
      </c>
      <c r="AZ52" s="158">
        <v>66</v>
      </c>
      <c r="BA52" s="158">
        <v>0.66500000000000004</v>
      </c>
      <c r="BB52" s="159">
        <v>14</v>
      </c>
      <c r="BC52" s="155"/>
    </row>
    <row r="53" spans="11:69" x14ac:dyDescent="0.25">
      <c r="AU53" s="155"/>
      <c r="AV53" s="155"/>
      <c r="AW53" s="155"/>
      <c r="AX53" s="155"/>
      <c r="AY53" s="155"/>
      <c r="AZ53" s="155"/>
      <c r="BA53" s="155"/>
      <c r="BB53" s="155"/>
      <c r="BC53" s="155"/>
    </row>
    <row r="54" spans="11:69" x14ac:dyDescent="0.25">
      <c r="AU54" s="155"/>
      <c r="AV54" s="155"/>
      <c r="AW54" s="155"/>
      <c r="AX54" s="155"/>
      <c r="AY54" s="155"/>
      <c r="AZ54" s="155"/>
      <c r="BA54" s="155"/>
      <c r="BB54" s="155"/>
      <c r="BC54" s="155"/>
    </row>
    <row r="55" spans="11:69" ht="15.75" thickBot="1" x14ac:dyDescent="0.3">
      <c r="AT55" t="s">
        <v>302</v>
      </c>
      <c r="AU55" s="160" t="s">
        <v>298</v>
      </c>
      <c r="AV55" s="161">
        <v>499</v>
      </c>
      <c r="AW55" s="161">
        <v>8</v>
      </c>
      <c r="AX55" s="161">
        <v>0</v>
      </c>
      <c r="AY55" s="161">
        <v>250</v>
      </c>
      <c r="AZ55" s="161">
        <v>134</v>
      </c>
      <c r="BA55" s="161">
        <v>0.53800000000000003</v>
      </c>
      <c r="BB55" s="162">
        <v>9</v>
      </c>
      <c r="BC55" s="155"/>
    </row>
    <row r="56" spans="11:69" ht="15.75" thickBot="1" x14ac:dyDescent="0.3">
      <c r="AU56" s="129"/>
      <c r="AV56" s="123" t="s">
        <v>297</v>
      </c>
      <c r="AW56" s="123"/>
      <c r="AX56" s="123">
        <v>0</v>
      </c>
      <c r="AY56" s="123">
        <v>200</v>
      </c>
      <c r="AZ56" s="123">
        <v>127</v>
      </c>
      <c r="BA56" s="123">
        <v>0.63700000000000001</v>
      </c>
      <c r="BB56" s="130">
        <v>9</v>
      </c>
      <c r="BC56" s="155"/>
    </row>
    <row r="57" spans="11:69" ht="15.75" thickBot="1" x14ac:dyDescent="0.3">
      <c r="AU57" s="129"/>
      <c r="AV57" s="123" t="s">
        <v>297</v>
      </c>
      <c r="AW57" s="123"/>
      <c r="AX57" s="123">
        <v>0</v>
      </c>
      <c r="AY57" s="123">
        <v>150</v>
      </c>
      <c r="AZ57" s="123">
        <v>116</v>
      </c>
      <c r="BA57" s="123">
        <v>0.77100000000000002</v>
      </c>
      <c r="BB57" s="130">
        <v>10</v>
      </c>
      <c r="BC57" s="155"/>
    </row>
    <row r="58" spans="11:69" ht="15.75" thickBot="1" x14ac:dyDescent="0.3">
      <c r="AU58" s="129"/>
      <c r="AV58" s="123" t="s">
        <v>297</v>
      </c>
      <c r="AW58" s="123"/>
      <c r="AX58" s="123">
        <v>0</v>
      </c>
      <c r="AY58" s="123">
        <v>50</v>
      </c>
      <c r="AZ58" s="123">
        <v>73</v>
      </c>
      <c r="BA58" s="123">
        <v>1.45</v>
      </c>
      <c r="BB58" s="130">
        <v>6</v>
      </c>
      <c r="BC58" s="155"/>
    </row>
    <row r="59" spans="11:69" ht="15.75" thickBot="1" x14ac:dyDescent="0.3">
      <c r="AU59" s="129"/>
      <c r="AV59" s="123" t="s">
        <v>297</v>
      </c>
      <c r="AW59" s="123"/>
      <c r="AX59" s="123">
        <v>0</v>
      </c>
      <c r="AY59" s="123">
        <v>250</v>
      </c>
      <c r="AZ59" s="123">
        <v>130</v>
      </c>
      <c r="BA59" s="123">
        <v>0.52100000000000002</v>
      </c>
      <c r="BB59" s="130">
        <v>7</v>
      </c>
      <c r="BC59" s="155"/>
    </row>
    <row r="60" spans="11:69" ht="15.75" thickBot="1" x14ac:dyDescent="0.3">
      <c r="AU60" s="129"/>
      <c r="AV60" s="123" t="s">
        <v>297</v>
      </c>
      <c r="AW60" s="123"/>
      <c r="AX60" s="123">
        <v>0</v>
      </c>
      <c r="AY60" s="123">
        <v>100</v>
      </c>
      <c r="AZ60" s="123">
        <v>99</v>
      </c>
      <c r="BA60" s="123">
        <v>0.99399999999999999</v>
      </c>
      <c r="BB60" s="130">
        <v>10</v>
      </c>
      <c r="BC60" s="155"/>
    </row>
    <row r="61" spans="11:69" ht="15.75" thickBot="1" x14ac:dyDescent="0.3">
      <c r="K61" s="115" t="s">
        <v>140</v>
      </c>
      <c r="AU61" s="129"/>
      <c r="AV61" s="123">
        <v>459</v>
      </c>
      <c r="AW61" s="123"/>
      <c r="AX61" s="123">
        <v>2</v>
      </c>
      <c r="AY61" s="123">
        <v>200</v>
      </c>
      <c r="AZ61" s="123">
        <v>124</v>
      </c>
      <c r="BA61" s="123">
        <v>0.61899999999999999</v>
      </c>
      <c r="BB61" s="130">
        <v>50</v>
      </c>
      <c r="BC61" s="155"/>
    </row>
    <row r="62" spans="11:69" ht="15.75" thickBot="1" x14ac:dyDescent="0.3">
      <c r="AU62" s="129"/>
      <c r="AV62" s="123" t="s">
        <v>297</v>
      </c>
      <c r="AW62" s="123"/>
      <c r="AX62" s="123">
        <v>2</v>
      </c>
      <c r="AY62" s="123">
        <v>150</v>
      </c>
      <c r="AZ62" s="123">
        <v>111</v>
      </c>
      <c r="BA62" s="123">
        <v>0.74</v>
      </c>
      <c r="BB62" s="130">
        <v>41</v>
      </c>
      <c r="BC62" s="155"/>
    </row>
    <row r="63" spans="11:69" ht="15.75" thickBot="1" x14ac:dyDescent="0.3">
      <c r="AU63" s="129"/>
      <c r="AV63" s="123" t="s">
        <v>297</v>
      </c>
      <c r="AW63" s="123"/>
      <c r="AX63" s="123">
        <v>2</v>
      </c>
      <c r="AY63" s="123">
        <v>50</v>
      </c>
      <c r="AZ63" s="123">
        <v>58</v>
      </c>
      <c r="BA63" s="123">
        <v>1.169</v>
      </c>
      <c r="BB63" s="130">
        <v>7</v>
      </c>
      <c r="BC63" s="155"/>
    </row>
    <row r="64" spans="11:69" ht="15.75" thickBot="1" x14ac:dyDescent="0.3">
      <c r="AU64" s="129"/>
      <c r="AV64" s="123" t="s">
        <v>297</v>
      </c>
      <c r="AW64" s="123"/>
      <c r="AX64" s="123">
        <v>2</v>
      </c>
      <c r="AY64" s="123">
        <v>250</v>
      </c>
      <c r="AZ64" s="123">
        <v>127</v>
      </c>
      <c r="BA64" s="123">
        <v>0.50600000000000001</v>
      </c>
      <c r="BB64" s="130">
        <v>53</v>
      </c>
      <c r="BC64" s="155"/>
    </row>
    <row r="65" spans="11:55" ht="15.75" thickBot="1" x14ac:dyDescent="0.3">
      <c r="AU65" s="129"/>
      <c r="AV65" s="123" t="s">
        <v>297</v>
      </c>
      <c r="AW65" s="123"/>
      <c r="AX65" s="123">
        <v>2</v>
      </c>
      <c r="AY65" s="123">
        <v>100</v>
      </c>
      <c r="AZ65" s="123">
        <v>90</v>
      </c>
      <c r="BA65" s="123">
        <v>0.89700000000000002</v>
      </c>
      <c r="BB65" s="130">
        <v>26</v>
      </c>
      <c r="BC65" s="155"/>
    </row>
    <row r="66" spans="11:55" ht="15.75" thickBot="1" x14ac:dyDescent="0.3">
      <c r="AU66" s="129"/>
      <c r="AV66" s="123">
        <v>399</v>
      </c>
      <c r="AW66" s="123"/>
      <c r="AX66" s="123">
        <v>4</v>
      </c>
      <c r="AY66" s="123">
        <v>200</v>
      </c>
      <c r="AZ66" s="123">
        <v>115</v>
      </c>
      <c r="BA66" s="123">
        <v>0.57599999999999996</v>
      </c>
      <c r="BB66" s="130">
        <v>81</v>
      </c>
      <c r="BC66" s="155"/>
    </row>
    <row r="67" spans="11:55" ht="15.75" thickBot="1" x14ac:dyDescent="0.3">
      <c r="AU67" s="129"/>
      <c r="AV67" s="123" t="s">
        <v>297</v>
      </c>
      <c r="AW67" s="123"/>
      <c r="AX67" s="123">
        <v>4</v>
      </c>
      <c r="AY67" s="123">
        <v>150</v>
      </c>
      <c r="AZ67" s="123">
        <v>99</v>
      </c>
      <c r="BA67" s="123">
        <v>0.66100000000000003</v>
      </c>
      <c r="BB67" s="130">
        <v>59</v>
      </c>
      <c r="BC67" s="155"/>
    </row>
    <row r="68" spans="11:55" ht="15.75" thickBot="1" x14ac:dyDescent="0.3">
      <c r="AU68" s="129"/>
      <c r="AV68" s="123" t="s">
        <v>297</v>
      </c>
      <c r="AW68" s="123"/>
      <c r="AX68" s="123">
        <v>4</v>
      </c>
      <c r="AY68" s="123">
        <v>50</v>
      </c>
      <c r="AZ68" s="123">
        <v>42</v>
      </c>
      <c r="BA68" s="123">
        <v>0.85</v>
      </c>
      <c r="BB68" s="130">
        <v>7</v>
      </c>
      <c r="BC68" s="155"/>
    </row>
    <row r="69" spans="11:55" ht="15.75" thickBot="1" x14ac:dyDescent="0.3">
      <c r="AU69" s="129"/>
      <c r="AV69" s="123" t="s">
        <v>297</v>
      </c>
      <c r="AW69" s="123"/>
      <c r="AX69" s="123">
        <v>4</v>
      </c>
      <c r="AY69" s="123">
        <v>250</v>
      </c>
      <c r="AZ69" s="123">
        <v>118</v>
      </c>
      <c r="BA69" s="123">
        <v>0.47399999999999998</v>
      </c>
      <c r="BB69" s="130">
        <v>93</v>
      </c>
      <c r="BC69" s="155"/>
    </row>
    <row r="70" spans="11:55" ht="15.75" thickBot="1" x14ac:dyDescent="0.3">
      <c r="AU70" s="129"/>
      <c r="AV70" s="123" t="s">
        <v>297</v>
      </c>
      <c r="AW70" s="123"/>
      <c r="AX70" s="123">
        <v>4</v>
      </c>
      <c r="AY70" s="123">
        <v>100</v>
      </c>
      <c r="AZ70" s="123">
        <v>73</v>
      </c>
      <c r="BA70" s="123">
        <v>0.73</v>
      </c>
      <c r="BB70" s="130">
        <v>30</v>
      </c>
      <c r="BC70" s="155"/>
    </row>
    <row r="71" spans="11:55" ht="15.75" thickBot="1" x14ac:dyDescent="0.3">
      <c r="AU71" s="129"/>
      <c r="AV71" s="123">
        <v>617</v>
      </c>
      <c r="AW71" s="123">
        <v>12</v>
      </c>
      <c r="AX71" s="123">
        <v>0</v>
      </c>
      <c r="AY71" s="123">
        <v>250</v>
      </c>
      <c r="AZ71" s="123">
        <v>146</v>
      </c>
      <c r="BA71" s="123">
        <v>0.58499999999999996</v>
      </c>
      <c r="BB71" s="130">
        <v>8</v>
      </c>
      <c r="BC71" s="155"/>
    </row>
    <row r="72" spans="11:55" ht="15.75" thickBot="1" x14ac:dyDescent="0.3">
      <c r="AU72" s="129"/>
      <c r="AV72" s="123" t="s">
        <v>297</v>
      </c>
      <c r="AW72" s="123"/>
      <c r="AX72" s="123">
        <v>0</v>
      </c>
      <c r="AY72" s="123">
        <v>200</v>
      </c>
      <c r="AZ72" s="123">
        <v>134</v>
      </c>
      <c r="BA72" s="123">
        <v>0.66800000000000004</v>
      </c>
      <c r="BB72" s="130">
        <v>11</v>
      </c>
      <c r="BC72" s="155"/>
    </row>
    <row r="73" spans="11:55" ht="15.75" thickBot="1" x14ac:dyDescent="0.3">
      <c r="AU73" s="129"/>
      <c r="AV73" s="123" t="s">
        <v>297</v>
      </c>
      <c r="AW73" s="123"/>
      <c r="AX73" s="123">
        <v>0</v>
      </c>
      <c r="AY73" s="123">
        <v>150</v>
      </c>
      <c r="AZ73" s="123">
        <v>115</v>
      </c>
      <c r="BA73" s="123">
        <v>0.76700000000000002</v>
      </c>
      <c r="BB73" s="130">
        <v>11</v>
      </c>
      <c r="BC73" s="155"/>
    </row>
    <row r="74" spans="11:55" ht="15.75" thickBot="1" x14ac:dyDescent="0.3">
      <c r="K74" s="115" t="s">
        <v>141</v>
      </c>
      <c r="AU74" s="129"/>
      <c r="AV74" s="123" t="s">
        <v>297</v>
      </c>
      <c r="AW74" s="123"/>
      <c r="AX74" s="123">
        <v>0</v>
      </c>
      <c r="AY74" s="123">
        <v>50</v>
      </c>
      <c r="AZ74" s="123">
        <v>66</v>
      </c>
      <c r="BA74" s="123">
        <v>1.3260000000000001</v>
      </c>
      <c r="BB74" s="130">
        <v>5</v>
      </c>
      <c r="BC74" s="155"/>
    </row>
    <row r="75" spans="11:55" ht="15.75" thickBot="1" x14ac:dyDescent="0.3">
      <c r="AU75" s="129"/>
      <c r="AV75" s="123" t="s">
        <v>297</v>
      </c>
      <c r="AW75" s="123"/>
      <c r="AX75" s="123">
        <v>0</v>
      </c>
      <c r="AY75" s="123">
        <v>250</v>
      </c>
      <c r="AZ75" s="123">
        <v>145</v>
      </c>
      <c r="BA75" s="123">
        <v>0.57899999999999996</v>
      </c>
      <c r="BB75" s="130">
        <v>10</v>
      </c>
      <c r="BC75" s="155"/>
    </row>
    <row r="76" spans="11:55" ht="15.75" thickBot="1" x14ac:dyDescent="0.3">
      <c r="AU76" s="129"/>
      <c r="AV76" s="123" t="s">
        <v>297</v>
      </c>
      <c r="AW76" s="123"/>
      <c r="AX76" s="123">
        <v>0</v>
      </c>
      <c r="AY76" s="123">
        <v>100</v>
      </c>
      <c r="AZ76" s="123">
        <v>92</v>
      </c>
      <c r="BA76" s="123">
        <v>0.92</v>
      </c>
      <c r="BB76" s="130">
        <v>9</v>
      </c>
      <c r="BC76" s="155"/>
    </row>
    <row r="77" spans="11:55" ht="15.75" thickBot="1" x14ac:dyDescent="0.3">
      <c r="AU77" s="129"/>
      <c r="AV77" s="123">
        <v>570</v>
      </c>
      <c r="AW77" s="123"/>
      <c r="AX77" s="123">
        <v>2</v>
      </c>
      <c r="AY77" s="123">
        <v>200</v>
      </c>
      <c r="AZ77" s="123">
        <v>126</v>
      </c>
      <c r="BA77" s="123">
        <v>0.628</v>
      </c>
      <c r="BB77" s="130">
        <v>41</v>
      </c>
      <c r="BC77" s="155"/>
    </row>
    <row r="78" spans="11:55" ht="15.75" thickBot="1" x14ac:dyDescent="0.3">
      <c r="AU78" s="129"/>
      <c r="AV78" s="123" t="s">
        <v>297</v>
      </c>
      <c r="AW78" s="123"/>
      <c r="AX78" s="123">
        <v>2</v>
      </c>
      <c r="AY78" s="123">
        <v>150</v>
      </c>
      <c r="AZ78" s="123">
        <v>107</v>
      </c>
      <c r="BA78" s="123">
        <v>0.71099999999999997</v>
      </c>
      <c r="BB78" s="130">
        <v>29</v>
      </c>
      <c r="BC78" s="155"/>
    </row>
    <row r="79" spans="11:55" ht="15.75" thickBot="1" x14ac:dyDescent="0.3">
      <c r="AU79" s="129"/>
      <c r="AV79" s="123" t="s">
        <v>297</v>
      </c>
      <c r="AW79" s="123"/>
      <c r="AX79" s="123">
        <v>2</v>
      </c>
      <c r="AY79" s="123">
        <v>50</v>
      </c>
      <c r="AZ79" s="123">
        <v>54</v>
      </c>
      <c r="BA79" s="123">
        <v>1.0880000000000001</v>
      </c>
      <c r="BB79" s="130">
        <v>3</v>
      </c>
      <c r="BC79" s="155"/>
    </row>
    <row r="80" spans="11:55" ht="15.75" thickBot="1" x14ac:dyDescent="0.3">
      <c r="AU80" s="129"/>
      <c r="AV80" s="123" t="s">
        <v>297</v>
      </c>
      <c r="AW80" s="123"/>
      <c r="AX80" s="123">
        <v>2</v>
      </c>
      <c r="AY80" s="123">
        <v>250</v>
      </c>
      <c r="AZ80" s="123">
        <v>139</v>
      </c>
      <c r="BA80" s="123">
        <v>0.55500000000000005</v>
      </c>
      <c r="BB80" s="130">
        <v>49</v>
      </c>
      <c r="BC80" s="155"/>
    </row>
    <row r="81" spans="1:55" ht="15.75" thickBot="1" x14ac:dyDescent="0.3">
      <c r="AU81" s="129"/>
      <c r="AV81" s="123" t="s">
        <v>297</v>
      </c>
      <c r="AW81" s="123"/>
      <c r="AX81" s="123">
        <v>2</v>
      </c>
      <c r="AY81" s="123">
        <v>100</v>
      </c>
      <c r="AZ81" s="123">
        <v>82</v>
      </c>
      <c r="BA81" s="123">
        <v>0.82399999999999995</v>
      </c>
      <c r="BB81" s="130">
        <v>15</v>
      </c>
      <c r="BC81" s="155"/>
    </row>
    <row r="82" spans="1:55" ht="15.75" thickBot="1" x14ac:dyDescent="0.3">
      <c r="AU82" s="129"/>
      <c r="AV82" s="123">
        <v>490</v>
      </c>
      <c r="AW82" s="123"/>
      <c r="AX82" s="123">
        <v>4</v>
      </c>
      <c r="AY82" s="123">
        <v>200</v>
      </c>
      <c r="AZ82" s="123">
        <v>111</v>
      </c>
      <c r="BA82" s="123">
        <v>0.55600000000000005</v>
      </c>
      <c r="BB82" s="130">
        <v>58</v>
      </c>
      <c r="BC82" s="155"/>
    </row>
    <row r="83" spans="1:55" ht="15.75" thickBot="1" x14ac:dyDescent="0.3">
      <c r="AU83" s="129"/>
      <c r="AV83" s="123" t="s">
        <v>297</v>
      </c>
      <c r="AW83" s="123"/>
      <c r="AX83" s="123">
        <v>4</v>
      </c>
      <c r="AY83" s="123">
        <v>150</v>
      </c>
      <c r="AZ83" s="123">
        <v>89</v>
      </c>
      <c r="BA83" s="123">
        <v>0.59099999999999997</v>
      </c>
      <c r="BB83" s="130">
        <v>37</v>
      </c>
      <c r="BC83" s="155"/>
    </row>
    <row r="84" spans="1:55" ht="15.75" thickBot="1" x14ac:dyDescent="0.3">
      <c r="AU84" s="129"/>
      <c r="AV84" s="123" t="s">
        <v>297</v>
      </c>
      <c r="AW84" s="123"/>
      <c r="AX84" s="123">
        <v>4</v>
      </c>
      <c r="AY84" s="123">
        <v>50</v>
      </c>
      <c r="AZ84" s="123">
        <v>40</v>
      </c>
      <c r="BA84" s="123">
        <v>0.79800000000000004</v>
      </c>
      <c r="BB84" s="130">
        <v>3</v>
      </c>
      <c r="BC84" s="155"/>
    </row>
    <row r="85" spans="1:55" ht="15.75" thickBot="1" x14ac:dyDescent="0.3">
      <c r="AU85" s="129"/>
      <c r="AV85" s="123" t="s">
        <v>297</v>
      </c>
      <c r="AW85" s="123"/>
      <c r="AX85" s="123">
        <v>4</v>
      </c>
      <c r="AY85" s="123">
        <v>250</v>
      </c>
      <c r="AZ85" s="123">
        <v>128</v>
      </c>
      <c r="BA85" s="123">
        <v>0.51100000000000001</v>
      </c>
      <c r="BB85" s="130">
        <v>80</v>
      </c>
      <c r="BC85" s="155"/>
    </row>
    <row r="86" spans="1:55" ht="15.75" thickBot="1" x14ac:dyDescent="0.3">
      <c r="AU86" s="129"/>
      <c r="AV86" s="123" t="s">
        <v>297</v>
      </c>
      <c r="AW86" s="123"/>
      <c r="AX86" s="123">
        <v>4</v>
      </c>
      <c r="AY86" s="123">
        <v>100</v>
      </c>
      <c r="AZ86" s="123">
        <v>67</v>
      </c>
      <c r="BA86" s="123">
        <v>0.66900000000000004</v>
      </c>
      <c r="BB86" s="130">
        <v>18</v>
      </c>
      <c r="BC86" s="155"/>
    </row>
    <row r="87" spans="1:55" ht="15.75" thickBot="1" x14ac:dyDescent="0.3">
      <c r="A87" t="s">
        <v>168</v>
      </c>
      <c r="AU87" s="129"/>
      <c r="AV87" s="123">
        <v>574</v>
      </c>
      <c r="AW87" s="123"/>
      <c r="AX87" s="123">
        <v>0</v>
      </c>
      <c r="AY87" s="123">
        <v>200</v>
      </c>
      <c r="AZ87" s="123">
        <v>130</v>
      </c>
      <c r="BA87" s="123">
        <v>0.65100000000000002</v>
      </c>
      <c r="BB87" s="130">
        <v>10</v>
      </c>
      <c r="BC87" s="155"/>
    </row>
    <row r="88" spans="1:55" ht="15.75" thickBot="1" x14ac:dyDescent="0.3">
      <c r="A88" t="s">
        <v>169</v>
      </c>
      <c r="AU88" s="129"/>
      <c r="AV88" s="123" t="s">
        <v>297</v>
      </c>
      <c r="AW88" s="123"/>
      <c r="AX88" s="123">
        <v>0</v>
      </c>
      <c r="AY88" s="123">
        <v>150</v>
      </c>
      <c r="AZ88" s="123">
        <v>114</v>
      </c>
      <c r="BA88" s="123">
        <v>0.75800000000000001</v>
      </c>
      <c r="BB88" s="130">
        <v>12</v>
      </c>
      <c r="BC88" s="155"/>
    </row>
    <row r="89" spans="1:55" ht="15.75" thickBot="1" x14ac:dyDescent="0.3">
      <c r="AU89" s="129"/>
      <c r="AV89" s="123" t="s">
        <v>297</v>
      </c>
      <c r="AW89" s="123"/>
      <c r="AX89" s="123">
        <v>0</v>
      </c>
      <c r="AY89" s="123">
        <v>50</v>
      </c>
      <c r="AZ89" s="123">
        <v>65</v>
      </c>
      <c r="BA89" s="123">
        <v>1.302</v>
      </c>
      <c r="BB89" s="130">
        <v>6</v>
      </c>
      <c r="BC89" s="155"/>
    </row>
    <row r="90" spans="1:55" ht="15.75" thickBot="1" x14ac:dyDescent="0.3">
      <c r="AU90" s="129"/>
      <c r="AV90" s="123" t="s">
        <v>297</v>
      </c>
      <c r="AW90" s="123"/>
      <c r="AX90" s="123">
        <v>0</v>
      </c>
      <c r="AY90" s="123">
        <v>250</v>
      </c>
      <c r="AZ90" s="123">
        <v>142</v>
      </c>
      <c r="BA90" s="123">
        <v>0.56999999999999995</v>
      </c>
      <c r="BB90" s="130">
        <v>9</v>
      </c>
      <c r="BC90" s="155"/>
    </row>
    <row r="91" spans="1:55" ht="15.75" thickBot="1" x14ac:dyDescent="0.3">
      <c r="AU91" s="129"/>
      <c r="AV91" s="123" t="s">
        <v>297</v>
      </c>
      <c r="AW91" s="123"/>
      <c r="AX91" s="123">
        <v>0</v>
      </c>
      <c r="AY91" s="123">
        <v>100</v>
      </c>
      <c r="AZ91" s="123">
        <v>91</v>
      </c>
      <c r="BA91" s="123">
        <v>0.91</v>
      </c>
      <c r="BB91" s="130">
        <v>11</v>
      </c>
      <c r="BC91" s="155"/>
    </row>
    <row r="92" spans="1:55" ht="15.75" thickBot="1" x14ac:dyDescent="0.3">
      <c r="AU92" s="129"/>
      <c r="AV92" s="123" t="s">
        <v>297</v>
      </c>
      <c r="AW92" s="123"/>
      <c r="AX92" s="123">
        <v>0</v>
      </c>
      <c r="AY92" s="123">
        <v>200</v>
      </c>
      <c r="AZ92" s="123">
        <v>140</v>
      </c>
      <c r="BA92" s="123">
        <v>0.70199999999999996</v>
      </c>
      <c r="BB92" s="130">
        <v>12</v>
      </c>
      <c r="BC92" s="155"/>
    </row>
    <row r="93" spans="1:55" ht="15.75" thickBot="1" x14ac:dyDescent="0.3">
      <c r="AU93" s="129"/>
      <c r="AV93" s="123" t="s">
        <v>297</v>
      </c>
      <c r="AW93" s="123"/>
      <c r="AX93" s="123">
        <v>0</v>
      </c>
      <c r="AY93" s="123">
        <v>150</v>
      </c>
      <c r="AZ93" s="123">
        <v>116</v>
      </c>
      <c r="BA93" s="123">
        <v>0.77100000000000002</v>
      </c>
      <c r="BB93" s="130">
        <v>11</v>
      </c>
      <c r="BC93" s="155"/>
    </row>
    <row r="94" spans="1:55" ht="15.75" thickBot="1" x14ac:dyDescent="0.3">
      <c r="AU94" s="129"/>
      <c r="AV94" s="123" t="s">
        <v>297</v>
      </c>
      <c r="AW94" s="123"/>
      <c r="AX94" s="123">
        <v>0</v>
      </c>
      <c r="AY94" s="123">
        <v>50</v>
      </c>
      <c r="AZ94" s="123">
        <v>63</v>
      </c>
      <c r="BA94" s="123">
        <v>1.264</v>
      </c>
      <c r="BB94" s="130">
        <v>6</v>
      </c>
      <c r="BC94" s="155"/>
    </row>
    <row r="95" spans="1:55" ht="15.75" thickBot="1" x14ac:dyDescent="0.3">
      <c r="AU95" s="129"/>
      <c r="AV95" s="123" t="s">
        <v>297</v>
      </c>
      <c r="AW95" s="123"/>
      <c r="AX95" s="123">
        <v>0</v>
      </c>
      <c r="AY95" s="123">
        <v>250</v>
      </c>
      <c r="AZ95" s="123">
        <v>148</v>
      </c>
      <c r="BA95" s="123">
        <v>0.59299999999999997</v>
      </c>
      <c r="BB95" s="130">
        <v>9</v>
      </c>
      <c r="BC95" s="155"/>
    </row>
    <row r="96" spans="1:55" ht="15.75" thickBot="1" x14ac:dyDescent="0.3">
      <c r="AU96" s="129"/>
      <c r="AV96" s="123" t="s">
        <v>297</v>
      </c>
      <c r="AW96" s="123"/>
      <c r="AX96" s="123">
        <v>0</v>
      </c>
      <c r="AY96" s="123">
        <v>100</v>
      </c>
      <c r="AZ96" s="123">
        <v>87</v>
      </c>
      <c r="BA96" s="123">
        <v>0.86799999999999999</v>
      </c>
      <c r="BB96" s="130">
        <v>9</v>
      </c>
      <c r="BC96" s="155"/>
    </row>
    <row r="97" spans="47:55" ht="15.75" x14ac:dyDescent="0.25">
      <c r="AU97" s="132"/>
      <c r="BC97" s="155"/>
    </row>
    <row r="98" spans="47:55" ht="15.75" x14ac:dyDescent="0.25">
      <c r="AU98" s="132"/>
      <c r="BC98" s="155"/>
    </row>
    <row r="99" spans="47:55" ht="15.75" x14ac:dyDescent="0.25">
      <c r="AU99" s="153" t="s">
        <v>289</v>
      </c>
      <c r="BC99" s="155"/>
    </row>
    <row r="100" spans="47:55" ht="26.25" thickBot="1" x14ac:dyDescent="0.3">
      <c r="AU100" s="135" t="s">
        <v>219</v>
      </c>
      <c r="AV100" s="136"/>
      <c r="AW100" s="137" t="s">
        <v>290</v>
      </c>
      <c r="AX100" s="136"/>
      <c r="AY100" s="138"/>
      <c r="BC100" s="155"/>
    </row>
    <row r="101" spans="47:55" ht="26.25" thickBot="1" x14ac:dyDescent="0.3">
      <c r="AU101" s="139" t="s">
        <v>220</v>
      </c>
      <c r="AV101" s="133" t="s">
        <v>221</v>
      </c>
      <c r="AW101" s="133" t="s">
        <v>222</v>
      </c>
      <c r="AX101" s="133" t="s">
        <v>223</v>
      </c>
      <c r="AY101" s="140" t="s">
        <v>224</v>
      </c>
      <c r="BC101" s="155"/>
    </row>
    <row r="102" spans="47:55" ht="15.75" thickBot="1" x14ac:dyDescent="0.3">
      <c r="AU102" s="141" t="s">
        <v>225</v>
      </c>
      <c r="AV102" s="134" t="s">
        <v>226</v>
      </c>
      <c r="AW102" s="134" t="s">
        <v>215</v>
      </c>
      <c r="AX102" s="134" t="s">
        <v>227</v>
      </c>
      <c r="AY102" s="142" t="s">
        <v>206</v>
      </c>
      <c r="BC102" s="155"/>
    </row>
    <row r="103" spans="47:55" ht="15.75" thickBot="1" x14ac:dyDescent="0.3">
      <c r="AU103" s="141" t="s">
        <v>209</v>
      </c>
      <c r="AV103" s="134" t="s">
        <v>208</v>
      </c>
      <c r="AW103" s="134" t="s">
        <v>202</v>
      </c>
      <c r="AX103" s="134" t="s">
        <v>212</v>
      </c>
      <c r="AY103" s="142" t="s">
        <v>228</v>
      </c>
      <c r="BC103" s="155"/>
    </row>
    <row r="104" spans="47:55" ht="15.75" thickBot="1" x14ac:dyDescent="0.3">
      <c r="AU104" s="141" t="s">
        <v>218</v>
      </c>
      <c r="AV104" s="134" t="s">
        <v>225</v>
      </c>
      <c r="AW104" s="134" t="s">
        <v>217</v>
      </c>
      <c r="AX104" s="134" t="s">
        <v>216</v>
      </c>
      <c r="AY104" s="142" t="s">
        <v>211</v>
      </c>
      <c r="BC104" s="155"/>
    </row>
    <row r="105" spans="47:55" x14ac:dyDescent="0.25">
      <c r="AU105" s="143" t="s">
        <v>229</v>
      </c>
      <c r="AV105" s="144" t="s">
        <v>214</v>
      </c>
      <c r="AW105" s="144" t="s">
        <v>230</v>
      </c>
      <c r="AX105" s="144" t="s">
        <v>204</v>
      </c>
      <c r="AY105" s="145" t="s">
        <v>212</v>
      </c>
      <c r="BC105" s="155"/>
    </row>
    <row r="106" spans="47:55" ht="21" x14ac:dyDescent="0.25">
      <c r="AU106" s="146"/>
      <c r="BC106" s="155"/>
    </row>
    <row r="107" spans="47:55" ht="15.75" x14ac:dyDescent="0.25">
      <c r="AU107" s="153" t="s">
        <v>288</v>
      </c>
      <c r="BC107" s="155"/>
    </row>
    <row r="108" spans="47:55" ht="15.75" x14ac:dyDescent="0.25">
      <c r="AU108" s="132"/>
      <c r="BC108" s="155"/>
    </row>
    <row r="109" spans="47:55" ht="25.5" x14ac:dyDescent="0.25">
      <c r="AU109" s="163" t="s">
        <v>182</v>
      </c>
      <c r="AV109" s="166" t="s">
        <v>231</v>
      </c>
      <c r="AW109" s="149" t="s">
        <v>184</v>
      </c>
      <c r="AX109" s="149" t="s">
        <v>232</v>
      </c>
      <c r="AY109" s="149" t="s">
        <v>185</v>
      </c>
      <c r="AZ109" s="150" t="s">
        <v>234</v>
      </c>
      <c r="BC109" s="155"/>
    </row>
    <row r="110" spans="47:55" x14ac:dyDescent="0.25">
      <c r="AU110" s="164"/>
      <c r="AV110" s="167"/>
      <c r="AW110" s="147" t="s">
        <v>194</v>
      </c>
      <c r="AX110" s="147" t="s">
        <v>233</v>
      </c>
      <c r="AY110" s="147" t="s">
        <v>195</v>
      </c>
      <c r="AZ110" s="151" t="s">
        <v>193</v>
      </c>
      <c r="BC110" s="155"/>
    </row>
    <row r="111" spans="47:55" ht="15.75" thickBot="1" x14ac:dyDescent="0.3">
      <c r="AU111" s="165"/>
      <c r="AV111" s="168"/>
      <c r="AW111" s="148"/>
      <c r="AX111" s="148"/>
      <c r="AY111" s="148"/>
      <c r="AZ111" s="152"/>
      <c r="BC111" s="155"/>
    </row>
    <row r="112" spans="47:55" ht="26.25" thickBot="1" x14ac:dyDescent="0.3">
      <c r="AU112" s="141" t="s">
        <v>208</v>
      </c>
      <c r="AV112" s="134" t="s">
        <v>235</v>
      </c>
      <c r="AW112" s="134" t="s">
        <v>198</v>
      </c>
      <c r="AX112" s="134" t="s">
        <v>199</v>
      </c>
      <c r="AY112" s="134" t="s">
        <v>199</v>
      </c>
      <c r="AZ112" s="130" t="s">
        <v>236</v>
      </c>
      <c r="BC112" s="155"/>
    </row>
    <row r="113" spans="47:55" ht="15.75" thickBot="1" x14ac:dyDescent="0.3">
      <c r="AU113" s="141" t="s">
        <v>200</v>
      </c>
      <c r="AV113" s="134" t="s">
        <v>200</v>
      </c>
      <c r="AW113" s="134" t="s">
        <v>200</v>
      </c>
      <c r="AX113" s="134" t="s">
        <v>200</v>
      </c>
      <c r="AY113" s="134" t="s">
        <v>203</v>
      </c>
      <c r="AZ113" s="130" t="s">
        <v>237</v>
      </c>
      <c r="BC113" s="155"/>
    </row>
    <row r="114" spans="47:55" ht="15.75" thickBot="1" x14ac:dyDescent="0.3">
      <c r="AU114" s="141" t="s">
        <v>200</v>
      </c>
      <c r="AV114" s="134" t="s">
        <v>200</v>
      </c>
      <c r="AW114" s="134" t="s">
        <v>200</v>
      </c>
      <c r="AX114" s="134" t="s">
        <v>200</v>
      </c>
      <c r="AY114" s="134" t="s">
        <v>205</v>
      </c>
      <c r="AZ114" s="130" t="s">
        <v>238</v>
      </c>
      <c r="BC114" s="155"/>
    </row>
    <row r="115" spans="47:55" ht="39" thickBot="1" x14ac:dyDescent="0.3">
      <c r="AU115" s="141" t="s">
        <v>200</v>
      </c>
      <c r="AV115" s="134" t="s">
        <v>239</v>
      </c>
      <c r="AW115" s="134" t="s">
        <v>200</v>
      </c>
      <c r="AX115" s="134" t="s">
        <v>240</v>
      </c>
      <c r="AY115" s="134" t="s">
        <v>199</v>
      </c>
      <c r="AZ115" s="130" t="s">
        <v>241</v>
      </c>
      <c r="BC115" s="155"/>
    </row>
    <row r="116" spans="47:55" ht="15.75" thickBot="1" x14ac:dyDescent="0.3">
      <c r="AU116" s="141" t="s">
        <v>200</v>
      </c>
      <c r="AV116" s="134" t="s">
        <v>200</v>
      </c>
      <c r="AW116" s="134" t="s">
        <v>200</v>
      </c>
      <c r="AX116" s="134" t="s">
        <v>200</v>
      </c>
      <c r="AY116" s="134" t="s">
        <v>203</v>
      </c>
      <c r="AZ116" s="130" t="s">
        <v>242</v>
      </c>
      <c r="BC116" s="155"/>
    </row>
    <row r="117" spans="47:55" ht="15.75" thickBot="1" x14ac:dyDescent="0.3">
      <c r="AU117" s="141" t="s">
        <v>200</v>
      </c>
      <c r="AV117" s="134" t="s">
        <v>200</v>
      </c>
      <c r="AW117" s="134" t="s">
        <v>200</v>
      </c>
      <c r="AX117" s="134" t="s">
        <v>200</v>
      </c>
      <c r="AY117" s="134" t="s">
        <v>205</v>
      </c>
      <c r="AZ117" s="130" t="s">
        <v>243</v>
      </c>
      <c r="BC117" s="155"/>
    </row>
    <row r="118" spans="47:55" ht="26.25" thickBot="1" x14ac:dyDescent="0.3">
      <c r="AU118" s="141" t="s">
        <v>225</v>
      </c>
      <c r="AV118" s="134" t="s">
        <v>244</v>
      </c>
      <c r="AW118" s="134" t="s">
        <v>198</v>
      </c>
      <c r="AX118" s="134" t="s">
        <v>240</v>
      </c>
      <c r="AY118" s="134" t="s">
        <v>199</v>
      </c>
      <c r="AZ118" s="130" t="s">
        <v>245</v>
      </c>
      <c r="BC118" s="155"/>
    </row>
    <row r="119" spans="47:55" ht="15.75" thickBot="1" x14ac:dyDescent="0.3">
      <c r="AU119" s="141" t="s">
        <v>200</v>
      </c>
      <c r="AV119" s="134" t="s">
        <v>200</v>
      </c>
      <c r="AW119" s="134" t="s">
        <v>200</v>
      </c>
      <c r="AX119" s="134" t="s">
        <v>200</v>
      </c>
      <c r="AY119" s="134" t="s">
        <v>203</v>
      </c>
      <c r="AZ119" s="130" t="s">
        <v>246</v>
      </c>
      <c r="BC119" s="155"/>
    </row>
    <row r="120" spans="47:55" ht="15.75" thickBot="1" x14ac:dyDescent="0.3">
      <c r="AU120" s="141" t="s">
        <v>200</v>
      </c>
      <c r="AV120" s="134" t="s">
        <v>200</v>
      </c>
      <c r="AW120" s="134" t="s">
        <v>200</v>
      </c>
      <c r="AX120" s="134" t="s">
        <v>200</v>
      </c>
      <c r="AY120" s="134" t="s">
        <v>205</v>
      </c>
      <c r="AZ120" s="130" t="s">
        <v>247</v>
      </c>
      <c r="BC120" s="155"/>
    </row>
    <row r="121" spans="47:55" ht="26.25" thickBot="1" x14ac:dyDescent="0.3">
      <c r="AU121" s="141" t="s">
        <v>200</v>
      </c>
      <c r="AV121" s="134" t="s">
        <v>248</v>
      </c>
      <c r="AW121" s="134" t="s">
        <v>198</v>
      </c>
      <c r="AX121" s="134" t="s">
        <v>240</v>
      </c>
      <c r="AY121" s="134" t="s">
        <v>199</v>
      </c>
      <c r="AZ121" s="130" t="s">
        <v>249</v>
      </c>
      <c r="BC121" s="155"/>
    </row>
    <row r="122" spans="47:55" ht="15.75" thickBot="1" x14ac:dyDescent="0.3">
      <c r="AU122" s="141" t="s">
        <v>200</v>
      </c>
      <c r="AV122" s="134" t="s">
        <v>200</v>
      </c>
      <c r="AW122" s="134" t="s">
        <v>200</v>
      </c>
      <c r="AX122" s="134" t="s">
        <v>200</v>
      </c>
      <c r="AY122" s="134" t="s">
        <v>203</v>
      </c>
      <c r="AZ122" s="130" t="s">
        <v>250</v>
      </c>
      <c r="BC122" s="155"/>
    </row>
    <row r="123" spans="47:55" ht="15.75" thickBot="1" x14ac:dyDescent="0.3">
      <c r="AU123" s="141" t="s">
        <v>200</v>
      </c>
      <c r="AV123" s="134" t="s">
        <v>200</v>
      </c>
      <c r="AW123" s="134" t="s">
        <v>200</v>
      </c>
      <c r="AX123" s="134" t="s">
        <v>200</v>
      </c>
      <c r="AY123" s="134" t="s">
        <v>205</v>
      </c>
      <c r="AZ123" s="130" t="s">
        <v>251</v>
      </c>
      <c r="BC123" s="155"/>
    </row>
    <row r="124" spans="47:55" ht="26.25" thickBot="1" x14ac:dyDescent="0.3">
      <c r="AU124" s="141" t="s">
        <v>200</v>
      </c>
      <c r="AV124" s="134" t="s">
        <v>248</v>
      </c>
      <c r="AW124" s="134" t="s">
        <v>201</v>
      </c>
      <c r="AX124" s="134" t="s">
        <v>240</v>
      </c>
      <c r="AY124" s="134" t="s">
        <v>199</v>
      </c>
      <c r="AZ124" s="130" t="s">
        <v>252</v>
      </c>
      <c r="BC124" s="155"/>
    </row>
    <row r="125" spans="47:55" ht="15.75" thickBot="1" x14ac:dyDescent="0.3">
      <c r="AU125" s="141" t="s">
        <v>200</v>
      </c>
      <c r="AV125" s="134" t="s">
        <v>200</v>
      </c>
      <c r="AW125" s="134" t="s">
        <v>200</v>
      </c>
      <c r="AX125" s="134" t="s">
        <v>200</v>
      </c>
      <c r="AY125" s="134" t="s">
        <v>203</v>
      </c>
      <c r="AZ125" s="130" t="s">
        <v>253</v>
      </c>
      <c r="BC125" s="155"/>
    </row>
    <row r="126" spans="47:55" ht="15.75" thickBot="1" x14ac:dyDescent="0.3">
      <c r="AU126" s="141" t="s">
        <v>200</v>
      </c>
      <c r="AV126" s="134" t="s">
        <v>200</v>
      </c>
      <c r="AW126" s="134" t="s">
        <v>200</v>
      </c>
      <c r="AX126" s="134" t="s">
        <v>200</v>
      </c>
      <c r="AY126" s="134" t="s">
        <v>205</v>
      </c>
      <c r="AZ126" s="130" t="s">
        <v>254</v>
      </c>
      <c r="BC126" s="155"/>
    </row>
    <row r="127" spans="47:55" ht="26.25" thickBot="1" x14ac:dyDescent="0.3">
      <c r="AU127" s="141" t="s">
        <v>200</v>
      </c>
      <c r="AV127" s="134" t="s">
        <v>248</v>
      </c>
      <c r="AW127" s="134" t="s">
        <v>210</v>
      </c>
      <c r="AX127" s="134" t="s">
        <v>240</v>
      </c>
      <c r="AY127" s="134" t="s">
        <v>199</v>
      </c>
      <c r="AZ127" s="130" t="s">
        <v>255</v>
      </c>
      <c r="BC127" s="155"/>
    </row>
    <row r="128" spans="47:55" ht="15.75" thickBot="1" x14ac:dyDescent="0.3">
      <c r="AU128" s="141" t="s">
        <v>200</v>
      </c>
      <c r="AV128" s="134" t="s">
        <v>200</v>
      </c>
      <c r="AW128" s="134" t="s">
        <v>200</v>
      </c>
      <c r="AX128" s="134" t="s">
        <v>200</v>
      </c>
      <c r="AY128" s="134" t="s">
        <v>203</v>
      </c>
      <c r="AZ128" s="130" t="s">
        <v>256</v>
      </c>
      <c r="BC128" s="155"/>
    </row>
    <row r="129" spans="47:55" ht="15.75" thickBot="1" x14ac:dyDescent="0.3">
      <c r="AU129" s="141" t="s">
        <v>200</v>
      </c>
      <c r="AV129" s="134" t="s">
        <v>200</v>
      </c>
      <c r="AW129" s="134" t="s">
        <v>200</v>
      </c>
      <c r="AX129" s="134" t="s">
        <v>200</v>
      </c>
      <c r="AY129" s="134" t="s">
        <v>205</v>
      </c>
      <c r="AZ129" s="130" t="s">
        <v>257</v>
      </c>
      <c r="BC129" s="155"/>
    </row>
    <row r="130" spans="47:55" ht="26.25" thickBot="1" x14ac:dyDescent="0.3">
      <c r="AU130" s="141" t="s">
        <v>214</v>
      </c>
      <c r="AV130" s="134" t="s">
        <v>248</v>
      </c>
      <c r="AW130" s="134" t="s">
        <v>207</v>
      </c>
      <c r="AX130" s="134" t="s">
        <v>240</v>
      </c>
      <c r="AY130" s="134" t="s">
        <v>199</v>
      </c>
      <c r="AZ130" s="130" t="s">
        <v>258</v>
      </c>
      <c r="BC130" s="155"/>
    </row>
    <row r="131" spans="47:55" ht="15.75" thickBot="1" x14ac:dyDescent="0.3">
      <c r="AU131" s="141" t="s">
        <v>200</v>
      </c>
      <c r="AV131" s="134" t="s">
        <v>200</v>
      </c>
      <c r="AW131" s="134" t="s">
        <v>200</v>
      </c>
      <c r="AX131" s="134" t="s">
        <v>200</v>
      </c>
      <c r="AY131" s="134" t="s">
        <v>203</v>
      </c>
      <c r="AZ131" s="130" t="s">
        <v>259</v>
      </c>
      <c r="BC131" s="155"/>
    </row>
    <row r="132" spans="47:55" ht="15.75" thickBot="1" x14ac:dyDescent="0.3">
      <c r="AU132" s="141" t="s">
        <v>200</v>
      </c>
      <c r="AV132" s="134" t="s">
        <v>200</v>
      </c>
      <c r="AW132" s="134" t="s">
        <v>200</v>
      </c>
      <c r="AX132" s="134" t="s">
        <v>200</v>
      </c>
      <c r="AY132" s="134" t="s">
        <v>205</v>
      </c>
      <c r="AZ132" s="130" t="s">
        <v>260</v>
      </c>
      <c r="BC132" s="155"/>
    </row>
    <row r="133" spans="47:55" ht="26.25" thickBot="1" x14ac:dyDescent="0.3">
      <c r="AU133" s="141" t="s">
        <v>200</v>
      </c>
      <c r="AV133" s="134" t="s">
        <v>248</v>
      </c>
      <c r="AW133" s="134" t="s">
        <v>198</v>
      </c>
      <c r="AX133" s="134" t="s">
        <v>240</v>
      </c>
      <c r="AY133" s="134" t="s">
        <v>199</v>
      </c>
      <c r="AZ133" s="130" t="s">
        <v>261</v>
      </c>
      <c r="BC133" s="155"/>
    </row>
    <row r="134" spans="47:55" ht="15.75" thickBot="1" x14ac:dyDescent="0.3">
      <c r="AU134" s="141" t="s">
        <v>200</v>
      </c>
      <c r="AV134" s="134" t="s">
        <v>200</v>
      </c>
      <c r="AW134" s="134" t="s">
        <v>200</v>
      </c>
      <c r="AX134" s="134" t="s">
        <v>200</v>
      </c>
      <c r="AY134" s="134" t="s">
        <v>203</v>
      </c>
      <c r="AZ134" s="130" t="s">
        <v>262</v>
      </c>
      <c r="BC134" s="155"/>
    </row>
    <row r="135" spans="47:55" ht="15.75" thickBot="1" x14ac:dyDescent="0.3">
      <c r="AU135" s="141" t="s">
        <v>200</v>
      </c>
      <c r="AV135" s="134" t="s">
        <v>200</v>
      </c>
      <c r="AW135" s="134" t="s">
        <v>200</v>
      </c>
      <c r="AX135" s="134" t="s">
        <v>200</v>
      </c>
      <c r="AY135" s="134" t="s">
        <v>205</v>
      </c>
      <c r="AZ135" s="130" t="s">
        <v>263</v>
      </c>
      <c r="BC135" s="155"/>
    </row>
    <row r="136" spans="47:55" ht="26.25" thickBot="1" x14ac:dyDescent="0.3">
      <c r="AU136" s="141" t="s">
        <v>213</v>
      </c>
      <c r="AV136" s="134" t="s">
        <v>235</v>
      </c>
      <c r="AW136" s="134" t="s">
        <v>198</v>
      </c>
      <c r="AX136" s="134" t="s">
        <v>199</v>
      </c>
      <c r="AY136" s="134" t="s">
        <v>199</v>
      </c>
      <c r="AZ136" s="130" t="s">
        <v>264</v>
      </c>
      <c r="BC136" s="155"/>
    </row>
    <row r="137" spans="47:55" ht="15.75" thickBot="1" x14ac:dyDescent="0.3">
      <c r="AU137" s="141" t="s">
        <v>200</v>
      </c>
      <c r="AV137" s="134" t="s">
        <v>200</v>
      </c>
      <c r="AW137" s="134" t="s">
        <v>200</v>
      </c>
      <c r="AX137" s="134" t="s">
        <v>200</v>
      </c>
      <c r="AY137" s="134" t="s">
        <v>203</v>
      </c>
      <c r="AZ137" s="130" t="s">
        <v>265</v>
      </c>
      <c r="BC137" s="155"/>
    </row>
    <row r="138" spans="47:55" ht="15.75" thickBot="1" x14ac:dyDescent="0.3">
      <c r="AU138" s="141" t="s">
        <v>200</v>
      </c>
      <c r="AV138" s="134" t="s">
        <v>200</v>
      </c>
      <c r="AW138" s="134" t="s">
        <v>200</v>
      </c>
      <c r="AX138" s="134" t="s">
        <v>200</v>
      </c>
      <c r="AY138" s="134" t="s">
        <v>205</v>
      </c>
      <c r="AZ138" s="130" t="s">
        <v>266</v>
      </c>
      <c r="BC138" s="155"/>
    </row>
    <row r="139" spans="47:55" ht="39" thickBot="1" x14ac:dyDescent="0.3">
      <c r="AU139" s="141" t="s">
        <v>200</v>
      </c>
      <c r="AV139" s="134" t="s">
        <v>239</v>
      </c>
      <c r="AW139" s="134" t="s">
        <v>200</v>
      </c>
      <c r="AX139" s="134" t="s">
        <v>240</v>
      </c>
      <c r="AY139" s="134" t="s">
        <v>199</v>
      </c>
      <c r="AZ139" s="130" t="s">
        <v>267</v>
      </c>
      <c r="BC139" s="155"/>
    </row>
    <row r="140" spans="47:55" ht="15.75" thickBot="1" x14ac:dyDescent="0.3">
      <c r="AU140" s="141" t="s">
        <v>200</v>
      </c>
      <c r="AV140" s="134" t="s">
        <v>200</v>
      </c>
      <c r="AW140" s="134" t="s">
        <v>200</v>
      </c>
      <c r="AX140" s="134" t="s">
        <v>200</v>
      </c>
      <c r="AY140" s="134" t="s">
        <v>203</v>
      </c>
      <c r="AZ140" s="130" t="s">
        <v>268</v>
      </c>
      <c r="BC140" s="155"/>
    </row>
    <row r="141" spans="47:55" ht="15.75" thickBot="1" x14ac:dyDescent="0.3">
      <c r="AU141" s="141" t="s">
        <v>200</v>
      </c>
      <c r="AV141" s="134" t="s">
        <v>200</v>
      </c>
      <c r="AW141" s="134" t="s">
        <v>200</v>
      </c>
      <c r="AX141" s="134" t="s">
        <v>200</v>
      </c>
      <c r="AY141" s="134" t="s">
        <v>205</v>
      </c>
      <c r="AZ141" s="130" t="s">
        <v>269</v>
      </c>
      <c r="BC141" s="155"/>
    </row>
    <row r="142" spans="47:55" ht="26.25" thickBot="1" x14ac:dyDescent="0.3">
      <c r="AU142" s="141" t="s">
        <v>209</v>
      </c>
      <c r="AV142" s="134" t="s">
        <v>244</v>
      </c>
      <c r="AW142" s="134" t="s">
        <v>198</v>
      </c>
      <c r="AX142" s="134" t="s">
        <v>240</v>
      </c>
      <c r="AY142" s="134" t="s">
        <v>199</v>
      </c>
      <c r="AZ142" s="130" t="s">
        <v>270</v>
      </c>
      <c r="BC142" s="155"/>
    </row>
    <row r="143" spans="47:55" ht="15.75" thickBot="1" x14ac:dyDescent="0.3">
      <c r="AU143" s="141" t="s">
        <v>200</v>
      </c>
      <c r="AV143" s="134" t="s">
        <v>200</v>
      </c>
      <c r="AW143" s="134" t="s">
        <v>200</v>
      </c>
      <c r="AX143" s="134" t="s">
        <v>200</v>
      </c>
      <c r="AY143" s="134" t="s">
        <v>203</v>
      </c>
      <c r="AZ143" s="130" t="s">
        <v>271</v>
      </c>
      <c r="BC143" s="155"/>
    </row>
    <row r="144" spans="47:55" ht="15.75" thickBot="1" x14ac:dyDescent="0.3">
      <c r="AU144" s="141" t="s">
        <v>200</v>
      </c>
      <c r="AV144" s="134" t="s">
        <v>200</v>
      </c>
      <c r="AW144" s="134" t="s">
        <v>200</v>
      </c>
      <c r="AX144" s="134" t="s">
        <v>200</v>
      </c>
      <c r="AY144" s="134" t="s">
        <v>205</v>
      </c>
      <c r="AZ144" s="130" t="s">
        <v>272</v>
      </c>
      <c r="BC144" s="155"/>
    </row>
    <row r="145" spans="47:55" ht="26.25" thickBot="1" x14ac:dyDescent="0.3">
      <c r="AU145" s="141" t="s">
        <v>200</v>
      </c>
      <c r="AV145" s="134" t="s">
        <v>248</v>
      </c>
      <c r="AW145" s="134" t="s">
        <v>198</v>
      </c>
      <c r="AX145" s="134" t="s">
        <v>240</v>
      </c>
      <c r="AY145" s="134" t="s">
        <v>199</v>
      </c>
      <c r="AZ145" s="130" t="s">
        <v>273</v>
      </c>
      <c r="BC145" s="155"/>
    </row>
    <row r="146" spans="47:55" ht="15.75" thickBot="1" x14ac:dyDescent="0.3">
      <c r="AU146" s="141" t="s">
        <v>200</v>
      </c>
      <c r="AV146" s="134" t="s">
        <v>200</v>
      </c>
      <c r="AW146" s="134" t="s">
        <v>200</v>
      </c>
      <c r="AX146" s="134" t="s">
        <v>200</v>
      </c>
      <c r="AY146" s="134" t="s">
        <v>203</v>
      </c>
      <c r="AZ146" s="130" t="s">
        <v>274</v>
      </c>
      <c r="BC146" s="155"/>
    </row>
    <row r="147" spans="47:55" ht="15.75" thickBot="1" x14ac:dyDescent="0.3">
      <c r="AU147" s="141" t="s">
        <v>200</v>
      </c>
      <c r="AV147" s="134" t="s">
        <v>200</v>
      </c>
      <c r="AW147" s="134" t="s">
        <v>200</v>
      </c>
      <c r="AX147" s="134" t="s">
        <v>200</v>
      </c>
      <c r="AY147" s="134" t="s">
        <v>205</v>
      </c>
      <c r="AZ147" s="130" t="s">
        <v>275</v>
      </c>
      <c r="BC147" s="155"/>
    </row>
    <row r="148" spans="47:55" ht="26.25" thickBot="1" x14ac:dyDescent="0.3">
      <c r="AU148" s="141" t="s">
        <v>200</v>
      </c>
      <c r="AV148" s="134" t="s">
        <v>248</v>
      </c>
      <c r="AW148" s="134" t="s">
        <v>201</v>
      </c>
      <c r="AX148" s="134" t="s">
        <v>240</v>
      </c>
      <c r="AY148" s="134" t="s">
        <v>199</v>
      </c>
      <c r="AZ148" s="130" t="s">
        <v>276</v>
      </c>
      <c r="BC148" s="155"/>
    </row>
    <row r="149" spans="47:55" ht="15.75" thickBot="1" x14ac:dyDescent="0.3">
      <c r="AU149" s="141" t="s">
        <v>200</v>
      </c>
      <c r="AV149" s="134" t="s">
        <v>200</v>
      </c>
      <c r="AW149" s="134" t="s">
        <v>200</v>
      </c>
      <c r="AX149" s="134" t="s">
        <v>200</v>
      </c>
      <c r="AY149" s="134" t="s">
        <v>203</v>
      </c>
      <c r="AZ149" s="130" t="s">
        <v>277</v>
      </c>
      <c r="BC149" s="155"/>
    </row>
    <row r="150" spans="47:55" ht="15.75" thickBot="1" x14ac:dyDescent="0.3">
      <c r="AU150" s="141" t="s">
        <v>200</v>
      </c>
      <c r="AV150" s="134" t="s">
        <v>200</v>
      </c>
      <c r="AW150" s="134" t="s">
        <v>200</v>
      </c>
      <c r="AX150" s="134" t="s">
        <v>200</v>
      </c>
      <c r="AY150" s="134" t="s">
        <v>205</v>
      </c>
      <c r="AZ150" s="130" t="s">
        <v>278</v>
      </c>
      <c r="BC150" s="155"/>
    </row>
    <row r="151" spans="47:55" ht="26.25" thickBot="1" x14ac:dyDescent="0.3">
      <c r="AU151" s="141" t="s">
        <v>200</v>
      </c>
      <c r="AV151" s="134" t="s">
        <v>248</v>
      </c>
      <c r="AW151" s="134" t="s">
        <v>210</v>
      </c>
      <c r="AX151" s="134" t="s">
        <v>240</v>
      </c>
      <c r="AY151" s="134" t="s">
        <v>199</v>
      </c>
      <c r="AZ151" s="130" t="s">
        <v>279</v>
      </c>
      <c r="BC151" s="155"/>
    </row>
    <row r="152" spans="47:55" ht="15.75" thickBot="1" x14ac:dyDescent="0.3">
      <c r="AU152" s="141" t="s">
        <v>200</v>
      </c>
      <c r="AV152" s="134" t="s">
        <v>200</v>
      </c>
      <c r="AW152" s="134" t="s">
        <v>200</v>
      </c>
      <c r="AX152" s="134" t="s">
        <v>200</v>
      </c>
      <c r="AY152" s="134" t="s">
        <v>203</v>
      </c>
      <c r="AZ152" s="130" t="s">
        <v>280</v>
      </c>
      <c r="BC152" s="155"/>
    </row>
    <row r="153" spans="47:55" ht="15.75" thickBot="1" x14ac:dyDescent="0.3">
      <c r="AU153" s="141" t="s">
        <v>200</v>
      </c>
      <c r="AV153" s="134" t="s">
        <v>200</v>
      </c>
      <c r="AW153" s="134" t="s">
        <v>200</v>
      </c>
      <c r="AX153" s="134" t="s">
        <v>200</v>
      </c>
      <c r="AY153" s="134" t="s">
        <v>205</v>
      </c>
      <c r="AZ153" s="130" t="s">
        <v>281</v>
      </c>
      <c r="BC153" s="155"/>
    </row>
    <row r="154" spans="47:55" ht="26.25" thickBot="1" x14ac:dyDescent="0.3">
      <c r="AU154" s="141" t="s">
        <v>240</v>
      </c>
      <c r="AV154" s="134" t="s">
        <v>248</v>
      </c>
      <c r="AW154" s="134" t="s">
        <v>207</v>
      </c>
      <c r="AX154" s="134" t="s">
        <v>240</v>
      </c>
      <c r="AY154" s="134" t="s">
        <v>199</v>
      </c>
      <c r="AZ154" s="130" t="s">
        <v>247</v>
      </c>
      <c r="BC154" s="155"/>
    </row>
    <row r="155" spans="47:55" ht="15.75" thickBot="1" x14ac:dyDescent="0.3">
      <c r="AU155" s="141" t="s">
        <v>200</v>
      </c>
      <c r="AV155" s="134" t="s">
        <v>200</v>
      </c>
      <c r="AW155" s="134" t="s">
        <v>200</v>
      </c>
      <c r="AX155" s="134" t="s">
        <v>200</v>
      </c>
      <c r="AY155" s="134" t="s">
        <v>203</v>
      </c>
      <c r="AZ155" s="130" t="s">
        <v>282</v>
      </c>
      <c r="BC155" s="155"/>
    </row>
    <row r="156" spans="47:55" ht="15.75" thickBot="1" x14ac:dyDescent="0.3">
      <c r="AU156" s="141" t="s">
        <v>200</v>
      </c>
      <c r="AV156" s="134" t="s">
        <v>200</v>
      </c>
      <c r="AW156" s="134" t="s">
        <v>200</v>
      </c>
      <c r="AX156" s="134" t="s">
        <v>200</v>
      </c>
      <c r="AY156" s="134" t="s">
        <v>205</v>
      </c>
      <c r="AZ156" s="130" t="s">
        <v>283</v>
      </c>
      <c r="BC156" s="155"/>
    </row>
    <row r="157" spans="47:55" ht="26.25" thickBot="1" x14ac:dyDescent="0.3">
      <c r="AU157" s="141" t="s">
        <v>200</v>
      </c>
      <c r="AV157" s="134" t="s">
        <v>248</v>
      </c>
      <c r="AW157" s="134" t="s">
        <v>198</v>
      </c>
      <c r="AX157" s="134" t="s">
        <v>240</v>
      </c>
      <c r="AY157" s="134" t="s">
        <v>199</v>
      </c>
      <c r="AZ157" s="130" t="s">
        <v>284</v>
      </c>
      <c r="BC157" s="155"/>
    </row>
    <row r="158" spans="47:55" ht="15.75" thickBot="1" x14ac:dyDescent="0.3">
      <c r="AU158" s="141" t="s">
        <v>200</v>
      </c>
      <c r="AV158" s="134" t="s">
        <v>200</v>
      </c>
      <c r="AW158" s="134" t="s">
        <v>200</v>
      </c>
      <c r="AX158" s="134" t="s">
        <v>200</v>
      </c>
      <c r="AY158" s="134" t="s">
        <v>203</v>
      </c>
      <c r="AZ158" s="130" t="s">
        <v>285</v>
      </c>
      <c r="BC158" s="155"/>
    </row>
    <row r="159" spans="47:55" x14ac:dyDescent="0.25">
      <c r="AU159" s="143" t="s">
        <v>200</v>
      </c>
      <c r="AV159" s="144" t="s">
        <v>200</v>
      </c>
      <c r="AW159" s="144" t="s">
        <v>200</v>
      </c>
      <c r="AX159" s="144" t="s">
        <v>200</v>
      </c>
      <c r="AY159" s="144" t="s">
        <v>205</v>
      </c>
      <c r="AZ159" s="131" t="s">
        <v>286</v>
      </c>
      <c r="BC159" s="155"/>
    </row>
    <row r="160" spans="47:55" x14ac:dyDescent="0.25">
      <c r="BC160" s="155"/>
    </row>
    <row r="161" spans="55:55" x14ac:dyDescent="0.25">
      <c r="BC161" s="155"/>
    </row>
    <row r="162" spans="55:55" x14ac:dyDescent="0.25">
      <c r="BC162" s="155"/>
    </row>
    <row r="163" spans="55:55" x14ac:dyDescent="0.25">
      <c r="BC163" s="155"/>
    </row>
    <row r="164" spans="55:55" x14ac:dyDescent="0.25">
      <c r="BC164" s="155"/>
    </row>
    <row r="165" spans="55:55" x14ac:dyDescent="0.25">
      <c r="BC165" s="155"/>
    </row>
    <row r="166" spans="55:55" x14ac:dyDescent="0.25">
      <c r="BC166" s="155"/>
    </row>
    <row r="167" spans="55:55" x14ac:dyDescent="0.25">
      <c r="BC167" s="155"/>
    </row>
    <row r="168" spans="55:55" x14ac:dyDescent="0.25">
      <c r="BC168" s="155"/>
    </row>
    <row r="169" spans="55:55" x14ac:dyDescent="0.25">
      <c r="BC169" s="155"/>
    </row>
    <row r="170" spans="55:55" x14ac:dyDescent="0.25">
      <c r="BC170" s="155"/>
    </row>
    <row r="171" spans="55:55" x14ac:dyDescent="0.25">
      <c r="BC171" s="155"/>
    </row>
    <row r="172" spans="55:55" x14ac:dyDescent="0.25">
      <c r="BC172" s="155"/>
    </row>
    <row r="173" spans="55:55" x14ac:dyDescent="0.25">
      <c r="BC173" s="155"/>
    </row>
    <row r="174" spans="55:55" x14ac:dyDescent="0.25">
      <c r="BC174" s="155"/>
    </row>
    <row r="175" spans="55:55" x14ac:dyDescent="0.25">
      <c r="BC175" s="155"/>
    </row>
    <row r="176" spans="55:55" x14ac:dyDescent="0.25">
      <c r="BC176" s="155"/>
    </row>
    <row r="177" spans="55:55" x14ac:dyDescent="0.25">
      <c r="BC177" s="155"/>
    </row>
    <row r="178" spans="55:55" x14ac:dyDescent="0.25">
      <c r="BC178" s="155"/>
    </row>
    <row r="179" spans="55:55" x14ac:dyDescent="0.25">
      <c r="BC179" s="155"/>
    </row>
    <row r="180" spans="55:55" x14ac:dyDescent="0.25">
      <c r="BC180" s="155"/>
    </row>
    <row r="181" spans="55:55" x14ac:dyDescent="0.25">
      <c r="BC181" s="155"/>
    </row>
    <row r="182" spans="55:55" x14ac:dyDescent="0.25">
      <c r="BC182" s="155"/>
    </row>
    <row r="183" spans="55:55" x14ac:dyDescent="0.25">
      <c r="BC183" s="155"/>
    </row>
    <row r="184" spans="55:55" x14ac:dyDescent="0.25">
      <c r="BC184" s="155"/>
    </row>
    <row r="187" spans="55:55" ht="15" customHeight="1" x14ac:dyDescent="0.25"/>
    <row r="194" ht="14.45" customHeight="1" x14ac:dyDescent="0.25"/>
    <row r="195" ht="14.45" customHeight="1" x14ac:dyDescent="0.25"/>
  </sheetData>
  <mergeCells count="2">
    <mergeCell ref="AU109:AU111"/>
    <mergeCell ref="AV109:AV111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DD5B2-650E-4356-A5DA-2C48357F7EA3}">
  <dimension ref="A1:G37"/>
  <sheetViews>
    <sheetView workbookViewId="0">
      <selection activeCell="A9" sqref="A9"/>
    </sheetView>
  </sheetViews>
  <sheetFormatPr defaultRowHeight="15" x14ac:dyDescent="0.25"/>
  <cols>
    <col min="1" max="1" width="50.7109375" customWidth="1"/>
    <col min="3" max="4" width="8.85546875" customWidth="1"/>
  </cols>
  <sheetData>
    <row r="1" spans="1:7" x14ac:dyDescent="0.25">
      <c r="A1" s="59" t="s">
        <v>81</v>
      </c>
      <c r="B1" s="60" t="s">
        <v>82</v>
      </c>
      <c r="C1" s="60" t="s">
        <v>83</v>
      </c>
      <c r="D1" s="60" t="s">
        <v>84</v>
      </c>
      <c r="E1" s="6" t="s">
        <v>85</v>
      </c>
      <c r="F1" s="6" t="s">
        <v>86</v>
      </c>
      <c r="G1" s="60" t="s">
        <v>87</v>
      </c>
    </row>
    <row r="2" spans="1:7" x14ac:dyDescent="0.25">
      <c r="A2" t="s">
        <v>88</v>
      </c>
      <c r="B2" s="61">
        <v>-878.68</v>
      </c>
      <c r="C2" s="61">
        <v>248.1</v>
      </c>
      <c r="D2" s="61">
        <v>131.81</v>
      </c>
      <c r="E2" s="62">
        <f>CONVERT(B2,"mm","in")</f>
        <v>-34.593700787401566</v>
      </c>
      <c r="F2" s="62">
        <f t="shared" ref="F2:G17" si="0">CONVERT(C2,"mm","in")</f>
        <v>9.7677165354330704</v>
      </c>
      <c r="G2" s="61">
        <f t="shared" si="0"/>
        <v>5.1893700787401578</v>
      </c>
    </row>
    <row r="3" spans="1:7" x14ac:dyDescent="0.25">
      <c r="A3" t="s">
        <v>89</v>
      </c>
      <c r="B3" s="61">
        <v>-655.72</v>
      </c>
      <c r="C3" s="61">
        <v>248.1</v>
      </c>
      <c r="D3" s="61">
        <v>147.04</v>
      </c>
      <c r="E3" s="62">
        <f t="shared" ref="E3" si="1">CONVERT(B3,"mm","in")</f>
        <v>-25.815748031496064</v>
      </c>
      <c r="F3" s="62">
        <f t="shared" si="0"/>
        <v>9.7677165354330704</v>
      </c>
      <c r="G3" s="61">
        <f t="shared" si="0"/>
        <v>5.7889763779527561</v>
      </c>
    </row>
    <row r="4" spans="1:7" x14ac:dyDescent="0.25">
      <c r="A4" t="s">
        <v>90</v>
      </c>
      <c r="B4" s="61">
        <v>-760.59</v>
      </c>
      <c r="C4" s="61">
        <v>570.42999999999995</v>
      </c>
      <c r="D4" s="61">
        <v>142.86000000000001</v>
      </c>
      <c r="E4" s="62">
        <f>CONVERT(B4,"mm","in")</f>
        <v>-29.944488188976379</v>
      </c>
      <c r="F4" s="62">
        <f t="shared" si="0"/>
        <v>22.457874015748029</v>
      </c>
      <c r="G4" s="61">
        <f t="shared" si="0"/>
        <v>5.6244094488188985</v>
      </c>
    </row>
    <row r="5" spans="1:7" x14ac:dyDescent="0.25">
      <c r="A5" t="s">
        <v>91</v>
      </c>
      <c r="B5" s="61">
        <v>-879</v>
      </c>
      <c r="C5" s="61">
        <v>264.04000000000002</v>
      </c>
      <c r="D5" s="61">
        <v>269.94</v>
      </c>
      <c r="E5" s="62">
        <f t="shared" ref="E5:G22" si="2">CONVERT(B5,"mm","in")</f>
        <v>-34.606299212598422</v>
      </c>
      <c r="F5" s="62">
        <f t="shared" si="0"/>
        <v>10.395275590551181</v>
      </c>
      <c r="G5" s="61">
        <f t="shared" si="0"/>
        <v>10.627559055118111</v>
      </c>
    </row>
    <row r="6" spans="1:7" x14ac:dyDescent="0.25">
      <c r="A6" t="s">
        <v>92</v>
      </c>
      <c r="B6" s="61">
        <v>-649.03</v>
      </c>
      <c r="C6" s="61">
        <v>264.04000000000002</v>
      </c>
      <c r="D6" s="61">
        <v>285.64999999999998</v>
      </c>
      <c r="E6" s="62">
        <f t="shared" si="2"/>
        <v>-25.55236220472441</v>
      </c>
      <c r="F6" s="62">
        <f t="shared" si="0"/>
        <v>10.395275590551181</v>
      </c>
      <c r="G6" s="61">
        <f t="shared" si="0"/>
        <v>11.246062992125985</v>
      </c>
    </row>
    <row r="7" spans="1:7" x14ac:dyDescent="0.25">
      <c r="A7" t="s">
        <v>93</v>
      </c>
      <c r="B7" s="61">
        <v>-750.35</v>
      </c>
      <c r="C7" s="61">
        <v>569.62</v>
      </c>
      <c r="D7" s="61">
        <v>317.02999999999997</v>
      </c>
      <c r="E7" s="62">
        <f t="shared" si="2"/>
        <v>-29.541338582677167</v>
      </c>
      <c r="F7" s="62">
        <f t="shared" si="0"/>
        <v>22.425984251968504</v>
      </c>
      <c r="G7" s="61">
        <f t="shared" si="0"/>
        <v>12.481496062992125</v>
      </c>
    </row>
    <row r="8" spans="1:7" x14ac:dyDescent="0.25">
      <c r="A8" t="s">
        <v>94</v>
      </c>
      <c r="B8" s="61">
        <v>-748.72469999999998</v>
      </c>
      <c r="C8" s="61">
        <v>520.92859999999996</v>
      </c>
      <c r="D8" s="61">
        <v>294.47949999999997</v>
      </c>
      <c r="E8" s="62">
        <f t="shared" si="2"/>
        <v>-29.477350393700789</v>
      </c>
      <c r="F8" s="62">
        <f t="shared" si="0"/>
        <v>20.509</v>
      </c>
      <c r="G8" s="61">
        <f t="shared" si="0"/>
        <v>11.593681102362204</v>
      </c>
    </row>
    <row r="9" spans="1:7" x14ac:dyDescent="0.25">
      <c r="A9" t="s">
        <v>95</v>
      </c>
      <c r="B9" s="61">
        <v>-738.28790000000004</v>
      </c>
      <c r="C9" s="61">
        <v>351.8476</v>
      </c>
      <c r="D9" s="61">
        <v>140.51609999999999</v>
      </c>
      <c r="E9" s="62">
        <f t="shared" si="2"/>
        <v>-29.066452755905512</v>
      </c>
      <c r="F9" s="62">
        <f t="shared" si="0"/>
        <v>13.852267716535433</v>
      </c>
      <c r="G9" s="61">
        <f t="shared" si="0"/>
        <v>5.5321299212598429</v>
      </c>
    </row>
    <row r="10" spans="1:7" x14ac:dyDescent="0.25">
      <c r="A10" t="s">
        <v>96</v>
      </c>
      <c r="B10" s="61">
        <v>-810.79</v>
      </c>
      <c r="C10" s="61">
        <v>564.66999999999996</v>
      </c>
      <c r="D10" s="61">
        <v>170.11</v>
      </c>
      <c r="E10" s="62">
        <f t="shared" si="2"/>
        <v>-31.920866141732283</v>
      </c>
      <c r="F10" s="62">
        <f t="shared" si="0"/>
        <v>22.231102362204727</v>
      </c>
      <c r="G10" s="61">
        <f t="shared" si="0"/>
        <v>6.6972440944881901</v>
      </c>
    </row>
    <row r="11" spans="1:7" x14ac:dyDescent="0.25">
      <c r="A11" t="s">
        <v>97</v>
      </c>
      <c r="B11" s="61">
        <v>-822.36</v>
      </c>
      <c r="C11" s="61">
        <v>251.02</v>
      </c>
      <c r="D11" s="61">
        <v>160.41999999999999</v>
      </c>
      <c r="E11" s="62">
        <f t="shared" si="2"/>
        <v>-32.376377952755909</v>
      </c>
      <c r="F11" s="62">
        <f t="shared" si="0"/>
        <v>9.8826771653543304</v>
      </c>
      <c r="G11" s="61">
        <f t="shared" si="0"/>
        <v>6.3157480314960619</v>
      </c>
    </row>
    <row r="12" spans="1:7" x14ac:dyDescent="0.25">
      <c r="A12" t="s">
        <v>98</v>
      </c>
      <c r="B12" s="61">
        <v>-752.89149999999995</v>
      </c>
      <c r="C12" s="61">
        <v>276.44600000000003</v>
      </c>
      <c r="D12" s="61">
        <v>354.2944</v>
      </c>
      <c r="E12" s="62">
        <f t="shared" si="2"/>
        <v>-29.641397637795272</v>
      </c>
      <c r="F12" s="62">
        <f t="shared" si="0"/>
        <v>10.883700787401576</v>
      </c>
      <c r="G12" s="61">
        <f t="shared" si="0"/>
        <v>13.948598425196851</v>
      </c>
    </row>
    <row r="13" spans="1:7" x14ac:dyDescent="0.25">
      <c r="A13" t="s">
        <v>99</v>
      </c>
      <c r="B13" s="61">
        <v>-740.60050000000001</v>
      </c>
      <c r="C13" s="61">
        <v>277.49259999999998</v>
      </c>
      <c r="D13" s="61">
        <v>174.36779999999999</v>
      </c>
      <c r="E13" s="62">
        <f t="shared" si="2"/>
        <v>-29.157499999999999</v>
      </c>
      <c r="F13" s="62">
        <f t="shared" si="0"/>
        <v>10.924905511811023</v>
      </c>
      <c r="G13" s="61">
        <f t="shared" si="0"/>
        <v>6.8648740157480317</v>
      </c>
    </row>
    <row r="14" spans="1:7" x14ac:dyDescent="0.25">
      <c r="A14" t="s">
        <v>100</v>
      </c>
      <c r="B14" s="61">
        <v>-743.71</v>
      </c>
      <c r="C14" s="61">
        <v>647.70000000000005</v>
      </c>
      <c r="D14" s="61">
        <v>232.41</v>
      </c>
      <c r="E14" s="62">
        <f t="shared" si="2"/>
        <v>-29.279921259842521</v>
      </c>
      <c r="F14" s="62">
        <f t="shared" si="0"/>
        <v>25.5</v>
      </c>
      <c r="G14" s="61">
        <f t="shared" si="0"/>
        <v>9.15</v>
      </c>
    </row>
    <row r="15" spans="1:7" x14ac:dyDescent="0.25">
      <c r="A15" t="s">
        <v>101</v>
      </c>
      <c r="B15" s="61">
        <v>-743.71</v>
      </c>
      <c r="C15" s="61">
        <v>609.6</v>
      </c>
      <c r="D15" s="61">
        <v>232.41</v>
      </c>
      <c r="E15" s="62">
        <f t="shared" si="2"/>
        <v>-29.279921259842521</v>
      </c>
      <c r="F15" s="62">
        <f t="shared" si="0"/>
        <v>24</v>
      </c>
      <c r="G15" s="61">
        <f t="shared" si="0"/>
        <v>9.15</v>
      </c>
    </row>
    <row r="16" spans="1:7" x14ac:dyDescent="0.25">
      <c r="A16" t="s">
        <v>102</v>
      </c>
      <c r="B16" s="61">
        <v>-728.81849999999997</v>
      </c>
      <c r="C16" s="61">
        <v>275.64760000000001</v>
      </c>
      <c r="D16" s="61">
        <v>141.65389999999999</v>
      </c>
      <c r="E16" s="62">
        <f t="shared" si="2"/>
        <v>-28.693641732283464</v>
      </c>
      <c r="F16" s="62">
        <f t="shared" si="0"/>
        <v>10.852267716535433</v>
      </c>
      <c r="G16" s="61">
        <f t="shared" si="0"/>
        <v>5.5769251968503939</v>
      </c>
    </row>
    <row r="17" spans="1:7" x14ac:dyDescent="0.25">
      <c r="A17" t="s">
        <v>103</v>
      </c>
      <c r="B17" s="61">
        <v>-747.82420000000002</v>
      </c>
      <c r="C17" s="61">
        <v>275.64760000000001</v>
      </c>
      <c r="D17" s="61">
        <v>139.27359999999999</v>
      </c>
      <c r="E17" s="62">
        <f t="shared" si="2"/>
        <v>-29.441897637795275</v>
      </c>
      <c r="F17" s="62">
        <f t="shared" si="0"/>
        <v>10.852267716535433</v>
      </c>
      <c r="G17" s="61">
        <f t="shared" si="0"/>
        <v>5.4832125984251965</v>
      </c>
    </row>
    <row r="18" spans="1:7" ht="15.75" thickBot="1" x14ac:dyDescent="0.3">
      <c r="A18" t="s">
        <v>104</v>
      </c>
      <c r="B18" s="61">
        <v>-743.71</v>
      </c>
      <c r="C18" s="61">
        <v>609.6</v>
      </c>
      <c r="D18" s="61">
        <v>3.81</v>
      </c>
      <c r="E18" s="62">
        <f t="shared" si="2"/>
        <v>-29.279921259842521</v>
      </c>
      <c r="F18" s="62">
        <f t="shared" si="2"/>
        <v>24</v>
      </c>
      <c r="G18" s="61">
        <f t="shared" si="2"/>
        <v>0.15</v>
      </c>
    </row>
    <row r="19" spans="1:7" x14ac:dyDescent="0.25">
      <c r="A19" s="59" t="s">
        <v>105</v>
      </c>
      <c r="B19" s="60" t="s">
        <v>82</v>
      </c>
      <c r="C19" s="60" t="s">
        <v>83</v>
      </c>
      <c r="D19" s="60" t="s">
        <v>84</v>
      </c>
      <c r="E19" s="6" t="s">
        <v>85</v>
      </c>
      <c r="F19" s="6" t="s">
        <v>86</v>
      </c>
      <c r="G19" s="60" t="s">
        <v>87</v>
      </c>
    </row>
    <row r="20" spans="1:7" x14ac:dyDescent="0.25">
      <c r="A20" t="s">
        <v>88</v>
      </c>
      <c r="B20" s="61">
        <v>542.55999999999995</v>
      </c>
      <c r="C20" s="61">
        <v>278.26</v>
      </c>
      <c r="D20" s="61">
        <v>153.21</v>
      </c>
      <c r="E20" s="62">
        <f t="shared" si="2"/>
        <v>21.360629921259839</v>
      </c>
      <c r="F20" s="62">
        <f t="shared" si="2"/>
        <v>10.955118110236221</v>
      </c>
      <c r="G20" s="61">
        <f t="shared" si="2"/>
        <v>6.0318897637795272</v>
      </c>
    </row>
    <row r="21" spans="1:7" x14ac:dyDescent="0.25">
      <c r="A21" t="s">
        <v>89</v>
      </c>
      <c r="B21" s="61">
        <v>806.87</v>
      </c>
      <c r="C21" s="61">
        <v>278.26</v>
      </c>
      <c r="D21" s="61">
        <v>130.29</v>
      </c>
      <c r="E21" s="62">
        <f t="shared" si="2"/>
        <v>31.766535433070867</v>
      </c>
      <c r="F21" s="62">
        <f t="shared" si="2"/>
        <v>10.955118110236221</v>
      </c>
      <c r="G21" s="61">
        <f t="shared" si="2"/>
        <v>5.1295275590551181</v>
      </c>
    </row>
    <row r="22" spans="1:7" x14ac:dyDescent="0.25">
      <c r="A22" t="s">
        <v>90</v>
      </c>
      <c r="B22" s="61">
        <v>807.26</v>
      </c>
      <c r="C22" s="61">
        <v>572.9</v>
      </c>
      <c r="D22" s="61">
        <v>134.84</v>
      </c>
      <c r="E22" s="62">
        <f t="shared" si="2"/>
        <v>31.781889763779528</v>
      </c>
      <c r="F22" s="62">
        <f t="shared" si="2"/>
        <v>22.555118110236222</v>
      </c>
      <c r="G22" s="61">
        <f t="shared" si="2"/>
        <v>5.3086614173228348</v>
      </c>
    </row>
    <row r="23" spans="1:7" x14ac:dyDescent="0.25">
      <c r="A23" t="s">
        <v>91</v>
      </c>
      <c r="B23" s="61">
        <v>568.21</v>
      </c>
      <c r="C23" s="61">
        <v>296.63</v>
      </c>
      <c r="D23" s="61">
        <v>288.2</v>
      </c>
      <c r="E23" s="62">
        <f t="shared" ref="E23:G36" si="3">CONVERT(B23,"mm","in")</f>
        <v>22.370472440944884</v>
      </c>
      <c r="F23" s="62">
        <f t="shared" si="3"/>
        <v>11.678346456692914</v>
      </c>
      <c r="G23" s="61">
        <f t="shared" si="3"/>
        <v>11.346456692913385</v>
      </c>
    </row>
    <row r="24" spans="1:7" x14ac:dyDescent="0.25">
      <c r="A24" t="s">
        <v>92</v>
      </c>
      <c r="B24" s="61">
        <v>818.68</v>
      </c>
      <c r="C24" s="61">
        <v>296.63</v>
      </c>
      <c r="D24" s="61">
        <v>266.49</v>
      </c>
      <c r="E24" s="62">
        <f t="shared" si="3"/>
        <v>32.231496062992122</v>
      </c>
      <c r="F24" s="62">
        <f t="shared" si="3"/>
        <v>11.678346456692914</v>
      </c>
      <c r="G24" s="61">
        <f t="shared" si="3"/>
        <v>10.491732283464568</v>
      </c>
    </row>
    <row r="25" spans="1:7" x14ac:dyDescent="0.25">
      <c r="A25" t="s">
        <v>93</v>
      </c>
      <c r="B25" s="61">
        <v>804.75</v>
      </c>
      <c r="C25" s="61">
        <v>562.49</v>
      </c>
      <c r="D25" s="61">
        <v>328.04</v>
      </c>
      <c r="E25" s="62">
        <f t="shared" si="3"/>
        <v>31.683070866141733</v>
      </c>
      <c r="F25" s="62">
        <f t="shared" si="3"/>
        <v>22.145275590551179</v>
      </c>
      <c r="G25" s="61">
        <f t="shared" si="3"/>
        <v>12.914960629921259</v>
      </c>
    </row>
    <row r="26" spans="1:7" x14ac:dyDescent="0.25">
      <c r="A26" t="s">
        <v>94</v>
      </c>
      <c r="B26" s="61">
        <v>783.32</v>
      </c>
      <c r="C26" s="61">
        <v>520.85</v>
      </c>
      <c r="D26" s="61">
        <v>152.68</v>
      </c>
      <c r="E26" s="62">
        <f t="shared" si="3"/>
        <v>30.839370078740163</v>
      </c>
      <c r="F26" s="62">
        <f t="shared" si="3"/>
        <v>20.505905511811022</v>
      </c>
      <c r="G26" s="61">
        <f t="shared" si="3"/>
        <v>6.0110236220472446</v>
      </c>
    </row>
    <row r="27" spans="1:7" x14ac:dyDescent="0.25">
      <c r="A27" t="s">
        <v>95</v>
      </c>
      <c r="B27" s="61">
        <v>801.28</v>
      </c>
      <c r="C27" s="61">
        <v>338.38</v>
      </c>
      <c r="D27" s="61">
        <v>358.51</v>
      </c>
      <c r="E27" s="62">
        <f t="shared" si="3"/>
        <v>31.546456692913388</v>
      </c>
      <c r="F27" s="62">
        <f t="shared" si="3"/>
        <v>13.322047244094488</v>
      </c>
      <c r="G27" s="61">
        <f t="shared" si="3"/>
        <v>14.114566929133858</v>
      </c>
    </row>
    <row r="28" spans="1:7" x14ac:dyDescent="0.25">
      <c r="A28" t="s">
        <v>96</v>
      </c>
      <c r="B28" s="61">
        <v>833.43</v>
      </c>
      <c r="C28" s="61">
        <v>562.49</v>
      </c>
      <c r="D28" s="61">
        <v>325.55</v>
      </c>
      <c r="E28" s="62">
        <f t="shared" si="3"/>
        <v>32.81220472440944</v>
      </c>
      <c r="F28" s="62">
        <f t="shared" si="3"/>
        <v>22.145275590551179</v>
      </c>
      <c r="G28" s="61">
        <f t="shared" si="3"/>
        <v>12.816929133858268</v>
      </c>
    </row>
    <row r="29" spans="1:7" x14ac:dyDescent="0.25">
      <c r="A29" t="s">
        <v>97</v>
      </c>
      <c r="B29" s="61">
        <v>840.38</v>
      </c>
      <c r="C29" s="61">
        <v>293.33999999999997</v>
      </c>
      <c r="D29" s="61">
        <v>264.49</v>
      </c>
      <c r="E29" s="62">
        <f t="shared" si="3"/>
        <v>33.085826771653544</v>
      </c>
      <c r="F29" s="62">
        <f t="shared" si="3"/>
        <v>11.548818897637794</v>
      </c>
      <c r="G29" s="61">
        <f t="shared" si="3"/>
        <v>10.412992125984253</v>
      </c>
    </row>
    <row r="30" spans="1:7" x14ac:dyDescent="0.25">
      <c r="A30" t="s">
        <v>98</v>
      </c>
      <c r="B30" s="61">
        <v>801.9</v>
      </c>
      <c r="C30" s="61">
        <v>91.24</v>
      </c>
      <c r="D30" s="61">
        <v>365.68</v>
      </c>
      <c r="E30" s="62">
        <f t="shared" si="3"/>
        <v>31.570866141732285</v>
      </c>
      <c r="F30" s="62">
        <f t="shared" si="3"/>
        <v>3.5921259842519686</v>
      </c>
      <c r="G30" s="61">
        <f t="shared" si="3"/>
        <v>14.396850393700788</v>
      </c>
    </row>
    <row r="31" spans="1:7" x14ac:dyDescent="0.25">
      <c r="A31" t="s">
        <v>99</v>
      </c>
      <c r="B31" s="61">
        <v>801.45</v>
      </c>
      <c r="C31" s="61">
        <v>262.2</v>
      </c>
      <c r="D31" s="61">
        <v>360.45</v>
      </c>
      <c r="E31" s="62">
        <f t="shared" si="3"/>
        <v>31.553149606299211</v>
      </c>
      <c r="F31" s="62">
        <f t="shared" si="3"/>
        <v>10.322834645669291</v>
      </c>
      <c r="G31" s="61">
        <f t="shared" si="3"/>
        <v>14.190944881889763</v>
      </c>
    </row>
    <row r="32" spans="1:7" x14ac:dyDescent="0.25">
      <c r="A32" t="s">
        <v>100</v>
      </c>
      <c r="B32" s="61">
        <v>805.69</v>
      </c>
      <c r="C32" s="61">
        <v>647.70000000000005</v>
      </c>
      <c r="D32" s="61">
        <v>232.41</v>
      </c>
      <c r="E32" s="62">
        <f t="shared" si="3"/>
        <v>31.720078740157486</v>
      </c>
      <c r="F32" s="62">
        <f t="shared" si="3"/>
        <v>25.5</v>
      </c>
      <c r="G32" s="61">
        <f t="shared" si="3"/>
        <v>9.15</v>
      </c>
    </row>
    <row r="33" spans="1:7" x14ac:dyDescent="0.25">
      <c r="A33" t="s">
        <v>101</v>
      </c>
      <c r="B33" s="61">
        <v>805.69</v>
      </c>
      <c r="C33" s="61">
        <v>609.6</v>
      </c>
      <c r="D33" s="61">
        <v>232.41</v>
      </c>
      <c r="E33" s="62">
        <f t="shared" si="3"/>
        <v>31.720078740157486</v>
      </c>
      <c r="F33" s="62">
        <f t="shared" si="3"/>
        <v>24</v>
      </c>
      <c r="G33" s="61">
        <f t="shared" si="3"/>
        <v>9.15</v>
      </c>
    </row>
    <row r="34" spans="1:7" x14ac:dyDescent="0.25">
      <c r="A34" t="s">
        <v>102</v>
      </c>
      <c r="B34" s="61">
        <v>805.14</v>
      </c>
      <c r="C34" s="61">
        <v>260.45</v>
      </c>
      <c r="D34" s="61">
        <v>291.32</v>
      </c>
      <c r="E34" s="62">
        <f t="shared" si="3"/>
        <v>31.698425196850394</v>
      </c>
      <c r="F34" s="62">
        <f t="shared" si="3"/>
        <v>10.253937007874017</v>
      </c>
      <c r="G34" s="61">
        <f t="shared" si="3"/>
        <v>11.469291338582678</v>
      </c>
    </row>
    <row r="35" spans="1:7" x14ac:dyDescent="0.25">
      <c r="A35" t="s">
        <v>103</v>
      </c>
      <c r="B35" s="61">
        <v>785.91</v>
      </c>
      <c r="C35" s="61">
        <v>260.45</v>
      </c>
      <c r="D35" s="61">
        <v>292.99</v>
      </c>
      <c r="E35" s="62">
        <f t="shared" si="3"/>
        <v>30.941338582677169</v>
      </c>
      <c r="F35" s="62">
        <f t="shared" si="3"/>
        <v>10.253937007874017</v>
      </c>
      <c r="G35" s="61">
        <f t="shared" si="3"/>
        <v>11.53503937007874</v>
      </c>
    </row>
    <row r="36" spans="1:7" ht="15.75" thickBot="1" x14ac:dyDescent="0.3">
      <c r="A36" s="63" t="s">
        <v>104</v>
      </c>
      <c r="B36" s="64">
        <v>805.69</v>
      </c>
      <c r="C36" s="64">
        <v>609.6</v>
      </c>
      <c r="D36" s="64">
        <v>3.81</v>
      </c>
      <c r="E36" s="65">
        <f t="shared" si="3"/>
        <v>31.720078740157486</v>
      </c>
      <c r="F36" s="65">
        <f t="shared" si="3"/>
        <v>24</v>
      </c>
      <c r="G36" s="64">
        <f t="shared" si="3"/>
        <v>0.15</v>
      </c>
    </row>
    <row r="37" spans="1:7" x14ac:dyDescent="0.25">
      <c r="A37" t="s">
        <v>131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377169-B31D-4B9C-B5E5-CCC1F4F81BC1}">
  <dimension ref="A1:Q40"/>
  <sheetViews>
    <sheetView topLeftCell="D23" zoomScale="85" zoomScaleNormal="85" workbookViewId="0">
      <selection activeCell="N29" sqref="N29"/>
    </sheetView>
  </sheetViews>
  <sheetFormatPr defaultRowHeight="15" x14ac:dyDescent="0.25"/>
  <cols>
    <col min="1" max="1" width="27.5703125" customWidth="1"/>
    <col min="2" max="2" width="5.28515625" customWidth="1"/>
    <col min="8" max="8" width="27.5703125" customWidth="1"/>
    <col min="9" max="9" width="5.28515625" customWidth="1"/>
    <col min="17" max="17" width="12.28515625" customWidth="1"/>
    <col min="19" max="19" width="8.7109375" customWidth="1"/>
    <col min="20" max="20" width="9.7109375" customWidth="1"/>
  </cols>
  <sheetData>
    <row r="1" spans="1:17" x14ac:dyDescent="0.25">
      <c r="A1" s="70" t="s">
        <v>0</v>
      </c>
      <c r="B1" s="67"/>
      <c r="C1" s="68"/>
      <c r="D1" s="68"/>
      <c r="E1" s="68"/>
      <c r="F1" s="69"/>
      <c r="G1" s="69"/>
      <c r="H1" s="67"/>
      <c r="I1" s="67"/>
      <c r="J1" s="68"/>
      <c r="K1" s="68"/>
      <c r="L1" s="68"/>
      <c r="M1" s="69"/>
      <c r="N1" s="88"/>
      <c r="O1" s="88"/>
      <c r="P1" s="88"/>
      <c r="Q1" s="88"/>
    </row>
    <row r="2" spans="1:17" ht="14.45" customHeight="1" x14ac:dyDescent="0.25">
      <c r="A2" s="171" t="s">
        <v>1</v>
      </c>
      <c r="B2" s="87"/>
      <c r="C2" s="71" t="s">
        <v>112</v>
      </c>
      <c r="D2" s="72"/>
      <c r="E2" s="73" t="s">
        <v>113</v>
      </c>
      <c r="F2" s="72"/>
      <c r="H2" s="171" t="s">
        <v>120</v>
      </c>
      <c r="I2" s="87"/>
      <c r="J2" s="71" t="s">
        <v>112</v>
      </c>
      <c r="K2" s="72"/>
      <c r="L2" s="73" t="s">
        <v>113</v>
      </c>
      <c r="M2" s="90"/>
      <c r="N2" s="68"/>
      <c r="O2" s="68"/>
      <c r="P2" s="68"/>
      <c r="Q2" s="68"/>
    </row>
    <row r="3" spans="1:17" x14ac:dyDescent="0.25">
      <c r="A3" s="172"/>
      <c r="B3" s="68"/>
      <c r="C3" s="74" t="s">
        <v>114</v>
      </c>
      <c r="D3">
        <v>0</v>
      </c>
      <c r="E3" s="62" t="s">
        <v>114</v>
      </c>
      <c r="F3" s="75">
        <v>0</v>
      </c>
      <c r="H3" s="172"/>
      <c r="I3" s="68"/>
      <c r="J3" s="74" t="s">
        <v>114</v>
      </c>
      <c r="K3">
        <v>0</v>
      </c>
      <c r="L3" s="62" t="s">
        <v>114</v>
      </c>
      <c r="M3" s="75">
        <v>0</v>
      </c>
      <c r="N3" s="68"/>
      <c r="O3" s="68"/>
      <c r="P3" s="68"/>
      <c r="Q3" s="68"/>
    </row>
    <row r="4" spans="1:17" x14ac:dyDescent="0.25">
      <c r="C4" s="74" t="s">
        <v>115</v>
      </c>
      <c r="D4">
        <v>0</v>
      </c>
      <c r="E4" s="62" t="s">
        <v>115</v>
      </c>
      <c r="F4" s="75">
        <v>0</v>
      </c>
      <c r="J4" s="74" t="s">
        <v>115</v>
      </c>
      <c r="K4">
        <v>0</v>
      </c>
      <c r="L4" s="62" t="s">
        <v>115</v>
      </c>
      <c r="M4" s="75">
        <v>0</v>
      </c>
    </row>
    <row r="5" spans="1:17" x14ac:dyDescent="0.25">
      <c r="C5" s="74" t="s">
        <v>116</v>
      </c>
      <c r="D5">
        <v>168</v>
      </c>
      <c r="E5" s="62" t="s">
        <v>116</v>
      </c>
      <c r="F5" s="75">
        <v>168</v>
      </c>
      <c r="J5" s="74" t="s">
        <v>116</v>
      </c>
      <c r="K5">
        <f>5*D5</f>
        <v>840</v>
      </c>
      <c r="L5" s="62" t="s">
        <v>116</v>
      </c>
      <c r="M5" s="75">
        <f>5*F5</f>
        <v>840</v>
      </c>
    </row>
    <row r="6" spans="1:17" x14ac:dyDescent="0.25">
      <c r="A6" s="3"/>
      <c r="B6" s="3"/>
      <c r="C6" s="76"/>
      <c r="D6" s="77"/>
      <c r="E6" s="78"/>
      <c r="F6" s="79"/>
      <c r="H6" s="3"/>
      <c r="I6" s="3"/>
      <c r="J6" s="76"/>
      <c r="K6" s="77"/>
      <c r="L6" s="78"/>
      <c r="M6" s="79"/>
    </row>
    <row r="7" spans="1:17" x14ac:dyDescent="0.25">
      <c r="A7" s="3"/>
      <c r="B7" s="3"/>
      <c r="C7" s="80" t="s">
        <v>117</v>
      </c>
      <c r="D7" s="81"/>
      <c r="E7" s="82" t="s">
        <v>118</v>
      </c>
      <c r="F7" s="81"/>
      <c r="H7" s="3"/>
      <c r="I7" s="3"/>
      <c r="J7" s="80" t="s">
        <v>117</v>
      </c>
      <c r="K7" s="81"/>
      <c r="L7" s="82" t="s">
        <v>118</v>
      </c>
      <c r="M7" s="81"/>
    </row>
    <row r="8" spans="1:17" x14ac:dyDescent="0.25">
      <c r="A8" s="3"/>
      <c r="B8" s="3"/>
      <c r="C8" s="74" t="s">
        <v>114</v>
      </c>
      <c r="D8">
        <v>0</v>
      </c>
      <c r="E8" s="62" t="s">
        <v>114</v>
      </c>
      <c r="F8" s="75">
        <v>0</v>
      </c>
      <c r="H8" s="3"/>
      <c r="I8" s="3"/>
      <c r="J8" s="74" t="s">
        <v>114</v>
      </c>
      <c r="K8">
        <v>0</v>
      </c>
      <c r="L8" s="62" t="s">
        <v>114</v>
      </c>
      <c r="M8" s="75">
        <v>0</v>
      </c>
    </row>
    <row r="9" spans="1:17" x14ac:dyDescent="0.25">
      <c r="A9" s="3"/>
      <c r="B9" s="3"/>
      <c r="C9" s="74" t="s">
        <v>115</v>
      </c>
      <c r="D9">
        <v>0</v>
      </c>
      <c r="E9" s="62" t="s">
        <v>115</v>
      </c>
      <c r="F9" s="75">
        <v>0</v>
      </c>
      <c r="H9" s="3"/>
      <c r="I9" s="3"/>
      <c r="J9" s="74" t="s">
        <v>115</v>
      </c>
      <c r="K9">
        <v>0</v>
      </c>
      <c r="L9" s="62" t="s">
        <v>115</v>
      </c>
      <c r="M9" s="75">
        <v>0</v>
      </c>
    </row>
    <row r="10" spans="1:17" x14ac:dyDescent="0.25">
      <c r="A10" s="3"/>
      <c r="B10" s="3"/>
      <c r="C10" s="83" t="s">
        <v>116</v>
      </c>
      <c r="D10" s="84">
        <v>182</v>
      </c>
      <c r="E10" s="85" t="s">
        <v>116</v>
      </c>
      <c r="F10" s="86">
        <v>182</v>
      </c>
      <c r="H10" s="3"/>
      <c r="I10" s="3"/>
      <c r="J10" s="83" t="s">
        <v>116</v>
      </c>
      <c r="K10" s="84">
        <f>5*D10</f>
        <v>910</v>
      </c>
      <c r="L10" s="85" t="s">
        <v>116</v>
      </c>
      <c r="M10" s="86">
        <f>5*F10</f>
        <v>910</v>
      </c>
    </row>
    <row r="11" spans="1:17" x14ac:dyDescent="0.25">
      <c r="A11" s="3"/>
      <c r="B11" s="3"/>
      <c r="C11" s="3"/>
      <c r="H11" s="3"/>
      <c r="I11" s="3"/>
      <c r="J11" s="3"/>
    </row>
    <row r="12" spans="1:17" x14ac:dyDescent="0.25">
      <c r="A12" s="169" t="s">
        <v>109</v>
      </c>
      <c r="B12" s="87"/>
      <c r="C12" s="71" t="s">
        <v>112</v>
      </c>
      <c r="D12" s="72"/>
      <c r="E12" s="73" t="s">
        <v>113</v>
      </c>
      <c r="F12" s="72"/>
      <c r="H12" s="88"/>
      <c r="I12" s="87"/>
      <c r="J12" s="56"/>
      <c r="L12" s="56"/>
    </row>
    <row r="13" spans="1:17" x14ac:dyDescent="0.25">
      <c r="A13" s="170"/>
      <c r="B13" s="68"/>
      <c r="C13" s="74" t="s">
        <v>114</v>
      </c>
      <c r="D13">
        <v>0</v>
      </c>
      <c r="E13" s="62" t="s">
        <v>114</v>
      </c>
      <c r="F13" s="75">
        <v>0</v>
      </c>
      <c r="H13" s="89"/>
      <c r="I13" s="68"/>
    </row>
    <row r="14" spans="1:17" x14ac:dyDescent="0.25">
      <c r="C14" s="74" t="s">
        <v>115</v>
      </c>
      <c r="D14">
        <v>0</v>
      </c>
      <c r="E14" s="62" t="s">
        <v>115</v>
      </c>
      <c r="F14" s="75">
        <v>0</v>
      </c>
    </row>
    <row r="15" spans="1:17" x14ac:dyDescent="0.25">
      <c r="C15" s="74" t="s">
        <v>116</v>
      </c>
      <c r="D15">
        <v>72.019670000000005</v>
      </c>
      <c r="E15" s="62" t="s">
        <v>116</v>
      </c>
      <c r="F15" s="75">
        <v>72.019670000000005</v>
      </c>
    </row>
    <row r="16" spans="1:17" x14ac:dyDescent="0.25">
      <c r="A16" s="3"/>
      <c r="B16" s="3"/>
      <c r="C16" s="76"/>
      <c r="D16" s="77"/>
      <c r="E16" s="78"/>
      <c r="F16" s="79"/>
      <c r="H16" s="3"/>
      <c r="I16" s="3"/>
    </row>
    <row r="17" spans="1:13" x14ac:dyDescent="0.25">
      <c r="A17" s="3"/>
      <c r="B17" s="3"/>
      <c r="C17" s="80" t="s">
        <v>117</v>
      </c>
      <c r="D17" s="81"/>
      <c r="E17" s="82" t="s">
        <v>118</v>
      </c>
      <c r="F17" s="81"/>
      <c r="H17" s="3"/>
      <c r="I17" s="3"/>
      <c r="J17" s="56"/>
      <c r="L17" s="56"/>
    </row>
    <row r="18" spans="1:13" x14ac:dyDescent="0.25">
      <c r="A18" s="3"/>
      <c r="B18" s="3"/>
      <c r="C18" s="74" t="s">
        <v>114</v>
      </c>
      <c r="D18">
        <v>393.51280000000003</v>
      </c>
      <c r="E18" s="62" t="s">
        <v>114</v>
      </c>
      <c r="F18" s="75">
        <v>393.51280000000003</v>
      </c>
      <c r="H18" s="3"/>
      <c r="I18" s="3"/>
    </row>
    <row r="19" spans="1:13" x14ac:dyDescent="0.25">
      <c r="A19" s="3"/>
      <c r="B19" s="3"/>
      <c r="C19" s="74" t="s">
        <v>115</v>
      </c>
      <c r="D19">
        <v>0</v>
      </c>
      <c r="E19" s="62" t="s">
        <v>115</v>
      </c>
      <c r="F19" s="75">
        <v>0</v>
      </c>
      <c r="H19" s="3"/>
      <c r="I19" s="3"/>
    </row>
    <row r="20" spans="1:13" x14ac:dyDescent="0.25">
      <c r="A20" s="3"/>
      <c r="B20" s="3"/>
      <c r="C20" s="83" t="s">
        <v>116</v>
      </c>
      <c r="D20" s="84">
        <v>277.9803</v>
      </c>
      <c r="E20" s="85" t="s">
        <v>116</v>
      </c>
      <c r="F20" s="86">
        <v>277.9803</v>
      </c>
      <c r="H20" s="3"/>
      <c r="I20" s="3"/>
    </row>
    <row r="22" spans="1:13" x14ac:dyDescent="0.25">
      <c r="A22" s="169" t="s">
        <v>110</v>
      </c>
      <c r="B22" s="87"/>
      <c r="C22" s="71" t="s">
        <v>112</v>
      </c>
      <c r="D22" s="72"/>
      <c r="E22" s="73" t="s">
        <v>113</v>
      </c>
      <c r="F22" s="72"/>
      <c r="H22" s="88"/>
      <c r="I22" s="87"/>
      <c r="J22" s="56"/>
      <c r="L22" s="56"/>
    </row>
    <row r="23" spans="1:13" x14ac:dyDescent="0.25">
      <c r="A23" s="170"/>
      <c r="B23" s="68"/>
      <c r="C23" s="74" t="s">
        <v>114</v>
      </c>
      <c r="D23">
        <v>523.9194</v>
      </c>
      <c r="E23" s="62" t="s">
        <v>114</v>
      </c>
      <c r="F23" s="75">
        <v>523.9194</v>
      </c>
      <c r="H23" s="89"/>
      <c r="I23" s="68"/>
    </row>
    <row r="24" spans="1:13" x14ac:dyDescent="0.25">
      <c r="A24" t="s">
        <v>119</v>
      </c>
      <c r="C24" s="74" t="s">
        <v>115</v>
      </c>
      <c r="D24">
        <v>0</v>
      </c>
      <c r="E24" s="62" t="s">
        <v>115</v>
      </c>
      <c r="F24" s="75">
        <v>0</v>
      </c>
    </row>
    <row r="25" spans="1:13" x14ac:dyDescent="0.25">
      <c r="C25" s="74" t="s">
        <v>116</v>
      </c>
      <c r="D25">
        <v>255.67670000000001</v>
      </c>
      <c r="E25" s="62" t="s">
        <v>116</v>
      </c>
      <c r="F25" s="75">
        <v>255.67670000000001</v>
      </c>
    </row>
    <row r="26" spans="1:13" x14ac:dyDescent="0.25">
      <c r="A26" s="3"/>
      <c r="B26" s="3"/>
      <c r="C26" s="76"/>
      <c r="D26" s="77"/>
      <c r="E26" s="78"/>
      <c r="F26" s="79"/>
      <c r="H26" s="3"/>
      <c r="I26" s="3"/>
    </row>
    <row r="27" spans="1:13" x14ac:dyDescent="0.25">
      <c r="A27" s="3"/>
      <c r="B27" s="3"/>
      <c r="C27" s="80" t="s">
        <v>117</v>
      </c>
      <c r="D27" s="81"/>
      <c r="E27" s="82" t="s">
        <v>118</v>
      </c>
      <c r="F27" s="81"/>
      <c r="H27" s="3"/>
      <c r="I27" s="3"/>
      <c r="J27" s="56"/>
      <c r="L27" s="56"/>
    </row>
    <row r="28" spans="1:13" x14ac:dyDescent="0.25">
      <c r="A28" s="3"/>
      <c r="B28" s="3"/>
      <c r="C28" s="74" t="s">
        <v>114</v>
      </c>
      <c r="D28">
        <v>353.37259999999998</v>
      </c>
      <c r="E28" s="62" t="s">
        <v>114</v>
      </c>
      <c r="F28" s="75">
        <v>353.37259999999998</v>
      </c>
      <c r="H28" s="3"/>
      <c r="I28" s="3"/>
    </row>
    <row r="29" spans="1:13" x14ac:dyDescent="0.25">
      <c r="A29" s="3"/>
      <c r="B29" s="3"/>
      <c r="C29" s="74" t="s">
        <v>115</v>
      </c>
      <c r="D29">
        <v>0</v>
      </c>
      <c r="E29" s="62" t="s">
        <v>115</v>
      </c>
      <c r="F29" s="75">
        <v>0</v>
      </c>
      <c r="H29" s="3"/>
      <c r="I29" s="3"/>
    </row>
    <row r="30" spans="1:13" x14ac:dyDescent="0.25">
      <c r="A30" s="3"/>
      <c r="B30" s="3"/>
      <c r="C30" s="83" t="s">
        <v>116</v>
      </c>
      <c r="D30" s="84">
        <v>94.323279999999997</v>
      </c>
      <c r="E30" s="85" t="s">
        <v>116</v>
      </c>
      <c r="F30" s="86">
        <v>94.323279999999997</v>
      </c>
      <c r="H30" s="3"/>
      <c r="I30" s="3"/>
    </row>
    <row r="32" spans="1:13" ht="14.65" customHeight="1" x14ac:dyDescent="0.25">
      <c r="A32" s="169" t="s">
        <v>111</v>
      </c>
      <c r="B32" s="87"/>
      <c r="C32" s="71" t="s">
        <v>112</v>
      </c>
      <c r="D32" s="72"/>
      <c r="E32" s="73" t="s">
        <v>113</v>
      </c>
      <c r="F32" s="72"/>
      <c r="H32" s="171" t="s">
        <v>54</v>
      </c>
      <c r="I32" s="87"/>
      <c r="J32" s="71" t="s">
        <v>112</v>
      </c>
      <c r="K32" s="72"/>
      <c r="L32" s="73" t="s">
        <v>113</v>
      </c>
      <c r="M32" s="72"/>
    </row>
    <row r="33" spans="1:13" x14ac:dyDescent="0.25">
      <c r="A33" s="170"/>
      <c r="B33" s="68"/>
      <c r="C33" s="74" t="s">
        <v>114</v>
      </c>
      <c r="D33">
        <v>0</v>
      </c>
      <c r="E33" s="62" t="s">
        <v>114</v>
      </c>
      <c r="F33" s="75">
        <v>0</v>
      </c>
      <c r="H33" s="172"/>
      <c r="I33" s="68"/>
      <c r="J33" s="74" t="s">
        <v>114</v>
      </c>
      <c r="K33">
        <v>0</v>
      </c>
      <c r="L33" s="62" t="s">
        <v>114</v>
      </c>
      <c r="M33" s="75">
        <v>0</v>
      </c>
    </row>
    <row r="34" spans="1:13" x14ac:dyDescent="0.25">
      <c r="A34" t="s">
        <v>179</v>
      </c>
      <c r="C34" s="74" t="s">
        <v>115</v>
      </c>
      <c r="D34">
        <v>1232.2360000000001</v>
      </c>
      <c r="E34" s="62" t="s">
        <v>115</v>
      </c>
      <c r="F34" s="75">
        <v>1466.4590000000001</v>
      </c>
      <c r="H34" t="s">
        <v>121</v>
      </c>
      <c r="J34" s="74" t="s">
        <v>115</v>
      </c>
      <c r="K34">
        <v>2447.66</v>
      </c>
      <c r="L34" s="62" t="s">
        <v>115</v>
      </c>
      <c r="M34" s="75">
        <v>3993.55</v>
      </c>
    </row>
    <row r="35" spans="1:13" x14ac:dyDescent="0.25">
      <c r="A35" t="s">
        <v>122</v>
      </c>
      <c r="C35" s="74" t="s">
        <v>116</v>
      </c>
      <c r="D35">
        <v>172.05510000000001</v>
      </c>
      <c r="E35" s="62" t="s">
        <v>116</v>
      </c>
      <c r="F35" s="75">
        <v>163.94489999999999</v>
      </c>
      <c r="H35" t="s">
        <v>130</v>
      </c>
      <c r="J35" s="74" t="s">
        <v>116</v>
      </c>
      <c r="K35">
        <v>172.05510000000001</v>
      </c>
      <c r="L35" s="62" t="s">
        <v>116</v>
      </c>
      <c r="M35" s="75">
        <v>163.94489999999999</v>
      </c>
    </row>
    <row r="36" spans="1:13" x14ac:dyDescent="0.25">
      <c r="A36" s="3"/>
      <c r="B36" s="3"/>
      <c r="C36" s="76"/>
      <c r="D36" s="77"/>
      <c r="E36" s="78"/>
      <c r="F36" s="79"/>
      <c r="H36" s="3"/>
      <c r="I36" s="3"/>
      <c r="J36" s="76"/>
      <c r="K36" s="77"/>
      <c r="L36" s="78"/>
      <c r="M36" s="79"/>
    </row>
    <row r="37" spans="1:13" x14ac:dyDescent="0.25">
      <c r="A37" s="3"/>
      <c r="B37" s="3"/>
      <c r="C37" s="80" t="s">
        <v>117</v>
      </c>
      <c r="D37" s="81"/>
      <c r="E37" s="82" t="s">
        <v>118</v>
      </c>
      <c r="F37" s="81"/>
      <c r="H37" s="3"/>
      <c r="I37" s="3"/>
      <c r="J37" s="80" t="s">
        <v>117</v>
      </c>
      <c r="K37" s="81"/>
      <c r="L37" s="82" t="s">
        <v>118</v>
      </c>
      <c r="M37" s="81"/>
    </row>
    <row r="38" spans="1:13" x14ac:dyDescent="0.25">
      <c r="A38" s="3"/>
      <c r="B38" s="3"/>
      <c r="C38" s="74" t="s">
        <v>114</v>
      </c>
      <c r="D38">
        <v>0</v>
      </c>
      <c r="E38" s="62" t="s">
        <v>114</v>
      </c>
      <c r="F38" s="75">
        <v>0</v>
      </c>
      <c r="H38" s="3"/>
      <c r="I38" s="3"/>
      <c r="J38" s="74" t="s">
        <v>114</v>
      </c>
      <c r="K38">
        <v>0</v>
      </c>
      <c r="L38" s="62" t="s">
        <v>114</v>
      </c>
      <c r="M38" s="75">
        <v>0</v>
      </c>
    </row>
    <row r="39" spans="1:13" x14ac:dyDescent="0.25">
      <c r="A39" s="3"/>
      <c r="B39" s="3"/>
      <c r="C39" s="74" t="s">
        <v>115</v>
      </c>
      <c r="D39">
        <v>-0.97921000000000002</v>
      </c>
      <c r="E39" s="62" t="s">
        <v>115</v>
      </c>
      <c r="F39" s="75">
        <v>-1.1242799999999999</v>
      </c>
      <c r="H39" s="3"/>
      <c r="I39" s="3"/>
      <c r="J39" s="74" t="s">
        <v>115</v>
      </c>
      <c r="K39">
        <v>-1250.0999999999999</v>
      </c>
      <c r="L39" s="62" t="s">
        <v>115</v>
      </c>
      <c r="M39" s="75">
        <v>-2039.63</v>
      </c>
    </row>
    <row r="40" spans="1:13" x14ac:dyDescent="0.25">
      <c r="A40" s="3"/>
      <c r="B40" s="3"/>
      <c r="C40" s="83" t="s">
        <v>116</v>
      </c>
      <c r="D40" s="84">
        <v>186.0652</v>
      </c>
      <c r="E40" s="85" t="s">
        <v>116</v>
      </c>
      <c r="F40" s="86">
        <v>177.9348</v>
      </c>
      <c r="H40" s="3"/>
      <c r="I40" s="3"/>
      <c r="J40" s="83" t="s">
        <v>116</v>
      </c>
      <c r="K40" s="84">
        <v>186.0652</v>
      </c>
      <c r="L40" s="85" t="s">
        <v>116</v>
      </c>
      <c r="M40" s="86">
        <v>177.9348</v>
      </c>
    </row>
  </sheetData>
  <mergeCells count="6">
    <mergeCell ref="A12:A13"/>
    <mergeCell ref="A22:A23"/>
    <mergeCell ref="A32:A33"/>
    <mergeCell ref="H32:H33"/>
    <mergeCell ref="H2:H3"/>
    <mergeCell ref="A2:A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224F4-4987-4756-992B-A8EEBE120213}">
  <dimension ref="A1:J124"/>
  <sheetViews>
    <sheetView topLeftCell="F1" zoomScale="73" zoomScaleNormal="25" workbookViewId="0">
      <selection activeCell="G21" sqref="G21"/>
    </sheetView>
  </sheetViews>
  <sheetFormatPr defaultRowHeight="15" x14ac:dyDescent="0.25"/>
  <cols>
    <col min="1" max="1" width="15" customWidth="1"/>
    <col min="2" max="2" width="18.7109375" customWidth="1"/>
    <col min="3" max="3" width="8.85546875" customWidth="1"/>
    <col min="4" max="4" width="25.28515625" customWidth="1"/>
    <col min="5" max="5" width="23.42578125" customWidth="1"/>
    <col min="6" max="6" width="29.28515625" customWidth="1"/>
    <col min="7" max="7" width="22.42578125" customWidth="1"/>
    <col min="8" max="8" width="20.7109375" customWidth="1"/>
    <col min="9" max="9" width="24.5703125" customWidth="1"/>
    <col min="10" max="10" width="23" customWidth="1"/>
  </cols>
  <sheetData>
    <row r="1" spans="1:10" ht="30" x14ac:dyDescent="0.25">
      <c r="A1" s="176" t="s">
        <v>3</v>
      </c>
      <c r="B1" s="178" t="s">
        <v>4</v>
      </c>
      <c r="C1" s="100" t="s">
        <v>2</v>
      </c>
      <c r="D1" s="7" t="s">
        <v>109</v>
      </c>
      <c r="E1" s="7" t="s">
        <v>110</v>
      </c>
      <c r="F1" s="7" t="s">
        <v>111</v>
      </c>
      <c r="G1" s="100" t="s">
        <v>54</v>
      </c>
      <c r="H1" s="100" t="s">
        <v>120</v>
      </c>
      <c r="I1" s="7" t="s">
        <v>17</v>
      </c>
      <c r="J1" s="7" t="s">
        <v>18</v>
      </c>
    </row>
    <row r="2" spans="1:10" ht="15.75" thickBot="1" x14ac:dyDescent="0.3">
      <c r="A2" s="177"/>
      <c r="B2" s="179"/>
      <c r="C2" s="101" t="s">
        <v>5</v>
      </c>
      <c r="D2" s="8" t="s">
        <v>5</v>
      </c>
      <c r="E2" s="8" t="s">
        <v>5</v>
      </c>
      <c r="F2" s="8" t="s">
        <v>5</v>
      </c>
      <c r="G2" s="101" t="s">
        <v>5</v>
      </c>
      <c r="H2" s="101" t="s">
        <v>5</v>
      </c>
      <c r="I2" s="8" t="s">
        <v>5</v>
      </c>
      <c r="J2" s="8" t="s">
        <v>5</v>
      </c>
    </row>
    <row r="3" spans="1:10" x14ac:dyDescent="0.25">
      <c r="A3" s="180" t="s">
        <v>123</v>
      </c>
      <c r="B3" s="16" t="s">
        <v>8</v>
      </c>
      <c r="C3" s="2">
        <f>'Tire Load Cases'!D3</f>
        <v>0</v>
      </c>
      <c r="D3" s="2">
        <f>'Tire Load Cases'!D13</f>
        <v>0</v>
      </c>
      <c r="E3" s="2">
        <f>'Tire Load Cases'!D23</f>
        <v>523.9194</v>
      </c>
      <c r="F3" s="2">
        <f>'Tire Load Cases'!D33</f>
        <v>0</v>
      </c>
      <c r="G3" s="2">
        <f>'Tire Load Cases'!K33</f>
        <v>0</v>
      </c>
      <c r="H3" s="1">
        <f>'Tire Load Cases'!K3</f>
        <v>0</v>
      </c>
      <c r="I3" s="11" t="s">
        <v>19</v>
      </c>
      <c r="J3" s="93" t="s">
        <v>19</v>
      </c>
    </row>
    <row r="4" spans="1:10" x14ac:dyDescent="0.25">
      <c r="A4" s="181"/>
      <c r="B4" s="17" t="s">
        <v>7</v>
      </c>
      <c r="C4" s="13">
        <f>'Tire Load Cases'!D4</f>
        <v>0</v>
      </c>
      <c r="D4" s="2">
        <f>'Tire Load Cases'!D14</f>
        <v>0</v>
      </c>
      <c r="E4" s="2">
        <f>'Tire Load Cases'!D24</f>
        <v>0</v>
      </c>
      <c r="F4" s="2">
        <f>'Tire Load Cases'!D34</f>
        <v>1232.2360000000001</v>
      </c>
      <c r="G4" s="2">
        <f>'Tire Load Cases'!K34</f>
        <v>2447.66</v>
      </c>
      <c r="H4" s="2">
        <f>'Tire Load Cases'!K4</f>
        <v>0</v>
      </c>
      <c r="I4" s="11" t="s">
        <v>19</v>
      </c>
      <c r="J4" s="94" t="s">
        <v>19</v>
      </c>
    </row>
    <row r="5" spans="1:10" x14ac:dyDescent="0.25">
      <c r="A5" s="181"/>
      <c r="B5" s="20" t="s">
        <v>6</v>
      </c>
      <c r="C5" s="13">
        <f>'Tire Load Cases'!D5</f>
        <v>168</v>
      </c>
      <c r="D5" s="2">
        <f>'Tire Load Cases'!D15</f>
        <v>72.019670000000005</v>
      </c>
      <c r="E5" s="2">
        <f>'Tire Load Cases'!D25</f>
        <v>255.67670000000001</v>
      </c>
      <c r="F5" s="2">
        <f>'Tire Load Cases'!D35</f>
        <v>172.05510000000001</v>
      </c>
      <c r="G5" s="2">
        <f>'Tire Load Cases'!K35</f>
        <v>172.05510000000001</v>
      </c>
      <c r="H5" s="91">
        <f>'Tire Load Cases'!K5</f>
        <v>840</v>
      </c>
      <c r="I5" s="11" t="s">
        <v>19</v>
      </c>
      <c r="J5" s="94" t="s">
        <v>19</v>
      </c>
    </row>
    <row r="6" spans="1:10" x14ac:dyDescent="0.25">
      <c r="A6" s="181"/>
      <c r="B6" s="18" t="s">
        <v>13</v>
      </c>
      <c r="C6" s="14">
        <v>-19.248899999999999</v>
      </c>
      <c r="D6" s="9">
        <v>-8.2517899999999997</v>
      </c>
      <c r="E6" s="9">
        <v>375.42399999999998</v>
      </c>
      <c r="F6" s="9">
        <v>252.27500000000001</v>
      </c>
      <c r="G6" s="9">
        <v>520.55200000000002</v>
      </c>
      <c r="H6" s="9">
        <v>-96.244600000000005</v>
      </c>
      <c r="I6" s="30">
        <f>IF(MIN(C6:H6)&lt;0, MIN(C6:H6), 0)</f>
        <v>-96.244600000000005</v>
      </c>
      <c r="J6" s="95">
        <f>IF(MAX(C6:H6)&gt;0, MAX(C6:H6), 0)</f>
        <v>520.55200000000002</v>
      </c>
    </row>
    <row r="7" spans="1:10" x14ac:dyDescent="0.25">
      <c r="A7" s="181"/>
      <c r="B7" s="18" t="s">
        <v>11</v>
      </c>
      <c r="C7" s="14">
        <v>51.807600000000001</v>
      </c>
      <c r="D7" s="9">
        <v>22.209299999999999</v>
      </c>
      <c r="E7" s="9">
        <v>285.84800000000001</v>
      </c>
      <c r="F7" s="9">
        <v>-364.197</v>
      </c>
      <c r="G7" s="9">
        <v>-775.75699999999995</v>
      </c>
      <c r="H7" s="9">
        <v>259.03800000000001</v>
      </c>
      <c r="I7" s="30">
        <f t="shared" ref="I7:I11" si="0">IF(MIN(C7:H7)&lt;0, MIN(C7:H7), 0)</f>
        <v>-775.75699999999995</v>
      </c>
      <c r="J7" s="95">
        <f t="shared" ref="J7:J11" si="1">IF(MAX(C7:H7)&gt;0, MAX(C7:H7), 0)</f>
        <v>285.84800000000001</v>
      </c>
    </row>
    <row r="8" spans="1:10" x14ac:dyDescent="0.25">
      <c r="A8" s="181"/>
      <c r="B8" s="18" t="s">
        <v>12</v>
      </c>
      <c r="C8" s="14">
        <v>35.738799999999998</v>
      </c>
      <c r="D8" s="9">
        <v>15.3208</v>
      </c>
      <c r="E8" s="9">
        <v>-514.37099999999998</v>
      </c>
      <c r="F8" s="9">
        <v>-407.53399999999999</v>
      </c>
      <c r="G8" s="9">
        <v>-845.60799999999995</v>
      </c>
      <c r="H8" s="9">
        <v>178.69399999999999</v>
      </c>
      <c r="I8" s="30">
        <f t="shared" si="0"/>
        <v>-845.60799999999995</v>
      </c>
      <c r="J8" s="95">
        <f t="shared" si="1"/>
        <v>178.69399999999999</v>
      </c>
    </row>
    <row r="9" spans="1:10" x14ac:dyDescent="0.25">
      <c r="A9" s="181"/>
      <c r="B9" s="18" t="s">
        <v>9</v>
      </c>
      <c r="C9" s="14">
        <v>-126.872</v>
      </c>
      <c r="D9" s="9">
        <v>-54.388500000000001</v>
      </c>
      <c r="E9" s="9">
        <v>178.733</v>
      </c>
      <c r="F9" s="9">
        <v>-511.81299999999999</v>
      </c>
      <c r="G9" s="9">
        <v>-888.48699999999997</v>
      </c>
      <c r="H9" s="9">
        <v>-634.36</v>
      </c>
      <c r="I9" s="30">
        <f t="shared" si="0"/>
        <v>-888.48699999999997</v>
      </c>
      <c r="J9" s="95">
        <f t="shared" si="1"/>
        <v>178.733</v>
      </c>
    </row>
    <row r="10" spans="1:10" x14ac:dyDescent="0.25">
      <c r="A10" s="181"/>
      <c r="B10" s="18" t="s">
        <v>10</v>
      </c>
      <c r="C10" s="14">
        <v>-180.15899999999999</v>
      </c>
      <c r="D10" s="9">
        <v>-77.231899999999996</v>
      </c>
      <c r="E10" s="9">
        <v>-645.03300000000002</v>
      </c>
      <c r="F10" s="9">
        <v>-661.76700000000005</v>
      </c>
      <c r="G10" s="9">
        <v>-1132.52</v>
      </c>
      <c r="H10" s="9">
        <v>-900.79300000000001</v>
      </c>
      <c r="I10" s="30">
        <f t="shared" si="0"/>
        <v>-1132.52</v>
      </c>
      <c r="J10" s="95">
        <f t="shared" si="1"/>
        <v>0</v>
      </c>
    </row>
    <row r="11" spans="1:10" ht="15.75" thickBot="1" x14ac:dyDescent="0.3">
      <c r="A11" s="182"/>
      <c r="B11" s="19" t="s">
        <v>14</v>
      </c>
      <c r="C11" s="15">
        <v>301.358</v>
      </c>
      <c r="D11" s="10">
        <v>129.18899999999999</v>
      </c>
      <c r="E11" s="10">
        <v>395.49</v>
      </c>
      <c r="F11" s="10">
        <v>456.64</v>
      </c>
      <c r="G11" s="10">
        <v>602.64</v>
      </c>
      <c r="H11" s="10">
        <v>1506.79</v>
      </c>
      <c r="I11" s="92">
        <f t="shared" si="0"/>
        <v>0</v>
      </c>
      <c r="J11" s="96">
        <f t="shared" si="1"/>
        <v>1506.79</v>
      </c>
    </row>
    <row r="12" spans="1:10" x14ac:dyDescent="0.25">
      <c r="A12" s="183" t="s">
        <v>124</v>
      </c>
      <c r="B12" s="16" t="s">
        <v>8</v>
      </c>
      <c r="C12" s="2">
        <f>'Tire Load Cases'!F3</f>
        <v>0</v>
      </c>
      <c r="D12" s="2">
        <f>'Tire Load Cases'!F13</f>
        <v>0</v>
      </c>
      <c r="E12" s="2">
        <f>'Tire Load Cases'!F23</f>
        <v>523.9194</v>
      </c>
      <c r="F12" s="2">
        <f>'Tire Load Cases'!F33</f>
        <v>0</v>
      </c>
      <c r="G12" s="2">
        <f>'Tire Load Cases'!M33</f>
        <v>0</v>
      </c>
      <c r="H12" s="91">
        <f>'Tire Load Cases'!M3</f>
        <v>0</v>
      </c>
      <c r="I12" s="12" t="s">
        <v>19</v>
      </c>
      <c r="J12" s="97" t="s">
        <v>19</v>
      </c>
    </row>
    <row r="13" spans="1:10" x14ac:dyDescent="0.25">
      <c r="A13" s="181"/>
      <c r="B13" s="17" t="s">
        <v>7</v>
      </c>
      <c r="C13" s="2">
        <f>'Tire Load Cases'!F4</f>
        <v>0</v>
      </c>
      <c r="D13" s="2">
        <f>'Tire Load Cases'!F14</f>
        <v>0</v>
      </c>
      <c r="E13" s="2">
        <f>'Tire Load Cases'!F24</f>
        <v>0</v>
      </c>
      <c r="F13" s="2">
        <f>'Tire Load Cases'!F34</f>
        <v>1466.4590000000001</v>
      </c>
      <c r="G13" s="2">
        <f>'Tire Load Cases'!M34</f>
        <v>3993.55</v>
      </c>
      <c r="H13" s="91">
        <f>'Tire Load Cases'!M4</f>
        <v>0</v>
      </c>
      <c r="I13" s="11" t="s">
        <v>19</v>
      </c>
      <c r="J13" s="94" t="s">
        <v>19</v>
      </c>
    </row>
    <row r="14" spans="1:10" x14ac:dyDescent="0.25">
      <c r="A14" s="181"/>
      <c r="B14" s="17" t="s">
        <v>8</v>
      </c>
      <c r="C14" s="2">
        <f>'Tire Load Cases'!F5</f>
        <v>168</v>
      </c>
      <c r="D14" s="2">
        <f>'Tire Load Cases'!F15</f>
        <v>72.019670000000005</v>
      </c>
      <c r="E14" s="2">
        <f>'Tire Load Cases'!F25</f>
        <v>255.67670000000001</v>
      </c>
      <c r="F14" s="2">
        <f>'Tire Load Cases'!F35</f>
        <v>163.94489999999999</v>
      </c>
      <c r="G14" s="2">
        <f>'Tire Load Cases'!M35</f>
        <v>163.94489999999999</v>
      </c>
      <c r="H14" s="91">
        <f>'Tire Load Cases'!M5</f>
        <v>840</v>
      </c>
      <c r="I14" s="11" t="s">
        <v>19</v>
      </c>
      <c r="J14" s="94" t="s">
        <v>19</v>
      </c>
    </row>
    <row r="15" spans="1:10" x14ac:dyDescent="0.25">
      <c r="A15" s="181"/>
      <c r="B15" s="18" t="s">
        <v>13</v>
      </c>
      <c r="C15" s="14">
        <v>-19.248899999999999</v>
      </c>
      <c r="D15" s="9">
        <v>-8.2517899999999997</v>
      </c>
      <c r="E15" s="9">
        <v>375.42399999999998</v>
      </c>
      <c r="F15" s="9">
        <v>-342.47199999999998</v>
      </c>
      <c r="G15" s="9">
        <v>-900.27</v>
      </c>
      <c r="H15" s="9">
        <v>-96.244600000000005</v>
      </c>
      <c r="I15" s="30">
        <f t="shared" ref="I15:I20" si="2">IF(MIN(C15:H15)&lt;0, MIN(C15:H15), 0)</f>
        <v>-900.27</v>
      </c>
      <c r="J15" s="95">
        <f t="shared" ref="J15:J20" si="3">IF(MAX(C15:H15)&gt;0, MAX(C15:H15), 0)</f>
        <v>375.42399999999998</v>
      </c>
    </row>
    <row r="16" spans="1:10" x14ac:dyDescent="0.25">
      <c r="A16" s="181"/>
      <c r="B16" s="18" t="s">
        <v>11</v>
      </c>
      <c r="C16" s="14">
        <v>51.807600000000001</v>
      </c>
      <c r="D16" s="9">
        <v>22.209299999999999</v>
      </c>
      <c r="E16" s="9">
        <v>285.84800000000001</v>
      </c>
      <c r="F16" s="9">
        <v>547.12300000000005</v>
      </c>
      <c r="G16" s="9">
        <v>1402.83</v>
      </c>
      <c r="H16" s="9">
        <v>259.03800000000001</v>
      </c>
      <c r="I16" s="30">
        <f t="shared" si="2"/>
        <v>0</v>
      </c>
      <c r="J16" s="95">
        <f t="shared" si="3"/>
        <v>1402.83</v>
      </c>
    </row>
    <row r="17" spans="1:10" x14ac:dyDescent="0.25">
      <c r="A17" s="181"/>
      <c r="B17" s="18" t="s">
        <v>12</v>
      </c>
      <c r="C17" s="14">
        <v>35.738799999999998</v>
      </c>
      <c r="D17" s="9">
        <v>15.3208</v>
      </c>
      <c r="E17" s="9">
        <v>-514.37099999999998</v>
      </c>
      <c r="F17" s="9">
        <v>563.43200000000002</v>
      </c>
      <c r="G17" s="9">
        <v>1474.27</v>
      </c>
      <c r="H17" s="9">
        <v>178.69399999999999</v>
      </c>
      <c r="I17" s="30">
        <f t="shared" si="2"/>
        <v>-514.37099999999998</v>
      </c>
      <c r="J17" s="95">
        <f t="shared" si="3"/>
        <v>1474.27</v>
      </c>
    </row>
    <row r="18" spans="1:10" x14ac:dyDescent="0.25">
      <c r="A18" s="181"/>
      <c r="B18" s="18" t="s">
        <v>9</v>
      </c>
      <c r="C18" s="14">
        <v>-126.872</v>
      </c>
      <c r="D18" s="9">
        <v>-54.388500000000001</v>
      </c>
      <c r="E18" s="9">
        <v>178.733</v>
      </c>
      <c r="F18" s="9">
        <v>330.65800000000002</v>
      </c>
      <c r="G18" s="9">
        <v>1113.83</v>
      </c>
      <c r="H18" s="9">
        <v>-634.36</v>
      </c>
      <c r="I18" s="30">
        <f t="shared" si="2"/>
        <v>-634.36</v>
      </c>
      <c r="J18" s="95">
        <f t="shared" si="3"/>
        <v>1113.83</v>
      </c>
    </row>
    <row r="19" spans="1:10" x14ac:dyDescent="0.25">
      <c r="A19" s="181"/>
      <c r="B19" s="18" t="s">
        <v>10</v>
      </c>
      <c r="C19" s="14">
        <v>-180.15899999999999</v>
      </c>
      <c r="D19" s="9">
        <v>-77.231899999999996</v>
      </c>
      <c r="E19" s="9">
        <v>-645.03300000000002</v>
      </c>
      <c r="F19" s="9">
        <v>392.16899999999998</v>
      </c>
      <c r="G19" s="9">
        <v>1370.96</v>
      </c>
      <c r="H19" s="9">
        <v>-900.79300000000001</v>
      </c>
      <c r="I19" s="30">
        <f t="shared" si="2"/>
        <v>-900.79300000000001</v>
      </c>
      <c r="J19" s="95">
        <f t="shared" si="3"/>
        <v>1370.96</v>
      </c>
    </row>
    <row r="20" spans="1:10" ht="15.75" thickBot="1" x14ac:dyDescent="0.3">
      <c r="A20" s="182"/>
      <c r="B20" s="21" t="s">
        <v>14</v>
      </c>
      <c r="C20" s="15">
        <v>301.358</v>
      </c>
      <c r="D20" s="10">
        <v>129.18899999999999</v>
      </c>
      <c r="E20" s="10">
        <v>395.49</v>
      </c>
      <c r="F20" s="54">
        <v>117.941</v>
      </c>
      <c r="G20" s="54">
        <v>-185.62</v>
      </c>
      <c r="H20" s="10">
        <v>1506.79</v>
      </c>
      <c r="I20" s="92">
        <f t="shared" si="2"/>
        <v>-185.62</v>
      </c>
      <c r="J20" s="96">
        <f t="shared" si="3"/>
        <v>1506.79</v>
      </c>
    </row>
    <row r="21" spans="1:10" x14ac:dyDescent="0.25">
      <c r="A21" s="173" t="s">
        <v>125</v>
      </c>
      <c r="B21" s="16" t="s">
        <v>8</v>
      </c>
      <c r="C21" s="103">
        <f>'Tire Load Cases'!D8</f>
        <v>0</v>
      </c>
      <c r="D21" s="1">
        <f>'Tire Load Cases'!D18</f>
        <v>393.51280000000003</v>
      </c>
      <c r="E21" s="1">
        <v>353.37259999999998</v>
      </c>
      <c r="F21" s="1">
        <f>'Tire Load Cases'!D38</f>
        <v>0</v>
      </c>
      <c r="G21" s="1">
        <f>'Tire Load Cases'!K38</f>
        <v>0</v>
      </c>
      <c r="H21" s="1">
        <f>'Tire Load Cases'!K8</f>
        <v>0</v>
      </c>
      <c r="I21" s="12" t="s">
        <v>19</v>
      </c>
      <c r="J21" s="97" t="s">
        <v>19</v>
      </c>
    </row>
    <row r="22" spans="1:10" x14ac:dyDescent="0.25">
      <c r="A22" s="174"/>
      <c r="B22" s="17" t="s">
        <v>7</v>
      </c>
      <c r="C22" s="104">
        <f>'Tire Load Cases'!D9</f>
        <v>0</v>
      </c>
      <c r="D22" s="2">
        <f>'Tire Load Cases'!D19</f>
        <v>0</v>
      </c>
      <c r="E22" s="2">
        <v>0</v>
      </c>
      <c r="F22" s="91">
        <f>'Tire Load Cases'!D39</f>
        <v>-0.97921000000000002</v>
      </c>
      <c r="G22" s="2">
        <f>'Tire Load Cases'!K39</f>
        <v>-1250.0999999999999</v>
      </c>
      <c r="H22" s="2">
        <f>'Tire Load Cases'!K9</f>
        <v>0</v>
      </c>
      <c r="I22" s="11" t="s">
        <v>19</v>
      </c>
      <c r="J22" s="94" t="s">
        <v>19</v>
      </c>
    </row>
    <row r="23" spans="1:10" x14ac:dyDescent="0.25">
      <c r="A23" s="174"/>
      <c r="B23" s="17" t="s">
        <v>8</v>
      </c>
      <c r="C23" s="102">
        <f>'Tire Load Cases'!D10</f>
        <v>182</v>
      </c>
      <c r="D23" s="91">
        <f>'Tire Load Cases'!D20</f>
        <v>277.9803</v>
      </c>
      <c r="E23" s="91">
        <v>94.323279999999997</v>
      </c>
      <c r="F23" s="91">
        <f>'Tire Load Cases'!D40</f>
        <v>186.0652</v>
      </c>
      <c r="G23" s="91">
        <f>'Tire Load Cases'!K40</f>
        <v>186.0652</v>
      </c>
      <c r="H23" s="91">
        <f>'Tire Load Cases'!K10</f>
        <v>910</v>
      </c>
      <c r="I23" s="11" t="s">
        <v>19</v>
      </c>
      <c r="J23" s="94" t="s">
        <v>19</v>
      </c>
    </row>
    <row r="24" spans="1:10" x14ac:dyDescent="0.25">
      <c r="A24" s="174"/>
      <c r="B24" s="18" t="s">
        <v>15</v>
      </c>
      <c r="C24" s="14">
        <v>-173.13900000000001</v>
      </c>
      <c r="D24" s="9">
        <v>-879.13699999999994</v>
      </c>
      <c r="E24" s="9">
        <v>-641.72</v>
      </c>
      <c r="F24" s="9">
        <v>-176.99600000000001</v>
      </c>
      <c r="G24" s="9">
        <v>-54.914499999999997</v>
      </c>
      <c r="H24" s="9">
        <v>-865.69600000000003</v>
      </c>
      <c r="I24" s="30">
        <f t="shared" ref="I24:I29" si="4">IF(MIN(C24:H24)&lt;0, MIN(C24:H24), 0)</f>
        <v>-879.13699999999994</v>
      </c>
      <c r="J24" s="95">
        <f t="shared" ref="J24:J29" si="5">IF(MAX(C24:H24)&gt;0, MAX(C24:H24), 0)</f>
        <v>0</v>
      </c>
    </row>
    <row r="25" spans="1:10" x14ac:dyDescent="0.25">
      <c r="A25" s="174"/>
      <c r="B25" s="18" t="s">
        <v>11</v>
      </c>
      <c r="C25" s="14">
        <v>18.409199999999998</v>
      </c>
      <c r="D25" s="9">
        <v>352.214</v>
      </c>
      <c r="E25" s="9">
        <v>300.57799999999997</v>
      </c>
      <c r="F25" s="9">
        <v>18.818200000000001</v>
      </c>
      <c r="G25" s="9">
        <v>4.4700100000000003</v>
      </c>
      <c r="H25" s="9">
        <v>92.045900000000003</v>
      </c>
      <c r="I25" s="30">
        <f t="shared" si="4"/>
        <v>0</v>
      </c>
      <c r="J25" s="95">
        <f t="shared" si="5"/>
        <v>352.214</v>
      </c>
    </row>
    <row r="26" spans="1:10" x14ac:dyDescent="0.25">
      <c r="A26" s="174"/>
      <c r="B26" s="18" t="s">
        <v>12</v>
      </c>
      <c r="C26" s="14">
        <v>229.393</v>
      </c>
      <c r="D26" s="9">
        <v>153.697</v>
      </c>
      <c r="E26" s="9">
        <v>-57.723599999999998</v>
      </c>
      <c r="F26" s="9">
        <v>234.999</v>
      </c>
      <c r="G26" s="9">
        <v>704.94</v>
      </c>
      <c r="H26" s="9">
        <v>1146.97</v>
      </c>
      <c r="I26" s="30">
        <f t="shared" si="4"/>
        <v>-57.723599999999998</v>
      </c>
      <c r="J26" s="95">
        <f t="shared" si="5"/>
        <v>1146.97</v>
      </c>
    </row>
    <row r="27" spans="1:10" x14ac:dyDescent="0.25">
      <c r="A27" s="174"/>
      <c r="B27" s="18" t="s">
        <v>9</v>
      </c>
      <c r="C27" s="14">
        <v>-41.041200000000003</v>
      </c>
      <c r="D27" s="9">
        <v>208.375</v>
      </c>
      <c r="E27" s="9">
        <v>222.14</v>
      </c>
      <c r="F27" s="9">
        <v>-41.918300000000002</v>
      </c>
      <c r="G27" s="9">
        <v>34.517400000000002</v>
      </c>
      <c r="H27" s="9">
        <v>-205.20599999999999</v>
      </c>
      <c r="I27" s="30">
        <f t="shared" si="4"/>
        <v>-205.20599999999999</v>
      </c>
      <c r="J27" s="95">
        <f t="shared" si="5"/>
        <v>222.14</v>
      </c>
    </row>
    <row r="28" spans="1:10" x14ac:dyDescent="0.25">
      <c r="A28" s="174"/>
      <c r="B28" s="18" t="s">
        <v>10</v>
      </c>
      <c r="C28" s="14">
        <v>130.624</v>
      </c>
      <c r="D28" s="9">
        <v>594.86900000000003</v>
      </c>
      <c r="E28" s="9">
        <v>422.72699999999998</v>
      </c>
      <c r="F28" s="9">
        <v>133.99199999999999</v>
      </c>
      <c r="G28" s="9">
        <v>624.87</v>
      </c>
      <c r="H28" s="9">
        <v>653.12199999999996</v>
      </c>
      <c r="I28" s="30">
        <f t="shared" si="4"/>
        <v>0</v>
      </c>
      <c r="J28" s="95">
        <f t="shared" si="5"/>
        <v>653.12199999999996</v>
      </c>
    </row>
    <row r="29" spans="1:10" ht="15.75" thickBot="1" x14ac:dyDescent="0.3">
      <c r="A29" s="175"/>
      <c r="B29" s="21" t="s">
        <v>16</v>
      </c>
      <c r="C29" s="53">
        <v>-285.13</v>
      </c>
      <c r="D29" s="54">
        <v>-440.84899999999999</v>
      </c>
      <c r="E29" s="54">
        <v>-175.61600000000001</v>
      </c>
      <c r="F29" s="54">
        <v>-263.86200000000002</v>
      </c>
      <c r="G29" s="54">
        <v>-57.624099999999999</v>
      </c>
      <c r="H29" s="9">
        <v>-1290.6500000000001</v>
      </c>
      <c r="I29" s="30">
        <f t="shared" si="4"/>
        <v>-1290.6500000000001</v>
      </c>
      <c r="J29" s="95">
        <f t="shared" si="5"/>
        <v>0</v>
      </c>
    </row>
    <row r="30" spans="1:10" x14ac:dyDescent="0.25">
      <c r="A30" s="173" t="s">
        <v>126</v>
      </c>
      <c r="B30" s="16" t="s">
        <v>8</v>
      </c>
      <c r="C30" s="103">
        <f>'Tire Load Cases'!F8</f>
        <v>0</v>
      </c>
      <c r="D30" s="1">
        <f>'Tire Load Cases'!F18</f>
        <v>393.51280000000003</v>
      </c>
      <c r="E30" s="1">
        <f>'Tire Load Cases'!F28</f>
        <v>353.37259999999998</v>
      </c>
      <c r="F30" s="1">
        <f>'Tire Load Cases'!F38</f>
        <v>0</v>
      </c>
      <c r="G30" s="1">
        <f>'Tire Load Cases'!M38</f>
        <v>0</v>
      </c>
      <c r="H30" s="1">
        <f>'Tire Load Cases'!M8</f>
        <v>0</v>
      </c>
      <c r="I30" s="1"/>
      <c r="J30" s="98"/>
    </row>
    <row r="31" spans="1:10" x14ac:dyDescent="0.25">
      <c r="A31" s="174"/>
      <c r="B31" s="17" t="s">
        <v>7</v>
      </c>
      <c r="C31" s="104">
        <f>'Tire Load Cases'!F9</f>
        <v>0</v>
      </c>
      <c r="D31" s="2">
        <f>'Tire Load Cases'!F19</f>
        <v>0</v>
      </c>
      <c r="E31" s="2">
        <f>'Tire Load Cases'!F29</f>
        <v>0</v>
      </c>
      <c r="F31" s="2">
        <f>'Tire Load Cases'!F39</f>
        <v>-1.1242799999999999</v>
      </c>
      <c r="G31" s="2">
        <f>'Tire Load Cases'!M39</f>
        <v>-2039.63</v>
      </c>
      <c r="H31" s="2">
        <f>'Tire Load Cases'!M9</f>
        <v>0</v>
      </c>
      <c r="I31" s="2"/>
      <c r="J31" s="99"/>
    </row>
    <row r="32" spans="1:10" x14ac:dyDescent="0.25">
      <c r="A32" s="174"/>
      <c r="B32" s="17" t="s">
        <v>8</v>
      </c>
      <c r="C32" s="102">
        <f>'Tire Load Cases'!F10</f>
        <v>182</v>
      </c>
      <c r="D32" s="91">
        <f>'Tire Load Cases'!F20</f>
        <v>277.9803</v>
      </c>
      <c r="E32" s="91">
        <f>'Tire Load Cases'!F30</f>
        <v>94.323279999999997</v>
      </c>
      <c r="F32" s="91">
        <f>'Tire Load Cases'!F40</f>
        <v>177.9348</v>
      </c>
      <c r="G32" s="91">
        <f>'Tire Load Cases'!M40</f>
        <v>177.9348</v>
      </c>
      <c r="H32" s="91">
        <f>'Tire Load Cases'!M10</f>
        <v>910</v>
      </c>
      <c r="I32" s="2"/>
      <c r="J32" s="99"/>
    </row>
    <row r="33" spans="1:10" x14ac:dyDescent="0.25">
      <c r="A33" s="174"/>
      <c r="B33" s="18" t="s">
        <v>15</v>
      </c>
      <c r="C33" s="14">
        <v>-173.13900000000001</v>
      </c>
      <c r="D33" s="9">
        <v>-879.13699999999994</v>
      </c>
      <c r="E33" s="9">
        <v>-641.72</v>
      </c>
      <c r="F33" s="9">
        <v>-169.29599999999999</v>
      </c>
      <c r="G33" s="9">
        <v>-368.52800000000002</v>
      </c>
      <c r="H33" s="9">
        <v>-865.69600000000003</v>
      </c>
      <c r="I33" s="30">
        <f t="shared" ref="I33:I38" si="6">IF(MIN(C33:H33)&lt;0, MIN(C33:H33), 0)</f>
        <v>-879.13699999999994</v>
      </c>
      <c r="J33" s="95">
        <f t="shared" ref="J33:J38" si="7">IF(MAX(C33:H33)&gt;0, MAX(C33:H33), 0)</f>
        <v>0</v>
      </c>
    </row>
    <row r="34" spans="1:10" x14ac:dyDescent="0.25">
      <c r="A34" s="174"/>
      <c r="B34" s="18" t="s">
        <v>11</v>
      </c>
      <c r="C34" s="14">
        <v>18.409199999999998</v>
      </c>
      <c r="D34" s="9">
        <v>352.214</v>
      </c>
      <c r="E34" s="9">
        <v>300.57799999999997</v>
      </c>
      <c r="F34" s="9">
        <v>18.001799999999999</v>
      </c>
      <c r="G34" s="9">
        <v>41.417400000000001</v>
      </c>
      <c r="H34" s="9">
        <v>92.045900000000003</v>
      </c>
      <c r="I34" s="30">
        <f t="shared" si="6"/>
        <v>0</v>
      </c>
      <c r="J34" s="95">
        <f t="shared" si="7"/>
        <v>352.214</v>
      </c>
    </row>
    <row r="35" spans="1:10" x14ac:dyDescent="0.25">
      <c r="A35" s="174"/>
      <c r="B35" s="18" t="s">
        <v>12</v>
      </c>
      <c r="C35" s="14">
        <v>229.393</v>
      </c>
      <c r="D35" s="9">
        <v>153.697</v>
      </c>
      <c r="E35" s="9">
        <v>-57.723599999999998</v>
      </c>
      <c r="F35" s="9">
        <v>223.733</v>
      </c>
      <c r="G35" s="9">
        <v>-543.18899999999996</v>
      </c>
      <c r="H35" s="9">
        <v>1146.97</v>
      </c>
      <c r="I35" s="30">
        <f t="shared" si="6"/>
        <v>-543.18899999999996</v>
      </c>
      <c r="J35" s="95">
        <f t="shared" si="7"/>
        <v>1146.97</v>
      </c>
    </row>
    <row r="36" spans="1:10" x14ac:dyDescent="0.25">
      <c r="A36" s="174"/>
      <c r="B36" s="18" t="s">
        <v>9</v>
      </c>
      <c r="C36" s="14">
        <v>-41.041200000000003</v>
      </c>
      <c r="D36" s="9">
        <v>208.375</v>
      </c>
      <c r="E36" s="9">
        <v>222.14</v>
      </c>
      <c r="F36" s="9">
        <v>-40.173000000000002</v>
      </c>
      <c r="G36" s="9">
        <v>-164.91200000000001</v>
      </c>
      <c r="H36" s="9">
        <v>-205.20599999999999</v>
      </c>
      <c r="I36" s="30">
        <f t="shared" si="6"/>
        <v>-205.20599999999999</v>
      </c>
      <c r="J36" s="95">
        <f t="shared" si="7"/>
        <v>222.14</v>
      </c>
    </row>
    <row r="37" spans="1:10" x14ac:dyDescent="0.25">
      <c r="A37" s="174"/>
      <c r="B37" s="18" t="s">
        <v>10</v>
      </c>
      <c r="C37" s="14">
        <v>130.624</v>
      </c>
      <c r="D37" s="9">
        <v>594.86900000000003</v>
      </c>
      <c r="E37" s="9">
        <v>422.72699999999998</v>
      </c>
      <c r="F37" s="9">
        <v>127.2</v>
      </c>
      <c r="G37" s="9">
        <v>-673.89</v>
      </c>
      <c r="H37" s="9">
        <v>653.12199999999996</v>
      </c>
      <c r="I37" s="30">
        <f t="shared" si="6"/>
        <v>-673.89</v>
      </c>
      <c r="J37" s="95">
        <f t="shared" si="7"/>
        <v>653.12199999999996</v>
      </c>
    </row>
    <row r="38" spans="1:10" ht="15.75" thickBot="1" x14ac:dyDescent="0.3">
      <c r="A38" s="175"/>
      <c r="B38" s="19" t="s">
        <v>16</v>
      </c>
      <c r="C38" s="55">
        <v>-285.13</v>
      </c>
      <c r="D38" s="10">
        <v>-440.84899999999999</v>
      </c>
      <c r="E38" s="10">
        <v>-175.61600000000001</v>
      </c>
      <c r="F38" s="10">
        <v>-252.423</v>
      </c>
      <c r="G38" s="10">
        <v>-588.99300000000005</v>
      </c>
      <c r="H38" s="10">
        <v>-1290.6500000000001</v>
      </c>
      <c r="I38" s="92">
        <f t="shared" si="6"/>
        <v>-1290.6500000000001</v>
      </c>
      <c r="J38" s="96">
        <f t="shared" si="7"/>
        <v>0</v>
      </c>
    </row>
    <row r="41" spans="1:10" x14ac:dyDescent="0.25">
      <c r="A41" s="56" t="s">
        <v>127</v>
      </c>
    </row>
    <row r="42" spans="1:10" x14ac:dyDescent="0.25">
      <c r="A42" t="s">
        <v>22</v>
      </c>
    </row>
    <row r="57" spans="1:1" x14ac:dyDescent="0.25">
      <c r="A57" t="s">
        <v>23</v>
      </c>
    </row>
    <row r="75" spans="1:1" x14ac:dyDescent="0.25">
      <c r="A75" s="56" t="s">
        <v>128</v>
      </c>
    </row>
    <row r="76" spans="1:1" x14ac:dyDescent="0.25">
      <c r="A76" t="s">
        <v>22</v>
      </c>
    </row>
    <row r="91" spans="1:1" x14ac:dyDescent="0.25">
      <c r="A91" t="s">
        <v>23</v>
      </c>
    </row>
    <row r="110" spans="1:1" x14ac:dyDescent="0.25">
      <c r="A110" s="56" t="s">
        <v>129</v>
      </c>
    </row>
    <row r="111" spans="1:1" x14ac:dyDescent="0.25">
      <c r="A111" t="s">
        <v>22</v>
      </c>
    </row>
    <row r="124" spans="1:1" x14ac:dyDescent="0.25">
      <c r="A124" t="s">
        <v>23</v>
      </c>
    </row>
  </sheetData>
  <mergeCells count="6">
    <mergeCell ref="A30:A38"/>
    <mergeCell ref="A1:A2"/>
    <mergeCell ref="B1:B2"/>
    <mergeCell ref="A3:A11"/>
    <mergeCell ref="A12:A20"/>
    <mergeCell ref="A21:A29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49A42-C931-4C39-8764-CC0C4EF67E2F}">
  <dimension ref="A1:AA16"/>
  <sheetViews>
    <sheetView workbookViewId="0">
      <selection activeCell="T8" sqref="T8"/>
    </sheetView>
  </sheetViews>
  <sheetFormatPr defaultRowHeight="15" x14ac:dyDescent="0.25"/>
  <cols>
    <col min="2" max="2" width="14.140625" customWidth="1"/>
    <col min="3" max="3" width="17" customWidth="1"/>
    <col min="4" max="4" width="15.5703125" customWidth="1"/>
    <col min="7" max="7" width="14.7109375" customWidth="1"/>
    <col min="11" max="11" width="11.5703125" bestFit="1" customWidth="1"/>
    <col min="15" max="15" width="19" customWidth="1"/>
    <col min="16" max="16" width="18.42578125" customWidth="1"/>
    <col min="18" max="18" width="12.42578125" customWidth="1"/>
    <col min="19" max="19" width="16.42578125" customWidth="1"/>
    <col min="20" max="20" width="17.28515625" customWidth="1"/>
    <col min="21" max="21" width="12.7109375" customWidth="1"/>
    <col min="25" max="25" width="23.42578125" customWidth="1"/>
  </cols>
  <sheetData>
    <row r="1" spans="1:27" ht="43.9" customHeight="1" thickBot="1" x14ac:dyDescent="0.3">
      <c r="A1" s="6" t="s">
        <v>3</v>
      </c>
      <c r="B1" s="7" t="s">
        <v>4</v>
      </c>
      <c r="C1" s="7" t="s">
        <v>20</v>
      </c>
      <c r="D1" s="7" t="s">
        <v>21</v>
      </c>
      <c r="E1" s="7" t="s">
        <v>24</v>
      </c>
      <c r="F1" s="7" t="s">
        <v>25</v>
      </c>
      <c r="G1" s="7" t="s">
        <v>39</v>
      </c>
      <c r="H1" s="7" t="s">
        <v>26</v>
      </c>
      <c r="I1" s="7" t="s">
        <v>27</v>
      </c>
      <c r="J1" s="7" t="s">
        <v>28</v>
      </c>
      <c r="K1" s="7" t="s">
        <v>29</v>
      </c>
      <c r="L1" s="7" t="s">
        <v>30</v>
      </c>
      <c r="M1" s="7" t="s">
        <v>31</v>
      </c>
      <c r="N1" s="7" t="s">
        <v>32</v>
      </c>
      <c r="O1" s="7" t="s">
        <v>33</v>
      </c>
      <c r="P1" s="7" t="s">
        <v>34</v>
      </c>
      <c r="Q1" s="7" t="s">
        <v>40</v>
      </c>
      <c r="R1" s="7" t="s">
        <v>35</v>
      </c>
      <c r="S1" s="7" t="s">
        <v>42</v>
      </c>
      <c r="T1" s="7" t="s">
        <v>43</v>
      </c>
      <c r="U1" s="7" t="s">
        <v>41</v>
      </c>
      <c r="V1" s="7" t="s">
        <v>36</v>
      </c>
      <c r="W1" s="7" t="s">
        <v>37</v>
      </c>
      <c r="X1" s="31" t="s">
        <v>38</v>
      </c>
    </row>
    <row r="2" spans="1:27" ht="15.75" thickBot="1" x14ac:dyDescent="0.3">
      <c r="A2" s="187" t="s">
        <v>22</v>
      </c>
      <c r="B2" s="26" t="s">
        <v>9</v>
      </c>
      <c r="C2" s="22">
        <f>MAX(ABS('Geo Forces'!I6),ABS('Geo Forces'!I15))</f>
        <v>900.27</v>
      </c>
      <c r="D2" s="22">
        <f>MAX(ABS('Geo Forces'!J6),ABS('Geo Forces'!J15))</f>
        <v>520.55200000000002</v>
      </c>
      <c r="E2" s="22">
        <v>9.0340000000000007</v>
      </c>
      <c r="F2" s="32">
        <v>0.58799999999999997</v>
      </c>
      <c r="G2" s="32">
        <v>4.5999999999999999E-2</v>
      </c>
      <c r="H2" s="9">
        <f>PI()*((F2/2)^2-(F2/2-G2)^2)</f>
        <v>7.8326188039300693E-2</v>
      </c>
      <c r="I2" s="9">
        <f>H2*E2</f>
        <v>0.70759878274704247</v>
      </c>
      <c r="J2" s="34">
        <f>I2*$Z$4</f>
        <v>3.8139574390065593E-2</v>
      </c>
      <c r="K2" s="33">
        <f>PI()*(F2^4-(F2-(2*G2))^4)/64</f>
        <v>2.8968940646335356E-3</v>
      </c>
      <c r="L2" s="52">
        <f>0.282*SQRT($Z$6*1000*H2/C2)</f>
        <v>11.615382618814646</v>
      </c>
      <c r="M2" s="29">
        <f>SQRT(2*PI()^2*X2*$Z$6*1000/C2)</f>
        <v>716.28591302906796</v>
      </c>
      <c r="N2" s="33">
        <f>E2/SQRT(K2/H2)</f>
        <v>46.975052560546523</v>
      </c>
      <c r="O2" s="33">
        <f>H2*($Z$5-($Z$5*E2/(2*PI()*SQRT(K2/H2))^2/(X2*$Z$6*1000)))</f>
        <v>4942.3811584615387</v>
      </c>
      <c r="P2" s="33">
        <f>X2*PI()^2*$Z$6*1000*K2/E2^2</f>
        <v>8197.6249367105047</v>
      </c>
      <c r="Q2" s="29">
        <f>I2/E2*$Z$5</f>
        <v>4942.3824652798739</v>
      </c>
      <c r="R2" s="29">
        <f>MIN(ABS(P2/C2),ABS(Q2/C2),ABS(Q2/D2))</f>
        <v>5.4898891058014527</v>
      </c>
      <c r="S2" s="4">
        <v>4.5129999999999999</v>
      </c>
      <c r="T2" s="48">
        <v>3.1019999999999999</v>
      </c>
      <c r="U2" s="48">
        <v>7.8049999999999997</v>
      </c>
      <c r="V2" s="29">
        <f>$Z$7/(MAX(C3:D3)/H3)</f>
        <v>3.2383958899363718</v>
      </c>
      <c r="W2" s="22" t="s">
        <v>52</v>
      </c>
      <c r="X2" s="35">
        <v>1.2</v>
      </c>
      <c r="Y2" s="3"/>
      <c r="Z2" s="3"/>
      <c r="AA2" s="3"/>
    </row>
    <row r="3" spans="1:27" ht="15.75" thickBot="1" x14ac:dyDescent="0.3">
      <c r="A3" s="188"/>
      <c r="B3" s="27" t="s">
        <v>10</v>
      </c>
      <c r="C3" s="23">
        <f>MAX(ABS('Geo Forces'!I7),ABS('Geo Forces'!I16))</f>
        <v>775.75699999999995</v>
      </c>
      <c r="D3" s="23">
        <f>MAX(ABS('Geo Forces'!J7),ABS('Geo Forces'!J16))</f>
        <v>1402.83</v>
      </c>
      <c r="E3" s="23">
        <v>8.0850000000000009</v>
      </c>
      <c r="F3" s="32">
        <v>0.58799999999999997</v>
      </c>
      <c r="G3" s="32">
        <v>4.5999999999999999E-2</v>
      </c>
      <c r="H3" s="9">
        <f t="shared" ref="H3:H13" si="0">PI()*((F3/2)^2-(F3/2-G3)^2)</f>
        <v>7.8326188039300693E-2</v>
      </c>
      <c r="I3" s="9">
        <f t="shared" ref="I3:I13" si="1">H3*E3</f>
        <v>0.63326723029774612</v>
      </c>
      <c r="J3" s="34">
        <f t="shared" ref="J3:J13" si="2">I3*$Z$4</f>
        <v>3.4133103713048521E-2</v>
      </c>
      <c r="K3" s="33">
        <f t="shared" ref="K3:K13" si="3">PI()*(F3^4-(F3-(2*G3))^4)/64</f>
        <v>2.8968940646335356E-3</v>
      </c>
      <c r="L3" s="52">
        <f t="shared" ref="L3:L13" si="4">0.282*SQRT($Z$6*1000*H3/C3)</f>
        <v>12.512873611083238</v>
      </c>
      <c r="M3" s="29">
        <f t="shared" ref="M3:M13" si="5">SQRT(2*PI()^2*X3*$Z$6*1000/C3)</f>
        <v>771.63149878628303</v>
      </c>
      <c r="N3" s="33">
        <f t="shared" ref="N3:N13" si="6">E3/SQRT(K3/H3)</f>
        <v>42.040436124863703</v>
      </c>
      <c r="O3" s="33">
        <f t="shared" ref="O3:O13" si="7">H3*($Z$5-($Z$5*E3/(2*PI()*SQRT(K3/H3))^2/(X3*$Z$6*1000)))</f>
        <v>4942.3812957396649</v>
      </c>
      <c r="P3" s="33">
        <f t="shared" ref="P3:P13" si="8">X3*PI()^2*$Z$6*1000*K3/E3^2</f>
        <v>10235.007571290422</v>
      </c>
      <c r="Q3" s="29">
        <f t="shared" ref="Q3:Q13" si="9">I3/E3*$Z$5</f>
        <v>4942.3824652798739</v>
      </c>
      <c r="R3" s="29">
        <f t="shared" ref="R3:R12" si="10">MIN(ABS(P3/C3),ABS(Q3/C3),ABS(Q3/D3))</f>
        <v>3.523151390603191</v>
      </c>
      <c r="S3" s="5">
        <v>5.4950000000000001</v>
      </c>
      <c r="T3" s="47">
        <v>2.4169999999999998</v>
      </c>
      <c r="U3" s="47">
        <v>3.0390000000000001</v>
      </c>
      <c r="V3" s="29">
        <f t="shared" ref="V3:V12" si="11">$Z$7/(MAX(C4:D4)/H4)</f>
        <v>3.0814700877583077</v>
      </c>
      <c r="W3" s="22" t="s">
        <v>52</v>
      </c>
      <c r="X3" s="35">
        <v>1.2</v>
      </c>
      <c r="Y3" s="184" t="s">
        <v>44</v>
      </c>
      <c r="Z3" s="185"/>
      <c r="AA3" s="186"/>
    </row>
    <row r="4" spans="1:27" ht="15.75" thickBot="1" x14ac:dyDescent="0.3">
      <c r="A4" s="188"/>
      <c r="B4" s="27" t="s">
        <v>11</v>
      </c>
      <c r="C4" s="23">
        <f>MAX(ABS('Geo Forces'!I8),ABS('Geo Forces'!I17))</f>
        <v>845.60799999999995</v>
      </c>
      <c r="D4" s="23">
        <f>MAX(ABS('Geo Forces'!J8),ABS('Geo Forces'!J17))</f>
        <v>1474.27</v>
      </c>
      <c r="E4" s="23">
        <v>9.1219999999999999</v>
      </c>
      <c r="F4" s="32">
        <v>0.58799999999999997</v>
      </c>
      <c r="G4" s="32">
        <v>4.5999999999999999E-2</v>
      </c>
      <c r="H4" s="9">
        <f t="shared" si="0"/>
        <v>7.8326188039300693E-2</v>
      </c>
      <c r="I4" s="9">
        <f t="shared" si="1"/>
        <v>0.71449148729450096</v>
      </c>
      <c r="J4" s="34">
        <f t="shared" si="2"/>
        <v>3.8511091165173601E-2</v>
      </c>
      <c r="K4" s="33">
        <f t="shared" si="3"/>
        <v>2.8968940646335356E-3</v>
      </c>
      <c r="L4" s="52">
        <f>0.282*SQRT($Z$6*1000*H4/C4)</f>
        <v>11.984926305887104</v>
      </c>
      <c r="M4" s="29">
        <f t="shared" si="5"/>
        <v>739.0745671772371</v>
      </c>
      <c r="N4" s="33">
        <f t="shared" si="6"/>
        <v>47.432635538776331</v>
      </c>
      <c r="O4" s="33">
        <f t="shared" si="7"/>
        <v>4942.3811457318488</v>
      </c>
      <c r="P4" s="33">
        <f t="shared" si="8"/>
        <v>8040.2227524616219</v>
      </c>
      <c r="Q4" s="29">
        <f t="shared" si="9"/>
        <v>4942.3824652798739</v>
      </c>
      <c r="R4" s="29">
        <f t="shared" si="10"/>
        <v>3.3524269403025726</v>
      </c>
      <c r="S4" s="47">
        <v>4.7539999999999996</v>
      </c>
      <c r="T4" s="47">
        <v>1.97</v>
      </c>
      <c r="U4" s="5">
        <v>2.7269999999999999</v>
      </c>
      <c r="V4" s="29">
        <f t="shared" si="11"/>
        <v>4.0786465675008223</v>
      </c>
      <c r="W4" s="22" t="s">
        <v>52</v>
      </c>
      <c r="X4" s="35">
        <v>1.2</v>
      </c>
      <c r="Y4" s="37" t="s">
        <v>45</v>
      </c>
      <c r="Z4" s="38">
        <v>5.3900000000000003E-2</v>
      </c>
      <c r="AA4" s="39" t="s">
        <v>46</v>
      </c>
    </row>
    <row r="5" spans="1:27" ht="15.75" thickBot="1" x14ac:dyDescent="0.3">
      <c r="A5" s="188"/>
      <c r="B5" s="27" t="s">
        <v>12</v>
      </c>
      <c r="C5" s="23">
        <f>MAX(ABS('Geo Forces'!I9),ABS('Geo Forces'!I18))</f>
        <v>888.48699999999997</v>
      </c>
      <c r="D5" s="23">
        <f>MAX(ABS('Geo Forces'!J9),ABS('Geo Forces'!J18))</f>
        <v>1113.83</v>
      </c>
      <c r="E5" s="23">
        <v>8.9459999999999997</v>
      </c>
      <c r="F5" s="32">
        <v>0.58799999999999997</v>
      </c>
      <c r="G5" s="32">
        <v>4.5999999999999999E-2</v>
      </c>
      <c r="H5" s="9">
        <f t="shared" si="0"/>
        <v>7.8326188039300693E-2</v>
      </c>
      <c r="I5" s="9">
        <f t="shared" si="1"/>
        <v>0.70070607819958397</v>
      </c>
      <c r="J5" s="34">
        <f t="shared" si="2"/>
        <v>3.7768057614957579E-2</v>
      </c>
      <c r="K5" s="33">
        <f t="shared" si="3"/>
        <v>2.8968940646335356E-3</v>
      </c>
      <c r="L5" s="52">
        <f t="shared" si="4"/>
        <v>11.692149791119713</v>
      </c>
      <c r="M5" s="29">
        <f t="shared" si="5"/>
        <v>721.01991499092526</v>
      </c>
      <c r="N5" s="33">
        <f t="shared" si="6"/>
        <v>46.517469582316714</v>
      </c>
      <c r="O5" s="33">
        <f t="shared" si="7"/>
        <v>4942.3811711912276</v>
      </c>
      <c r="P5" s="33">
        <f t="shared" si="8"/>
        <v>8359.6949307595678</v>
      </c>
      <c r="Q5" s="29">
        <f t="shared" si="9"/>
        <v>4942.3824652798739</v>
      </c>
      <c r="R5" s="29">
        <f t="shared" si="10"/>
        <v>4.4372861794707221</v>
      </c>
      <c r="S5" s="5">
        <v>4.53</v>
      </c>
      <c r="T5" s="47">
        <v>2.74</v>
      </c>
      <c r="U5" s="47">
        <v>3.6139999999999999</v>
      </c>
      <c r="V5" s="29">
        <f t="shared" si="11"/>
        <v>3.3136772088751241</v>
      </c>
      <c r="W5" s="22" t="s">
        <v>52</v>
      </c>
      <c r="X5" s="35">
        <v>1.2</v>
      </c>
      <c r="Y5" s="37" t="s">
        <v>47</v>
      </c>
      <c r="Z5" s="38">
        <v>63100</v>
      </c>
      <c r="AA5" s="39" t="s">
        <v>48</v>
      </c>
    </row>
    <row r="6" spans="1:27" ht="15.75" thickBot="1" x14ac:dyDescent="0.3">
      <c r="A6" s="188"/>
      <c r="B6" s="27" t="s">
        <v>13</v>
      </c>
      <c r="C6" s="23">
        <f>MAX(ABS('Geo Forces'!I10),ABS('Geo Forces'!I19))</f>
        <v>1132.52</v>
      </c>
      <c r="D6" s="23">
        <f>MAX(ABS('Geo Forces'!J10),ABS('Geo Forces'!J19))</f>
        <v>1370.96</v>
      </c>
      <c r="E6" s="23">
        <v>8.8629999999999995</v>
      </c>
      <c r="F6" s="32">
        <v>0.58799999999999997</v>
      </c>
      <c r="G6" s="32">
        <v>4.5999999999999999E-2</v>
      </c>
      <c r="H6" s="9">
        <f t="shared" si="0"/>
        <v>7.8326188039300693E-2</v>
      </c>
      <c r="I6" s="9">
        <f t="shared" si="1"/>
        <v>0.69420500459232204</v>
      </c>
      <c r="J6" s="34">
        <f t="shared" si="2"/>
        <v>3.7417649747526163E-2</v>
      </c>
      <c r="K6" s="33">
        <f t="shared" si="3"/>
        <v>2.8968940646335356E-3</v>
      </c>
      <c r="L6" s="52">
        <f t="shared" si="4"/>
        <v>10.356117501063615</v>
      </c>
      <c r="M6" s="29">
        <f t="shared" si="5"/>
        <v>582.98749065841366</v>
      </c>
      <c r="N6" s="33">
        <f t="shared" si="6"/>
        <v>46.085885636940866</v>
      </c>
      <c r="O6" s="33">
        <f t="shared" si="7"/>
        <v>4942.3809267811921</v>
      </c>
      <c r="P6" s="33">
        <f t="shared" si="8"/>
        <v>7097.5011586292685</v>
      </c>
      <c r="Q6" s="29">
        <f t="shared" si="9"/>
        <v>4942.3824652798739</v>
      </c>
      <c r="R6" s="29">
        <f t="shared" si="10"/>
        <v>3.6050522737934543</v>
      </c>
      <c r="S6" s="47">
        <v>3.9</v>
      </c>
      <c r="T6" s="47">
        <v>2.3210000000000002</v>
      </c>
      <c r="U6" s="5">
        <v>3.2210000000000001</v>
      </c>
      <c r="V6" s="29">
        <f t="shared" si="11"/>
        <v>3.0149648632386996</v>
      </c>
      <c r="W6" s="23" t="s">
        <v>53</v>
      </c>
      <c r="X6" s="36">
        <v>1</v>
      </c>
      <c r="Y6" s="37" t="s">
        <v>49</v>
      </c>
      <c r="Z6" s="38">
        <v>19500</v>
      </c>
      <c r="AA6" s="39" t="s">
        <v>50</v>
      </c>
    </row>
    <row r="7" spans="1:27" ht="15.75" thickBot="1" x14ac:dyDescent="0.3">
      <c r="A7" s="189"/>
      <c r="B7" s="105" t="s">
        <v>14</v>
      </c>
      <c r="C7" s="24">
        <f>MAX(ABS('Geo Forces'!I11),ABS('Geo Forces'!I20))</f>
        <v>185.62</v>
      </c>
      <c r="D7" s="24">
        <f>MAX(ABS('Geo Forces'!J11),ABS('Geo Forces'!J20))</f>
        <v>1506.79</v>
      </c>
      <c r="E7" s="24">
        <v>5.5119999999999996</v>
      </c>
      <c r="F7" s="40">
        <v>0.58799999999999997</v>
      </c>
      <c r="G7" s="106">
        <v>4.5999999999999999E-2</v>
      </c>
      <c r="H7" s="10">
        <f t="shared" si="0"/>
        <v>7.8326188039300693E-2</v>
      </c>
      <c r="I7" s="10">
        <f t="shared" si="1"/>
        <v>0.43173394847262536</v>
      </c>
      <c r="J7" s="107">
        <f t="shared" si="2"/>
        <v>2.3270459822674509E-2</v>
      </c>
      <c r="K7" s="108">
        <f t="shared" si="3"/>
        <v>2.8968940646335356E-3</v>
      </c>
      <c r="L7" s="109">
        <f t="shared" si="4"/>
        <v>25.580411429357554</v>
      </c>
      <c r="M7" s="110">
        <f t="shared" si="5"/>
        <v>1440.0242047929</v>
      </c>
      <c r="N7" s="108">
        <f t="shared" si="6"/>
        <v>28.661333818212576</v>
      </c>
      <c r="O7" s="108">
        <f t="shared" si="7"/>
        <v>4942.3815084701328</v>
      </c>
      <c r="P7" s="108">
        <f t="shared" si="8"/>
        <v>18350.527500331686</v>
      </c>
      <c r="Q7" s="110">
        <f t="shared" si="9"/>
        <v>4942.3824652798739</v>
      </c>
      <c r="R7" s="120">
        <f>MIN(ABS(P7/C7),ABS(Q7/C7),ABS(Q7/D7))</f>
        <v>3.2800738425924476</v>
      </c>
      <c r="S7" s="46">
        <v>23.68</v>
      </c>
      <c r="T7" s="49">
        <v>2.1070000000000002</v>
      </c>
      <c r="U7" s="49">
        <v>2.9169999999999998</v>
      </c>
      <c r="V7" s="110">
        <f t="shared" si="11"/>
        <v>5.1674754973109316</v>
      </c>
      <c r="W7" s="24" t="s">
        <v>53</v>
      </c>
      <c r="X7" s="111">
        <v>1</v>
      </c>
      <c r="Y7" s="41" t="s">
        <v>36</v>
      </c>
      <c r="Z7" s="42">
        <v>58000</v>
      </c>
      <c r="AA7" s="43" t="s">
        <v>48</v>
      </c>
    </row>
    <row r="8" spans="1:27" ht="15.75" thickBot="1" x14ac:dyDescent="0.3">
      <c r="A8" s="187" t="s">
        <v>23</v>
      </c>
      <c r="B8" s="28" t="s">
        <v>9</v>
      </c>
      <c r="C8" s="25">
        <f>MAX(ABS('Geo Forces'!I24),ABS('Geo Forces'!I33))</f>
        <v>879.13699999999994</v>
      </c>
      <c r="D8" s="25">
        <f>MAX(ABS('Geo Forces'!J24),ABS('Geo Forces'!J33))</f>
        <v>0</v>
      </c>
      <c r="E8" s="25">
        <v>9.798</v>
      </c>
      <c r="F8" s="112">
        <v>0.58799999999999997</v>
      </c>
      <c r="G8" s="112">
        <v>4.5999999999999999E-2</v>
      </c>
      <c r="H8" s="44">
        <f t="shared" si="0"/>
        <v>7.8326188039300693E-2</v>
      </c>
      <c r="I8" s="44">
        <f t="shared" si="1"/>
        <v>0.76743999040906818</v>
      </c>
      <c r="J8" s="113">
        <f t="shared" si="2"/>
        <v>4.136501548304878E-2</v>
      </c>
      <c r="K8" s="44">
        <f>PI()*(F8^4-(F8-(2*G8))^4)/64</f>
        <v>2.8968940646335356E-3</v>
      </c>
      <c r="L8" s="114">
        <f t="shared" si="4"/>
        <v>11.754160868741709</v>
      </c>
      <c r="M8" s="29">
        <f t="shared" si="5"/>
        <v>724.84395271831283</v>
      </c>
      <c r="N8" s="44">
        <f t="shared" si="6"/>
        <v>50.947704780632591</v>
      </c>
      <c r="O8" s="44">
        <f>H8*($Z$5-($Z$5*E8/(2*PI()*SQRT(K8/H8))^2/(X8*$Z$6*1000)))</f>
        <v>4942.3810479446902</v>
      </c>
      <c r="P8" s="44">
        <f t="shared" si="8"/>
        <v>6969.0462466256495</v>
      </c>
      <c r="Q8" s="29">
        <f t="shared" si="9"/>
        <v>4942.3824652798739</v>
      </c>
      <c r="R8" s="29">
        <f>MIN(ABS(P8/C8),ABS(Q8/C8))</f>
        <v>5.6218569634537898</v>
      </c>
      <c r="S8" s="117">
        <v>4.6710000000000003</v>
      </c>
      <c r="T8" s="50">
        <v>2.9590000000000001</v>
      </c>
      <c r="U8" s="118" t="s">
        <v>19</v>
      </c>
      <c r="V8" s="29">
        <f>$Z$7/(MAX(C9:D9)/H9)</f>
        <v>12.898178114099498</v>
      </c>
      <c r="W8" s="25" t="s">
        <v>52</v>
      </c>
      <c r="X8" s="45">
        <v>1.2</v>
      </c>
      <c r="Y8" s="3"/>
      <c r="Z8" s="3"/>
      <c r="AA8" s="3"/>
    </row>
    <row r="9" spans="1:27" ht="15.75" thickBot="1" x14ac:dyDescent="0.3">
      <c r="A9" s="188"/>
      <c r="B9" s="27" t="s">
        <v>10</v>
      </c>
      <c r="C9" s="25">
        <f>MAX(ABS('Geo Forces'!I25),ABS('Geo Forces'!I34))</f>
        <v>0</v>
      </c>
      <c r="D9" s="25">
        <f>MAX(ABS('Geo Forces'!J25),ABS('Geo Forces'!J34))</f>
        <v>352.214</v>
      </c>
      <c r="E9" s="23">
        <v>7.1079999999999997</v>
      </c>
      <c r="F9" s="32">
        <v>0.58799999999999997</v>
      </c>
      <c r="G9" s="32">
        <v>4.5999999999999999E-2</v>
      </c>
      <c r="H9" s="9">
        <f t="shared" si="0"/>
        <v>7.8326188039300693E-2</v>
      </c>
      <c r="I9" s="9">
        <f t="shared" si="1"/>
        <v>0.55674254458334926</v>
      </c>
      <c r="J9" s="34">
        <f t="shared" si="2"/>
        <v>3.0008423153042526E-2</v>
      </c>
      <c r="K9" s="33">
        <f t="shared" si="3"/>
        <v>2.8968940646335356E-3</v>
      </c>
      <c r="L9" s="52">
        <f>IF(C9=0,0,0.282*SQRT($Z$6*1000*H9/C9))</f>
        <v>0</v>
      </c>
      <c r="M9" s="29">
        <f>IF(C9=0,0,SQRT(2*PI()^2*X9*$Z$6*1000/C9))</f>
        <v>0</v>
      </c>
      <c r="N9" s="33">
        <f t="shared" si="6"/>
        <v>36.960225105198653</v>
      </c>
      <c r="O9" s="33">
        <f t="shared" si="7"/>
        <v>4942.3814370681484</v>
      </c>
      <c r="P9" s="33">
        <f>X9*PI()^2*$Z$6*1000*K9/E9^2</f>
        <v>13241.993747508983</v>
      </c>
      <c r="Q9" s="29">
        <f>I9/E9*$Z$5</f>
        <v>4942.3824652798739</v>
      </c>
      <c r="R9" s="29">
        <f>MIN(ABS(Q9/D9))</f>
        <v>14.032328258615143</v>
      </c>
      <c r="S9" s="119" t="s">
        <v>19</v>
      </c>
      <c r="T9" s="47">
        <v>10.115</v>
      </c>
      <c r="U9" s="5">
        <v>12.33</v>
      </c>
      <c r="V9" s="29">
        <f t="shared" si="11"/>
        <v>3.9608001135857434</v>
      </c>
      <c r="W9" s="22" t="s">
        <v>52</v>
      </c>
      <c r="X9" s="45">
        <v>1.2</v>
      </c>
      <c r="Y9" s="3"/>
      <c r="Z9" s="3"/>
      <c r="AA9" s="3"/>
    </row>
    <row r="10" spans="1:27" ht="15.75" thickBot="1" x14ac:dyDescent="0.3">
      <c r="A10" s="188"/>
      <c r="B10" s="27" t="s">
        <v>11</v>
      </c>
      <c r="C10" s="25">
        <f>MAX(ABS('Geo Forces'!I26),ABS('Geo Forces'!I35))</f>
        <v>543.18899999999996</v>
      </c>
      <c r="D10" s="25">
        <f>MAX(ABS('Geo Forces'!J26),ABS('Geo Forces'!J35))</f>
        <v>1146.97</v>
      </c>
      <c r="E10" s="23">
        <v>10.961</v>
      </c>
      <c r="F10" s="32">
        <v>0.58799999999999997</v>
      </c>
      <c r="G10" s="32">
        <v>4.5999999999999999E-2</v>
      </c>
      <c r="H10" s="9">
        <f t="shared" si="0"/>
        <v>7.8326188039300693E-2</v>
      </c>
      <c r="I10" s="9">
        <f t="shared" si="1"/>
        <v>0.85853334709877493</v>
      </c>
      <c r="J10" s="34">
        <f t="shared" si="2"/>
        <v>4.6274947408623972E-2</v>
      </c>
      <c r="K10" s="33">
        <f t="shared" si="3"/>
        <v>2.8968940646335356E-3</v>
      </c>
      <c r="L10" s="52">
        <f t="shared" si="4"/>
        <v>14.953554096560405</v>
      </c>
      <c r="M10" s="29">
        <f t="shared" si="5"/>
        <v>922.14096604399163</v>
      </c>
      <c r="N10" s="33">
        <f t="shared" si="6"/>
        <v>56.995079822465179</v>
      </c>
      <c r="O10" s="33">
        <f t="shared" si="7"/>
        <v>4942.3808797102729</v>
      </c>
      <c r="P10" s="33">
        <f t="shared" si="8"/>
        <v>5568.6235697157954</v>
      </c>
      <c r="Q10" s="29">
        <f t="shared" si="9"/>
        <v>4942.3824652798739</v>
      </c>
      <c r="R10" s="29">
        <f t="shared" si="10"/>
        <v>4.3090773649527661</v>
      </c>
      <c r="S10" s="47">
        <v>7.5839999999999996</v>
      </c>
      <c r="T10" s="47">
        <v>1.8959999999999999</v>
      </c>
      <c r="U10" s="5">
        <v>3.5590000000000002</v>
      </c>
      <c r="V10" s="29">
        <f t="shared" si="11"/>
        <v>20.450701837937519</v>
      </c>
      <c r="W10" s="22" t="s">
        <v>52</v>
      </c>
      <c r="X10" s="45">
        <v>1.2</v>
      </c>
      <c r="Y10" s="3"/>
      <c r="Z10" s="3"/>
      <c r="AA10" s="3"/>
    </row>
    <row r="11" spans="1:27" ht="15.75" thickBot="1" x14ac:dyDescent="0.3">
      <c r="A11" s="188"/>
      <c r="B11" s="27" t="s">
        <v>12</v>
      </c>
      <c r="C11" s="25">
        <f>MAX(ABS('Geo Forces'!I27),ABS('Geo Forces'!I36))</f>
        <v>205.20599999999999</v>
      </c>
      <c r="D11" s="25">
        <f>MAX(ABS('Geo Forces'!J27),ABS('Geo Forces'!J36))</f>
        <v>222.14</v>
      </c>
      <c r="E11" s="23">
        <v>7.5510000000000002</v>
      </c>
      <c r="F11" s="32">
        <v>0.58799999999999997</v>
      </c>
      <c r="G11" s="32">
        <v>4.5999999999999999E-2</v>
      </c>
      <c r="H11" s="9">
        <f t="shared" si="0"/>
        <v>7.8326188039300693E-2</v>
      </c>
      <c r="I11" s="9">
        <f t="shared" si="1"/>
        <v>0.59144104588475954</v>
      </c>
      <c r="J11" s="34">
        <f t="shared" si="2"/>
        <v>3.1878672373188539E-2</v>
      </c>
      <c r="K11" s="33">
        <f t="shared" si="3"/>
        <v>2.8968940646335356E-3</v>
      </c>
      <c r="L11" s="52">
        <f t="shared" si="4"/>
        <v>24.329034933605598</v>
      </c>
      <c r="M11" s="29">
        <f t="shared" si="5"/>
        <v>1500.2988340914558</v>
      </c>
      <c r="N11" s="33">
        <f t="shared" si="6"/>
        <v>39.263739416060083</v>
      </c>
      <c r="O11" s="33">
        <f t="shared" si="7"/>
        <v>4942.3813729857347</v>
      </c>
      <c r="P11" s="33">
        <f t="shared" si="8"/>
        <v>11733.816068291697</v>
      </c>
      <c r="Q11" s="29">
        <f t="shared" si="9"/>
        <v>4942.3824652798739</v>
      </c>
      <c r="R11" s="29">
        <f t="shared" si="10"/>
        <v>22.248953206445819</v>
      </c>
      <c r="S11" s="47">
        <v>22.242000000000001</v>
      </c>
      <c r="T11" s="47">
        <v>18.602</v>
      </c>
      <c r="U11" s="5">
        <v>20.547000000000001</v>
      </c>
      <c r="V11" s="29">
        <f t="shared" si="11"/>
        <v>6.7413359840321716</v>
      </c>
      <c r="W11" s="22" t="s">
        <v>52</v>
      </c>
      <c r="X11" s="45">
        <v>1.2</v>
      </c>
      <c r="Y11" s="3"/>
      <c r="Z11" s="3"/>
      <c r="AA11" s="3"/>
    </row>
    <row r="12" spans="1:27" ht="15.75" thickBot="1" x14ac:dyDescent="0.3">
      <c r="A12" s="188"/>
      <c r="B12" s="27" t="s">
        <v>15</v>
      </c>
      <c r="C12" s="25">
        <f>MAX(ABS('Geo Forces'!I28),ABS('Geo Forces'!I37))</f>
        <v>673.89</v>
      </c>
      <c r="D12" s="25">
        <f>MAX(ABS('Geo Forces'!J28),ABS('Geo Forces'!J37))</f>
        <v>653.12199999999996</v>
      </c>
      <c r="E12" s="23">
        <v>7.3689999999999998</v>
      </c>
      <c r="F12" s="32">
        <v>0.58799999999999997</v>
      </c>
      <c r="G12" s="32">
        <v>4.5999999999999999E-2</v>
      </c>
      <c r="H12" s="9">
        <f t="shared" si="0"/>
        <v>7.8326188039300693E-2</v>
      </c>
      <c r="I12" s="9">
        <f t="shared" si="1"/>
        <v>0.57718567966160683</v>
      </c>
      <c r="J12" s="34">
        <f t="shared" si="2"/>
        <v>3.111030813376061E-2</v>
      </c>
      <c r="K12" s="33">
        <f t="shared" si="3"/>
        <v>2.8968940646335356E-3</v>
      </c>
      <c r="L12" s="52">
        <f t="shared" si="4"/>
        <v>13.425343413373339</v>
      </c>
      <c r="M12" s="29">
        <f t="shared" si="5"/>
        <v>755.76655701194397</v>
      </c>
      <c r="N12" s="33">
        <f t="shared" si="6"/>
        <v>38.317374620175706</v>
      </c>
      <c r="O12" s="33">
        <f t="shared" si="7"/>
        <v>4942.3811861196818</v>
      </c>
      <c r="P12" s="33">
        <f t="shared" si="8"/>
        <v>10267.14883393015</v>
      </c>
      <c r="Q12" s="29">
        <f t="shared" si="9"/>
        <v>4942.3824652798739</v>
      </c>
      <c r="R12" s="29">
        <f t="shared" si="10"/>
        <v>7.3341086309039669</v>
      </c>
      <c r="S12" s="5">
        <v>6.2850000000000001</v>
      </c>
      <c r="T12" s="47">
        <v>5.0819999999999999</v>
      </c>
      <c r="U12" s="47">
        <v>6.4820000000000002</v>
      </c>
      <c r="V12" s="29">
        <f t="shared" si="11"/>
        <v>3.5198689856114669</v>
      </c>
      <c r="W12" s="23" t="s">
        <v>53</v>
      </c>
      <c r="X12" s="36">
        <v>1</v>
      </c>
      <c r="Y12" s="3"/>
      <c r="Z12" s="3"/>
      <c r="AA12" s="3"/>
    </row>
    <row r="13" spans="1:27" ht="15.75" thickBot="1" x14ac:dyDescent="0.3">
      <c r="A13" s="189"/>
      <c r="B13" s="105" t="s">
        <v>16</v>
      </c>
      <c r="C13" s="24">
        <f>MAX(ABS('Geo Forces'!I29),ABS('Geo Forces'!I38))</f>
        <v>1290.6500000000001</v>
      </c>
      <c r="D13" s="24">
        <f>MAX(ABS('Geo Forces'!J29),ABS('Geo Forces'!J38))</f>
        <v>0</v>
      </c>
      <c r="E13" s="24">
        <v>7.35</v>
      </c>
      <c r="F13" s="40">
        <v>0.58799999999999997</v>
      </c>
      <c r="G13" s="106">
        <v>4.5999999999999999E-2</v>
      </c>
      <c r="H13" s="10">
        <f t="shared" si="0"/>
        <v>7.8326188039300693E-2</v>
      </c>
      <c r="I13" s="10">
        <f t="shared" si="1"/>
        <v>0.57569748208886007</v>
      </c>
      <c r="J13" s="107">
        <f t="shared" si="2"/>
        <v>3.1030094284589561E-2</v>
      </c>
      <c r="K13" s="108">
        <f t="shared" si="3"/>
        <v>2.8968940646335356E-3</v>
      </c>
      <c r="L13" s="109">
        <f t="shared" si="4"/>
        <v>9.7009812813548546</v>
      </c>
      <c r="M13" s="110">
        <f t="shared" si="5"/>
        <v>546.10723889145345</v>
      </c>
      <c r="N13" s="108">
        <f t="shared" si="6"/>
        <v>38.21857829533063</v>
      </c>
      <c r="O13" s="108">
        <f t="shared" si="7"/>
        <v>4942.381189417828</v>
      </c>
      <c r="P13" s="108">
        <f t="shared" si="8"/>
        <v>10320.299301051178</v>
      </c>
      <c r="Q13" s="110">
        <f t="shared" si="9"/>
        <v>4942.3824652798739</v>
      </c>
      <c r="R13" s="120">
        <f>MIN(ABS(P13/C13),ABS(Q13/C13))</f>
        <v>3.8293747067600616</v>
      </c>
      <c r="S13" s="46">
        <v>3.4420000000000002</v>
      </c>
      <c r="T13" s="49">
        <v>1.4359999999999999</v>
      </c>
      <c r="U13" s="121" t="s">
        <v>19</v>
      </c>
      <c r="V13" s="110" cm="1">
        <f t="array" ref="V13">$Z$7/(MAX(C13:D13/H13))</f>
        <v>3.5198689856114669</v>
      </c>
      <c r="W13" s="24" t="s">
        <v>53</v>
      </c>
      <c r="X13" s="111">
        <v>1</v>
      </c>
      <c r="Y13" s="3"/>
      <c r="Z13" s="3"/>
      <c r="AA13" s="3"/>
    </row>
    <row r="14" spans="1:27" x14ac:dyDescent="0.25">
      <c r="L14" t="s">
        <v>51</v>
      </c>
    </row>
    <row r="16" spans="1:27" x14ac:dyDescent="0.25">
      <c r="R16" s="51"/>
    </row>
  </sheetData>
  <mergeCells count="3">
    <mergeCell ref="Y3:AA3"/>
    <mergeCell ref="A2:A7"/>
    <mergeCell ref="A8:A13"/>
  </mergeCells>
  <conditionalFormatting sqref="R2:R13">
    <cfRule type="cellIs" dxfId="3" priority="3" operator="lessThan">
      <formula>1.5</formula>
    </cfRule>
    <cfRule type="cellIs" dxfId="2" priority="4" operator="greaterThan">
      <formula>1.5</formula>
    </cfRule>
  </conditionalFormatting>
  <conditionalFormatting sqref="V2:V13">
    <cfRule type="cellIs" dxfId="1" priority="1" operator="lessThan">
      <formula>1.5</formula>
    </cfRule>
    <cfRule type="cellIs" dxfId="0" priority="2" operator="greaterThan">
      <formula>1.5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A3483-AECD-4A2C-A2E0-E2354B9C876C}">
  <dimension ref="A1:B27"/>
  <sheetViews>
    <sheetView topLeftCell="A22" zoomScale="90" zoomScaleNormal="90" workbookViewId="0">
      <selection activeCell="N26" sqref="N26"/>
    </sheetView>
  </sheetViews>
  <sheetFormatPr defaultRowHeight="15" x14ac:dyDescent="0.25"/>
  <sheetData>
    <row r="1" spans="1:1" x14ac:dyDescent="0.25">
      <c r="A1" s="56" t="s">
        <v>106</v>
      </c>
    </row>
    <row r="27" spans="1:2" x14ac:dyDescent="0.25">
      <c r="A27" s="56" t="s">
        <v>107</v>
      </c>
      <c r="B27" s="66" t="s">
        <v>108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FB6185-D638-4318-8BC5-9F09D344F1BA}">
  <dimension ref="A1:K45"/>
  <sheetViews>
    <sheetView topLeftCell="A19" workbookViewId="0">
      <selection activeCell="G33" sqref="G33"/>
    </sheetView>
  </sheetViews>
  <sheetFormatPr defaultRowHeight="15" x14ac:dyDescent="0.25"/>
  <cols>
    <col min="2" max="2" width="9.42578125" customWidth="1"/>
    <col min="5" max="5" width="9.5703125" customWidth="1"/>
  </cols>
  <sheetData>
    <row r="1" spans="1:11" x14ac:dyDescent="0.25">
      <c r="A1" s="56" t="s">
        <v>166</v>
      </c>
      <c r="K1" s="66"/>
    </row>
    <row r="2" spans="1:11" x14ac:dyDescent="0.25">
      <c r="A2" t="s">
        <v>22</v>
      </c>
      <c r="B2" t="s">
        <v>181</v>
      </c>
      <c r="F2" t="s">
        <v>176</v>
      </c>
      <c r="G2">
        <v>0.62350000000000005</v>
      </c>
    </row>
    <row r="3" spans="1:11" x14ac:dyDescent="0.25">
      <c r="F3" t="s">
        <v>177</v>
      </c>
      <c r="G3">
        <v>0.38229999999999997</v>
      </c>
    </row>
    <row r="4" spans="1:11" x14ac:dyDescent="0.25">
      <c r="F4" t="s">
        <v>171</v>
      </c>
      <c r="G4">
        <f>(G2+G3)/2</f>
        <v>0.50290000000000001</v>
      </c>
    </row>
    <row r="12" spans="1:11" x14ac:dyDescent="0.25">
      <c r="A12" t="s">
        <v>23</v>
      </c>
      <c r="B12" t="s">
        <v>170</v>
      </c>
      <c r="F12" t="s">
        <v>176</v>
      </c>
      <c r="G12">
        <v>0.48670000000000002</v>
      </c>
    </row>
    <row r="13" spans="1:11" x14ac:dyDescent="0.25">
      <c r="F13" t="s">
        <v>177</v>
      </c>
      <c r="G13">
        <v>0.51459999999999995</v>
      </c>
    </row>
    <row r="14" spans="1:11" x14ac:dyDescent="0.25">
      <c r="F14" t="s">
        <v>171</v>
      </c>
      <c r="G14">
        <f>(G12+G13)/2</f>
        <v>0.50065000000000004</v>
      </c>
    </row>
    <row r="15" spans="1:11" x14ac:dyDescent="0.25">
      <c r="K15" s="66"/>
    </row>
    <row r="21" spans="1:11" x14ac:dyDescent="0.25">
      <c r="A21" s="56" t="s">
        <v>167</v>
      </c>
    </row>
    <row r="22" spans="1:11" x14ac:dyDescent="0.25">
      <c r="A22" t="s">
        <v>22</v>
      </c>
      <c r="B22" t="s">
        <v>175</v>
      </c>
      <c r="K22" s="66"/>
    </row>
    <row r="23" spans="1:11" x14ac:dyDescent="0.25">
      <c r="E23" t="s">
        <v>178</v>
      </c>
    </row>
    <row r="24" spans="1:11" x14ac:dyDescent="0.25">
      <c r="E24" t="s">
        <v>173</v>
      </c>
      <c r="F24" s="58">
        <v>694</v>
      </c>
    </row>
    <row r="25" spans="1:11" x14ac:dyDescent="0.25">
      <c r="E25" t="s">
        <v>172</v>
      </c>
      <c r="F25" s="58">
        <v>271</v>
      </c>
    </row>
    <row r="27" spans="1:11" x14ac:dyDescent="0.25">
      <c r="A27" t="s">
        <v>174</v>
      </c>
    </row>
    <row r="40" spans="1:6" x14ac:dyDescent="0.25">
      <c r="A40" t="s">
        <v>23</v>
      </c>
      <c r="B40" t="s">
        <v>175</v>
      </c>
    </row>
    <row r="41" spans="1:6" x14ac:dyDescent="0.25">
      <c r="E41" t="s">
        <v>178</v>
      </c>
    </row>
    <row r="42" spans="1:6" x14ac:dyDescent="0.25">
      <c r="E42" t="s">
        <v>173</v>
      </c>
      <c r="F42" s="58">
        <v>667</v>
      </c>
    </row>
    <row r="43" spans="1:6" x14ac:dyDescent="0.25">
      <c r="E43" t="s">
        <v>172</v>
      </c>
      <c r="F43" s="58">
        <v>260</v>
      </c>
    </row>
    <row r="45" spans="1:6" x14ac:dyDescent="0.25">
      <c r="A45" t="s">
        <v>174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5BEF5-1ED9-4B15-99A8-EA03E730BEE5}">
  <dimension ref="A1:C7"/>
  <sheetViews>
    <sheetView workbookViewId="0">
      <selection activeCell="B29" sqref="B29"/>
    </sheetView>
  </sheetViews>
  <sheetFormatPr defaultRowHeight="15" x14ac:dyDescent="0.25"/>
  <sheetData>
    <row r="1" spans="1:3" x14ac:dyDescent="0.25">
      <c r="A1" t="s">
        <v>160</v>
      </c>
      <c r="C1" s="66" t="s">
        <v>164</v>
      </c>
    </row>
    <row r="2" spans="1:3" x14ac:dyDescent="0.25">
      <c r="A2" t="s">
        <v>161</v>
      </c>
    </row>
    <row r="3" spans="1:3" x14ac:dyDescent="0.25">
      <c r="A3" t="s">
        <v>162</v>
      </c>
    </row>
    <row r="4" spans="1:3" x14ac:dyDescent="0.25">
      <c r="A4" t="s">
        <v>163</v>
      </c>
    </row>
    <row r="6" spans="1:3" x14ac:dyDescent="0.25">
      <c r="A6" t="s">
        <v>159</v>
      </c>
    </row>
    <row r="7" spans="1:3" x14ac:dyDescent="0.25">
      <c r="A7" t="s">
        <v>165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B04E478543B71439A8B446FAE864F93" ma:contentTypeVersion="21" ma:contentTypeDescription="Create a new document." ma:contentTypeScope="" ma:versionID="ab1d43c324b5e14d8333cd633f6ee0a0">
  <xsd:schema xmlns:xsd="http://www.w3.org/2001/XMLSchema" xmlns:xs="http://www.w3.org/2001/XMLSchema" xmlns:p="http://schemas.microsoft.com/office/2006/metadata/properties" xmlns:ns1="http://schemas.microsoft.com/sharepoint/v3" xmlns:ns2="cedb6cce-4789-47d7-80e7-084ae43e5aeb" xmlns:ns3="451e9e83-0d82-4a6b-ab34-314dfff0ce35" targetNamespace="http://schemas.microsoft.com/office/2006/metadata/properties" ma:root="true" ma:fieldsID="bac3fe62d9fb2ad2b67ec932b03bcfea" ns1:_="" ns2:_="" ns3:_="">
    <xsd:import namespace="http://schemas.microsoft.com/sharepoint/v3"/>
    <xsd:import namespace="cedb6cce-4789-47d7-80e7-084ae43e5aeb"/>
    <xsd:import namespace="451e9e83-0d82-4a6b-ab34-314dfff0ce3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Locatio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_Flow_SignoffStatus" minOccurs="0"/>
                <xsd:element ref="ns2:MediaServiceSearchProperties" minOccurs="0"/>
                <xsd:element ref="ns2:MediaServiceObjectDetectorVersions" minOccurs="0"/>
                <xsd:element ref="ns1:_ip_UnifiedCompliancePolicyProperties" minOccurs="0"/>
                <xsd:element ref="ns1:_ip_UnifiedCompliancePolicyUIAc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6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7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edb6cce-4789-47d7-80e7-084ae43e5ae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552db424-83e4-4b18-a664-0b46eae255e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_Flow_SignoffStatus" ma:index="23" nillable="true" ma:displayName="Sign-off status" ma:internalName="Sign_x002d_off_x0020_status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2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51e9e83-0d82-4a6b-ab34-314dfff0ce35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57e87c3e-9629-437d-8359-a09cad94bbfc}" ma:internalName="TaxCatchAll" ma:showField="CatchAllData" ma:web="451e9e83-0d82-4a6b-ab34-314dfff0ce3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Flow_SignoffStatus xmlns="cedb6cce-4789-47d7-80e7-084ae43e5aeb" xsi:nil="true"/>
    <TaxCatchAll xmlns="451e9e83-0d82-4a6b-ab34-314dfff0ce35" xsi:nil="true"/>
    <lcf76f155ced4ddcb4097134ff3c332f xmlns="cedb6cce-4789-47d7-80e7-084ae43e5aeb">
      <Terms xmlns="http://schemas.microsoft.com/office/infopath/2007/PartnerControls"/>
    </lcf76f155ced4ddcb4097134ff3c332f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D40F7CA3-E33B-49BA-863C-7120F1E6FCE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5B225BC-A8A8-4D37-BD8E-BDD272FE0DD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cedb6cce-4789-47d7-80e7-084ae43e5aeb"/>
    <ds:schemaRef ds:uri="451e9e83-0d82-4a6b-ab34-314dfff0ce3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768A8595-8FC4-470A-92DD-90B6E1F85AAC}">
  <ds:schemaRefs>
    <ds:schemaRef ds:uri="http://schemas.microsoft.com/office/2006/metadata/properties"/>
    <ds:schemaRef ds:uri="http://schemas.microsoft.com/office/infopath/2007/PartnerControls"/>
    <ds:schemaRef ds:uri="cedb6cce-4789-47d7-80e7-084ae43e5aeb"/>
    <ds:schemaRef ds:uri="451e9e83-0d82-4a6b-ab34-314dfff0ce35"/>
    <ds:schemaRef ds:uri="http://schemas.microsoft.com/sharepoint/v3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Parameters</vt:lpstr>
      <vt:lpstr>Tire Data</vt:lpstr>
      <vt:lpstr>Geo Points</vt:lpstr>
      <vt:lpstr>Tire Load Cases</vt:lpstr>
      <vt:lpstr>Geo Forces</vt:lpstr>
      <vt:lpstr>CF Force Analysis</vt:lpstr>
      <vt:lpstr>Springs &amp; Dampers Notes</vt:lpstr>
      <vt:lpstr>ARB Notes</vt:lpstr>
      <vt:lpstr>Tuning Measurements --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Yash Goswami</dc:creator>
  <cp:lastModifiedBy>Ryan Patrick McGovern</cp:lastModifiedBy>
  <dcterms:created xsi:type="dcterms:W3CDTF">2022-06-19T12:42:23Z</dcterms:created>
  <dcterms:modified xsi:type="dcterms:W3CDTF">2025-03-03T02:35:16Z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0x0101000B04E478543B71439A8B446FAE864F93</vt:lpwstr>
  </property>
  <property fmtid="{D5CDD505-2E9C-101B-9397-08002B2CF9AE}" pid="3" name="MediaServiceImageTags">
    <vt:lpwstr/>
  </property>
</Properties>
</file>