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iny_dashboard_建置\shiny\gameview\"/>
    </mc:Choice>
  </mc:AlternateContent>
  <xr:revisionPtr revIDLastSave="0" documentId="13_ncr:1_{97B0D143-0DAE-447B-B878-B42DC5FE793E}" xr6:coauthVersionLast="41" xr6:coauthVersionMax="41" xr10:uidLastSave="{00000000-0000-0000-0000-000000000000}"/>
  <bookViews>
    <workbookView xWindow="-120" yWindow="-120" windowWidth="29040" windowHeight="15840" xr2:uid="{ACAB362D-615E-436F-9299-6C1FC00BB8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4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4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163" i="1" l="1"/>
  <c r="E166" i="1"/>
  <c r="E162" i="1"/>
  <c r="E165" i="1"/>
  <c r="E167" i="1"/>
</calcChain>
</file>

<file path=xl/sharedStrings.xml><?xml version="1.0" encoding="utf-8"?>
<sst xmlns="http://schemas.openxmlformats.org/spreadsheetml/2006/main" count="413" uniqueCount="398">
  <si>
    <t>玩法组</t>
    <phoneticPr fontId="3" type="noConversion"/>
  </si>
  <si>
    <t>玩法</t>
  </si>
  <si>
    <t>玩法说明</t>
    <phoneticPr fontId="3" type="noConversion"/>
  </si>
  <si>
    <t>中奖举例</t>
    <phoneticPr fontId="3" type="noConversion"/>
  </si>
  <si>
    <t>中奖概率</t>
    <phoneticPr fontId="3" type="noConversion"/>
  </si>
  <si>
    <t>投注注数</t>
    <phoneticPr fontId="3" type="noConversion"/>
  </si>
  <si>
    <t>理论赔率</t>
    <phoneticPr fontId="3" type="noConversion"/>
  </si>
  <si>
    <t>从5颗球中选出5个号码为开奖号码，数字为0到9号，数字可重复开出</t>
    <phoneticPr fontId="3" type="noConversion"/>
  </si>
  <si>
    <t>五星直选</t>
    <phoneticPr fontId="3" type="noConversion"/>
  </si>
  <si>
    <t>直选（复式）</t>
    <phoneticPr fontId="3" type="noConversion"/>
  </si>
  <si>
    <t>从万位、千位、百位、十位、个位中选择一个5位数号码组成一注，所选号码与开奖号码全部相同，且顺序一致，即为中奖。</t>
    <phoneticPr fontId="3" type="noConversion"/>
  </si>
  <si>
    <t>如：投注方案：23456；开奖号码：23456，即中五星直选。</t>
    <phoneticPr fontId="3" type="noConversion"/>
  </si>
  <si>
    <t>直选（单式）</t>
    <phoneticPr fontId="3" type="noConversion"/>
  </si>
  <si>
    <t>手动输入一个5位数号码组成一注，所选号码的万位、千位、百位、十位、个位与开奖号码相同，且顺序一致，即为中奖。</t>
    <phoneticPr fontId="3" type="noConversion"/>
  </si>
  <si>
    <t>组合：一等奖</t>
  </si>
  <si>
    <t>从万位、千位、百位、十位、个位中至少各选一个号码组成1-5星的组合，共五注，所选号码的个位与开奖号码全部相同，则中1个5等奖；所选号码的个位、十位与开奖号码相同，则中1个5等奖以及1个4等奖，依此类推，最高可中5个奖。</t>
    <phoneticPr fontId="3" type="noConversion"/>
  </si>
  <si>
    <t>如：五星组合示例，如购买：4+5+6+7+8，该票共10元，由以下5注：45678(五星)、5678(四星)、678(三星)、78(二星) 、8(一星)构成。开奖号码：45678，即可中五星、四星、三星、二星、一星各1注。</t>
    <phoneticPr fontId="3" type="noConversion"/>
  </si>
  <si>
    <t>组合：二等奖</t>
    <phoneticPr fontId="3" type="noConversion"/>
  </si>
  <si>
    <t>组合：三等奖</t>
    <phoneticPr fontId="3" type="noConversion"/>
  </si>
  <si>
    <t>组合：四等奖</t>
    <phoneticPr fontId="3" type="noConversion"/>
  </si>
  <si>
    <t>组合：五等奖</t>
    <phoneticPr fontId="3" type="noConversion"/>
  </si>
  <si>
    <t>五星组选</t>
    <phoneticPr fontId="3" type="noConversion"/>
  </si>
  <si>
    <t>五星组选120</t>
    <phoneticPr fontId="3" type="noConversion"/>
  </si>
  <si>
    <t>从0-9中任意选择5个号码组成一注，所选号码与开奖号码的万位、千位、百位、十位、个位相同，顺序不限，即为中奖。</t>
    <phoneticPr fontId="3" type="noConversion"/>
  </si>
  <si>
    <t>如：投注方案：02568，开奖号码的5个数字必须包含02568（例如：08526），顺序不限，即可中五星组选120。</t>
    <phoneticPr fontId="3" type="noConversion"/>
  </si>
  <si>
    <t>五星组选60</t>
    <phoneticPr fontId="3" type="noConversion"/>
  </si>
  <si>
    <t>选择1个二重号码和3个单号号码组成一注，所选的单号号码与开奖号码相同，且所选二重号码在开奖号码中出现了2次，即为中奖。</t>
    <phoneticPr fontId="3" type="noConversion"/>
  </si>
  <si>
    <t>如：投注方案：二重号：8；单号：025，开奖号码的5个数字必须包含单号025，以及对子号8（例如02858），顺序不限，即可中五星组选60。</t>
    <phoneticPr fontId="3" type="noConversion"/>
  </si>
  <si>
    <t>五星组选30</t>
    <phoneticPr fontId="3" type="noConversion"/>
  </si>
  <si>
    <t>选择2个二重号和1个单号号码组成一注，所选的单号号码与开奖号码相同，且所选的2个二重号码分别在开奖号码中出现了2次，即为中奖。</t>
    <phoneticPr fontId="3" type="noConversion"/>
  </si>
  <si>
    <t>如：投注方案：二重号：2、8；单号：0，开奖号码的5个数字必须包含单号0，以及对子号2和8（例如28082），顺序不限，即可中五星组选30。</t>
    <phoneticPr fontId="3" type="noConversion"/>
  </si>
  <si>
    <t>五星组选20</t>
    <phoneticPr fontId="3" type="noConversion"/>
  </si>
  <si>
    <t>选择1个三重号码和2个单号号码组成一注，所选的单号号码与开奖号码相同，且所选三重号码在开奖号码中出现了3次，即为中奖。</t>
    <phoneticPr fontId="3" type="noConversion"/>
  </si>
  <si>
    <t>如：投注方案：三重号：8；单号：0、2，开奖号码的5个数字必须包含单号0和2，以及三重号8（例如80828），顺序不限，即可中五星组选20。</t>
    <phoneticPr fontId="3" type="noConversion"/>
  </si>
  <si>
    <t>五星组选10</t>
    <phoneticPr fontId="3" type="noConversion"/>
  </si>
  <si>
    <t>选择1个三重号码和1个二重号码，所选三重号码在开奖号码中出现3次，并且所选二重号码在开奖号码中出现了2次，即为中奖。</t>
    <phoneticPr fontId="3" type="noConversion"/>
  </si>
  <si>
    <t>如：投注方案：三重号：8；二重号：2，开奖号码的5个数字必须包含三重号8，以及对子号2（例如28828），顺序不限，即可中五星组选10。</t>
    <phoneticPr fontId="3" type="noConversion"/>
  </si>
  <si>
    <t>五星组选5</t>
    <phoneticPr fontId="3" type="noConversion"/>
  </si>
  <si>
    <t>选择1个四重号码和1个单号号码组成一注，所选的单号号码与开奖号码相同，且所选四重号码在开奖号码中出现了4次，即为中奖。</t>
    <phoneticPr fontId="3" type="noConversion"/>
  </si>
  <si>
    <t>如：投注方案：四重号：8；单号：2，开奖号码的5个数字必须包含四重号8，以及单号2（例如88828），顺序不限，即可中五星组选5。</t>
    <phoneticPr fontId="3" type="noConversion"/>
  </si>
  <si>
    <t>四直选/任选</t>
    <phoneticPr fontId="3" type="noConversion"/>
  </si>
  <si>
    <t>从千位、百位、十位、个位中选择一个4位数号码组成一注，所选号码与开奖号码相同，且顺序一致，即为中奖。</t>
    <phoneticPr fontId="3" type="noConversion"/>
  </si>
  <si>
    <t>如：投注方案：3456；开奖号码：*3456，即中四星直选。</t>
    <phoneticPr fontId="3" type="noConversion"/>
  </si>
  <si>
    <t>手动输入一个4位数号码组成一注，所选号码的千位、百位、十位、个位与开奖号码相同，且顺序一致，即为中奖。</t>
    <phoneticPr fontId="3" type="noConversion"/>
  </si>
  <si>
    <t>从千位、百位、十位、个位中至少各选一个号码组成1-4星的组合，共四注，所选号码的个位与开奖号码相同，则中1个4等奖；所选号码的个位、十位与开奖号码相同，则中1个4等奖以及1个3等奖，依此类推，最高可中4个奖。</t>
    <phoneticPr fontId="3" type="noConversion"/>
  </si>
  <si>
    <t>如：四星组合示例，如购买：5+6+7+8，该票共8元，由以下4注：5678(四星)、678(三星)、78(二星)、8(一星)构成。开奖号码：*5678，即可中四星、三星、二星、一星各1注。</t>
    <phoneticPr fontId="3" type="noConversion"/>
  </si>
  <si>
    <t>四星组选</t>
    <phoneticPr fontId="3" type="noConversion"/>
  </si>
  <si>
    <t>四星组选24</t>
    <phoneticPr fontId="3" type="noConversion"/>
  </si>
  <si>
    <t>从0-9中任意选择4个号码组成一注，所选号码与开奖号码的千位、百位、十位、个位相同，且顺序不限，即为中奖。</t>
    <phoneticPr fontId="3" type="noConversion"/>
  </si>
  <si>
    <t>如：投注方案：0568，开奖号码的后4个数字必须包含0568（例如0856），顺序不限，即可中四星组选24。</t>
    <phoneticPr fontId="3" type="noConversion"/>
  </si>
  <si>
    <t>四星组选12</t>
    <phoneticPr fontId="3" type="noConversion"/>
  </si>
  <si>
    <t>从千位、百位、十位、个位中，选择1个二重号码和2个单号号码组成一注，所选单号号码与开奖号码相同，且所选二重号码在开奖号码中出现了2次，即为中奖。</t>
    <phoneticPr fontId="3" type="noConversion"/>
  </si>
  <si>
    <t>如：投注方案：二重号：8；单号：0、6，开奖号码的后4个数字必须包含单号0、6和对子号8（例如0868），顺序不限，即可中四星组选12。</t>
    <phoneticPr fontId="3" type="noConversion"/>
  </si>
  <si>
    <t>四星组选6</t>
    <phoneticPr fontId="3" type="noConversion"/>
  </si>
  <si>
    <t>从千位、百位、十位、个位中，选择2个二重号码组成一注，所选的2个二重号码在开奖号码中分别出现了2次，即为中奖。</t>
    <phoneticPr fontId="3" type="noConversion"/>
  </si>
  <si>
    <t>如：投注方案：二重号：2、8，开奖号码的后4个数字必须包含两个对子号2和8（例如2882），顺序不限，即可中四星组选6。</t>
    <phoneticPr fontId="3" type="noConversion"/>
  </si>
  <si>
    <t>四星组选4</t>
    <phoneticPr fontId="3" type="noConversion"/>
  </si>
  <si>
    <t>从千位、百位、十位、个位中，选择1个三重号码和1个单号号码组成一注，所选单号号码与开奖号码相同，且所选三重号码在开奖号码中出现了3次，即为中奖。</t>
    <phoneticPr fontId="3" type="noConversion"/>
  </si>
  <si>
    <t>如：投注方案：三重号：8；单号：2，开奖号码的后4个数字必须包含三重号8，以及单号2（比如8828）顺序不限，即可中四星组选4。</t>
    <phoneticPr fontId="3" type="noConversion"/>
  </si>
  <si>
    <t>三直选/任选</t>
    <phoneticPr fontId="3" type="noConversion"/>
  </si>
  <si>
    <t>直选复式</t>
    <phoneticPr fontId="3" type="noConversion"/>
  </si>
  <si>
    <t>从万位、千位、百位中选择一个3位数号码组成一注，所选号码与开奖号码前3位相同，且顺序一致，即为中奖。</t>
    <phoneticPr fontId="3" type="noConversion"/>
  </si>
  <si>
    <t>如：万位选择1，千位选择2，百位选择3，开奖号码为是123**，即为中奖。</t>
    <phoneticPr fontId="3" type="noConversion"/>
  </si>
  <si>
    <t>直选单式</t>
    <phoneticPr fontId="3" type="noConversion"/>
  </si>
  <si>
    <t>手动输入一个3位数号码组成一注，所选号码与开奖号码的万位、千位、百位相同，且顺序一致，即为中奖。</t>
    <phoneticPr fontId="3" type="noConversion"/>
  </si>
  <si>
    <t>如：手动输入123，开奖号码为是123**，即为中奖。</t>
    <phoneticPr fontId="3" type="noConversion"/>
  </si>
  <si>
    <t>直选和值：0和27</t>
    <phoneticPr fontId="3" type="noConversion"/>
  </si>
  <si>
    <t>所选数值等于开奖号码万位、千位、百位三个数字相加之和，即为中奖。</t>
    <phoneticPr fontId="3" type="noConversion"/>
  </si>
  <si>
    <t>如：选择6，开奖号码为123**、141**、114**、006**、060**等任意一个和值为6的结果，即为中奖。</t>
    <phoneticPr fontId="3" type="noConversion"/>
  </si>
  <si>
    <t>直选和值：1和26</t>
    <phoneticPr fontId="3" type="noConversion"/>
  </si>
  <si>
    <t>直选和值：2和25</t>
    <phoneticPr fontId="3" type="noConversion"/>
  </si>
  <si>
    <t>直选和值：3和24</t>
    <phoneticPr fontId="3" type="noConversion"/>
  </si>
  <si>
    <t>直选和值：4和23</t>
    <phoneticPr fontId="3" type="noConversion"/>
  </si>
  <si>
    <t>直选和值：5和22</t>
    <phoneticPr fontId="3" type="noConversion"/>
  </si>
  <si>
    <t>直选和值：6和21</t>
    <phoneticPr fontId="3" type="noConversion"/>
  </si>
  <si>
    <t>直选和值：7和20</t>
    <phoneticPr fontId="3" type="noConversion"/>
  </si>
  <si>
    <t>直选和值：8和19</t>
    <phoneticPr fontId="3" type="noConversion"/>
  </si>
  <si>
    <t>直选和值：9和18</t>
    <phoneticPr fontId="3" type="noConversion"/>
  </si>
  <si>
    <t>直选和值：10和17</t>
    <phoneticPr fontId="3" type="noConversion"/>
  </si>
  <si>
    <t>直选和值：11和16</t>
    <phoneticPr fontId="3" type="noConversion"/>
  </si>
  <si>
    <t>直选和值：12和15</t>
    <phoneticPr fontId="3" type="noConversion"/>
  </si>
  <si>
    <t>直选和值：13和14</t>
    <phoneticPr fontId="3" type="noConversion"/>
  </si>
  <si>
    <t>三组选</t>
    <phoneticPr fontId="3" type="noConversion"/>
  </si>
  <si>
    <t>组三</t>
    <phoneticPr fontId="3" type="noConversion"/>
  </si>
  <si>
    <t>从0-9中任意选择2个号码组成两注，所选号码与开奖号码的万位、千位、百位相同，且顺序不限，即为中奖。</t>
    <phoneticPr fontId="3" type="noConversion"/>
  </si>
  <si>
    <t>如：选择12（展开为122**，212**，221** 和112**、121**、211**），开奖号码为212** 或121**，即为中奖。</t>
    <phoneticPr fontId="3" type="noConversion"/>
  </si>
  <si>
    <t>组六</t>
    <phoneticPr fontId="3" type="noConversion"/>
  </si>
  <si>
    <t>从0-9中任意选择3个号码组成一注，所选号码与开奖号码的万位、千位、百位相同，顺序不限，即为中奖。</t>
    <phoneticPr fontId="3" type="noConversion"/>
  </si>
  <si>
    <t>如：选择123（展开为123**，132**，231**，213**，312**，321**），开奖号码为321**，即为中奖。</t>
    <phoneticPr fontId="3" type="noConversion"/>
  </si>
  <si>
    <t>组选和值：1和26（组三）</t>
    <phoneticPr fontId="3" type="noConversion"/>
  </si>
  <si>
    <t>如：选择6，开奖号码为114**中组三奖，开奖号码为015**中组六奖。</t>
    <phoneticPr fontId="3" type="noConversion"/>
  </si>
  <si>
    <t>组选和值：1和26（组六）</t>
    <phoneticPr fontId="3" type="noConversion"/>
  </si>
  <si>
    <t>组选和值：2和25（组三）</t>
    <phoneticPr fontId="3" type="noConversion"/>
  </si>
  <si>
    <t>组选和值：2和25（组六）</t>
    <phoneticPr fontId="3" type="noConversion"/>
  </si>
  <si>
    <t>组选和值：3和24（组三）</t>
    <phoneticPr fontId="3" type="noConversion"/>
  </si>
  <si>
    <t>组选和值：3和24（组六）</t>
    <phoneticPr fontId="3" type="noConversion"/>
  </si>
  <si>
    <t>组选和值：4和23（组三）</t>
    <phoneticPr fontId="3" type="noConversion"/>
  </si>
  <si>
    <t>组选和值：4和23（组六）</t>
    <phoneticPr fontId="3" type="noConversion"/>
  </si>
  <si>
    <t>组选和值：5和22（组三）</t>
    <phoneticPr fontId="3" type="noConversion"/>
  </si>
  <si>
    <t>组选和值：5和22（组六）</t>
    <phoneticPr fontId="3" type="noConversion"/>
  </si>
  <si>
    <t>组选和值：6和21（组三）</t>
    <phoneticPr fontId="3" type="noConversion"/>
  </si>
  <si>
    <t>组选和值：6和21（组六）</t>
    <phoneticPr fontId="3" type="noConversion"/>
  </si>
  <si>
    <t>组选和值：7和20（组三）</t>
    <phoneticPr fontId="3" type="noConversion"/>
  </si>
  <si>
    <t>组选和值：7和20（组六）</t>
    <phoneticPr fontId="3" type="noConversion"/>
  </si>
  <si>
    <t>组选和值：8和19（组三）</t>
    <phoneticPr fontId="3" type="noConversion"/>
  </si>
  <si>
    <t>组选和值：8和19（组六）</t>
    <phoneticPr fontId="3" type="noConversion"/>
  </si>
  <si>
    <t>组选和值：9和18（组三）</t>
    <phoneticPr fontId="3" type="noConversion"/>
  </si>
  <si>
    <t>组选和值：9和18（组六）</t>
    <phoneticPr fontId="3" type="noConversion"/>
  </si>
  <si>
    <t>组选和值：10和17（组三）</t>
    <phoneticPr fontId="3" type="noConversion"/>
  </si>
  <si>
    <t>组选和值：10和17（组六）</t>
    <phoneticPr fontId="3" type="noConversion"/>
  </si>
  <si>
    <t>组选和值：11和16（组三）</t>
    <phoneticPr fontId="3" type="noConversion"/>
  </si>
  <si>
    <t>组选和值：11和16（组六）</t>
    <phoneticPr fontId="3" type="noConversion"/>
  </si>
  <si>
    <t>组选和值：12和15（组三）</t>
    <phoneticPr fontId="3" type="noConversion"/>
  </si>
  <si>
    <t>组选和值：12和15（组六）</t>
    <phoneticPr fontId="3" type="noConversion"/>
  </si>
  <si>
    <t>组选和值：13和14（组三）</t>
    <phoneticPr fontId="3" type="noConversion"/>
  </si>
  <si>
    <t>组选和值：13和14（组六）</t>
    <phoneticPr fontId="3" type="noConversion"/>
  </si>
  <si>
    <t>混合组选：组三</t>
    <phoneticPr fontId="3" type="noConversion"/>
  </si>
  <si>
    <t>键盘手动输入购买号码，3个数字为一注，开奖号码的万位、千位、百位符合前三的组三或组六均为中奖。</t>
    <phoneticPr fontId="3" type="noConversion"/>
  </si>
  <si>
    <t>如：手动输入123、455，开奖号码为321**即中组六奖，开奖号码为545**即中组三奖。</t>
    <phoneticPr fontId="3" type="noConversion"/>
  </si>
  <si>
    <t>混合组选：组六</t>
    <phoneticPr fontId="3" type="noConversion"/>
  </si>
  <si>
    <t>二直选/任选</t>
    <phoneticPr fontId="3" type="noConversion"/>
  </si>
  <si>
    <t>从万位和千位上至少各选1个号码，所选号码与开奖号码的万位、千位相同，且顺序一致，即为中奖。</t>
    <phoneticPr fontId="3" type="noConversion"/>
  </si>
  <si>
    <t>如：万位选择3，千位选择4，开出34***即为中奖。</t>
    <phoneticPr fontId="3" type="noConversion"/>
  </si>
  <si>
    <t>手动输入一个2位数号码组成一注，所选号码与开奖号码的万位、千位相同，且顺序一致，即为中奖。</t>
    <phoneticPr fontId="3" type="noConversion"/>
  </si>
  <si>
    <t>如：手动输入12，开奖号码为是12***，即为中奖。</t>
    <phoneticPr fontId="3" type="noConversion"/>
  </si>
  <si>
    <t>直选和值：0和18</t>
    <phoneticPr fontId="3" type="noConversion"/>
  </si>
  <si>
    <t>所选数值等于开奖号码的万位、千位两个数字相加之和，即为中奖。</t>
    <phoneticPr fontId="3" type="noConversion"/>
  </si>
  <si>
    <t>如：和值8；开奖号码前二位08或者80（顺序不限，不含对子号），即为中奖。</t>
  </si>
  <si>
    <t>直选和值：1和17</t>
    <phoneticPr fontId="3" type="noConversion"/>
  </si>
  <si>
    <t>直选和值：2和16</t>
    <phoneticPr fontId="3" type="noConversion"/>
  </si>
  <si>
    <t>直选和值：3和15</t>
    <phoneticPr fontId="3" type="noConversion"/>
  </si>
  <si>
    <t>直选和值：4和14</t>
    <phoneticPr fontId="3" type="noConversion"/>
  </si>
  <si>
    <t>直选和值：5和13</t>
    <phoneticPr fontId="3" type="noConversion"/>
  </si>
  <si>
    <t>直选和值：6和12</t>
    <phoneticPr fontId="3" type="noConversion"/>
  </si>
  <si>
    <t>直选和值：7和11</t>
    <phoneticPr fontId="3" type="noConversion"/>
  </si>
  <si>
    <t>直选和值：8和10</t>
    <phoneticPr fontId="3" type="noConversion"/>
  </si>
  <si>
    <t>直选和值：9</t>
    <phoneticPr fontId="3" type="noConversion"/>
  </si>
  <si>
    <t>二星组选</t>
    <phoneticPr fontId="3" type="noConversion"/>
  </si>
  <si>
    <t>组选复式</t>
    <phoneticPr fontId="3" type="noConversion"/>
  </si>
  <si>
    <t>从0-9中选2个号码组成一注，所择号码与开奖号码的万位、千位相同，顺序不限，即为中奖。</t>
    <phoneticPr fontId="3" type="noConversion"/>
  </si>
  <si>
    <t>如：选择7、8，开奖号码78***或87***，即为中奖。</t>
    <phoneticPr fontId="3" type="noConversion"/>
  </si>
  <si>
    <t>组选单式</t>
    <phoneticPr fontId="3" type="noConversion"/>
  </si>
  <si>
    <t>手动输入购买号码，2个数字为一注，所选号码与开奖号码的万位、千位相同，顺序不限，即为中奖。</t>
    <phoneticPr fontId="3" type="noConversion"/>
  </si>
  <si>
    <t>如：手动输入12，开奖号码为是21***或12***，即为中奖。</t>
    <phoneticPr fontId="3" type="noConversion"/>
  </si>
  <si>
    <t>组选和值：1和17</t>
    <phoneticPr fontId="3" type="noConversion"/>
  </si>
  <si>
    <t>所选数值等于开奖号码的万位、千位两个数字相加之和（不含对子号）即为中奖。</t>
    <phoneticPr fontId="3" type="noConversion"/>
  </si>
  <si>
    <t>如：和值8；开奖号码前二位08或者80（顺序不限，不含对子号），即为中奖。</t>
    <phoneticPr fontId="3" type="noConversion"/>
  </si>
  <si>
    <t>组选和值：2和16</t>
    <phoneticPr fontId="3" type="noConversion"/>
  </si>
  <si>
    <t>组选和值：3和15</t>
    <phoneticPr fontId="3" type="noConversion"/>
  </si>
  <si>
    <t>组选和值：4和14</t>
    <phoneticPr fontId="3" type="noConversion"/>
  </si>
  <si>
    <t>组选和值：5和13</t>
    <phoneticPr fontId="3" type="noConversion"/>
  </si>
  <si>
    <t>组选和值：6和12</t>
    <phoneticPr fontId="3" type="noConversion"/>
  </si>
  <si>
    <t>组选和值：7和11</t>
    <phoneticPr fontId="3" type="noConversion"/>
  </si>
  <si>
    <t>组选和值：8和10</t>
    <phoneticPr fontId="3" type="noConversion"/>
  </si>
  <si>
    <t>组选和值：9</t>
    <phoneticPr fontId="3" type="noConversion"/>
  </si>
  <si>
    <t>定位胆</t>
    <phoneticPr fontId="3" type="noConversion"/>
  </si>
  <si>
    <t>万位</t>
    <phoneticPr fontId="3" type="noConversion"/>
  </si>
  <si>
    <t>从万位、千位、百位、十位、个位任意1个位置或多个位置上选择1个号码，所选号码与相同位置上的开奖号码一致，即为中奖。</t>
    <phoneticPr fontId="3" type="noConversion"/>
  </si>
  <si>
    <t>如：定万位为1，开奖号码为1****即为中奖。</t>
    <phoneticPr fontId="3" type="noConversion"/>
  </si>
  <si>
    <t>千位</t>
  </si>
  <si>
    <t>如：定千位为2，开奖号码为*2***即为中奖。</t>
    <phoneticPr fontId="3" type="noConversion"/>
  </si>
  <si>
    <t>百位</t>
  </si>
  <si>
    <t>如：定百位为3，开奖号码为**3**即为中奖。</t>
    <phoneticPr fontId="3" type="noConversion"/>
  </si>
  <si>
    <t>十位</t>
  </si>
  <si>
    <t>如：定十位为4，开奖号码为***4*即为中奖。</t>
    <phoneticPr fontId="3" type="noConversion"/>
  </si>
  <si>
    <t>个位</t>
    <phoneticPr fontId="3" type="noConversion"/>
  </si>
  <si>
    <t>如：定个位为5，开奖号码为****5即为中奖。</t>
    <phoneticPr fontId="3" type="noConversion"/>
  </si>
  <si>
    <t>不定胆</t>
    <phoneticPr fontId="3" type="noConversion"/>
  </si>
  <si>
    <t>三星一码不定位</t>
    <phoneticPr fontId="3" type="noConversion"/>
  </si>
  <si>
    <t>从0-9中任意选择1个号码组成一注，只要开奖号码的百位、十位、个位任意位置中同时包含所选的号码，即为中奖。开出多重号奖金无加倍。</t>
    <phoneticPr fontId="3" type="noConversion"/>
  </si>
  <si>
    <t>投注方案：1；
开奖号码后三位：在任意位置上出现1，即中后三一码不定位。</t>
    <phoneticPr fontId="3" type="noConversion"/>
  </si>
  <si>
    <t>三星二码不定位</t>
    <phoneticPr fontId="3" type="noConversion"/>
  </si>
  <si>
    <t>从0-9中任意选择2个号码组成一注，只要开奖号码的百位、十位、个位任意位置中同时包含所选的号码，即为中奖。开出多重号奖金无加倍。</t>
    <phoneticPr fontId="3" type="noConversion"/>
  </si>
  <si>
    <t>投注方案：1,2；
开奖号码后三位：在任意位置上出现1和2，即中后三二码不定位。</t>
    <phoneticPr fontId="3" type="noConversion"/>
  </si>
  <si>
    <t>四星一码不定胆</t>
    <phoneticPr fontId="3" type="noConversion"/>
  </si>
  <si>
    <t>从0-9中至少选择三个号码，每三个号码作为一注。若开奖号码的千位、百位、十位、个位中包含所选的一个号码（顺序不限），即为中奖。</t>
    <phoneticPr fontId="3" type="noConversion"/>
  </si>
  <si>
    <t>投注方案：1；
开奖号码前四位：在任意位置上出现1，即中前四星一码不定位。</t>
    <phoneticPr fontId="3" type="noConversion"/>
  </si>
  <si>
    <t>四星二码不定胆</t>
    <phoneticPr fontId="3" type="noConversion"/>
  </si>
  <si>
    <t>从0-9中至少选择三个号码，每三个号码作为一注。若开奖号码的千位、百位、十位、个位中包含所选的二个号码（顺序不限），即为中奖。</t>
  </si>
  <si>
    <t>投注方案：1,2；
开奖号码前四位：在任意位置上出现1和2，即中前四星二码不定位。</t>
    <phoneticPr fontId="3" type="noConversion"/>
  </si>
  <si>
    <t>四星三码不定胆</t>
    <phoneticPr fontId="3" type="noConversion"/>
  </si>
  <si>
    <t>从0-9中至少选择三个号码，每三个号码作为一注。若开奖号码的千位、百位、十位、个位中包含所选的三个号码（顺序不限），即为中奖。</t>
    <phoneticPr fontId="3" type="noConversion"/>
  </si>
  <si>
    <t>投注方案：1,2,3；
开奖号码：24371，在万位、千位、百位、十位的任意位置上出现1、2和3，即中四星三码不定位。</t>
    <phoneticPr fontId="3" type="noConversion"/>
  </si>
  <si>
    <t>五星一码不定胆</t>
    <phoneticPr fontId="3" type="noConversion"/>
  </si>
  <si>
    <t>从0-9中任意选择1个号码组成一注，只要开奖号码的万位、千位、百位、十位、个位任意位置中包含所选的号码，即为中奖。开出多重号奖金无加倍。</t>
    <phoneticPr fontId="3" type="noConversion"/>
  </si>
  <si>
    <t>投注方案：1；
开奖号码：34137，在万位、千位、百位、十位、个位的任意位置上出现1，即中五星一码不定位。</t>
    <phoneticPr fontId="3" type="noConversion"/>
  </si>
  <si>
    <t>五星二码不定胆</t>
  </si>
  <si>
    <t>从0-9中任意选择2个号码组成一注，只要开奖号码的万位、千位、百位、十位、个位任意位置中同时包含所选的号码，即为中奖。开出多重号奖金无加倍。</t>
    <phoneticPr fontId="3" type="noConversion"/>
  </si>
  <si>
    <t>投注方案：1,2；
开奖号码：24371，在万位、千位、百位、十位、个位的任意位置上出现1和2，即中五星二码不定位。</t>
    <phoneticPr fontId="3" type="noConversion"/>
  </si>
  <si>
    <t>五星三码不定胆</t>
    <phoneticPr fontId="3" type="noConversion"/>
  </si>
  <si>
    <t>从0-9中任意选择3个号码组成一注，只要开奖号码的万位、千位、百位、十位、个位任意位置中同时包含所选的号码，即为中奖。开出多重号奖金无加倍。</t>
    <phoneticPr fontId="3" type="noConversion"/>
  </si>
  <si>
    <t>投注方案：1,2,3；
开奖号码：24371，在万位、千位、百位、十位、个位的任意位置上出现1、2和3，即中五星三码不定位。</t>
    <phoneticPr fontId="3" type="noConversion"/>
  </si>
  <si>
    <t>大小单双</t>
    <phoneticPr fontId="3" type="noConversion"/>
  </si>
  <si>
    <t>五星总和大小单双</t>
    <phoneticPr fontId="3" type="noConversion"/>
  </si>
  <si>
    <t>对个位至万位的总和的"大(23以上，包括23)小(22以下，包括22)、单(奇数)双(偶数)"型态进行购买，所选号码的位型态与开奖号码的形态相同，即为中奖。</t>
    <phoneticPr fontId="3" type="noConversion"/>
  </si>
  <si>
    <t>投注方案：大，开奖号码67895(6+7+8+9+5=35)，即中比大小一等奖。投注方案：单，开奖号码12345(1+2+3+4+5=15)，即中比单双一等奖。</t>
    <phoneticPr fontId="3" type="noConversion"/>
  </si>
  <si>
    <t>五星总和大小单双：大单</t>
    <phoneticPr fontId="3" type="noConversion"/>
  </si>
  <si>
    <t>五星总和大小单双：大双</t>
    <phoneticPr fontId="3" type="noConversion"/>
  </si>
  <si>
    <t>五星总和大小单双：小单</t>
    <phoneticPr fontId="3" type="noConversion"/>
  </si>
  <si>
    <t>五星总和大小单双：小双</t>
    <phoneticPr fontId="3" type="noConversion"/>
  </si>
  <si>
    <t>三星总和大小单双</t>
  </si>
  <si>
    <t>对百位至万位的总和的"大(14以上，包括14)小(13以下，包括13)、单(奇数)双(偶数)"型态进行购买，所选号码的位型态与开奖号码的形态相同，即为中奖。</t>
    <phoneticPr fontId="3" type="noConversion"/>
  </si>
  <si>
    <t>投注方案：大，开奖号码67895(6+7+8=21)，即中比大小一等奖。投注方案：双，开奖号码12345(1+2+3=6)，即中比单双一等奖。</t>
    <phoneticPr fontId="3" type="noConversion"/>
  </si>
  <si>
    <t>三星总和大小单双：大单</t>
  </si>
  <si>
    <t>三星总和大小单双：大双</t>
  </si>
  <si>
    <t>三星总和大小单双：小单</t>
  </si>
  <si>
    <t>三星总和大小单双：小双</t>
  </si>
  <si>
    <t>三星大小单双</t>
    <phoneticPr fontId="3" type="noConversion"/>
  </si>
  <si>
    <t>从万位、千位和百位的“大（56789）小（01234）、单（13579）双（02468）”中各选1个形态组成一注，所选号码的位置、形态与开奖号码的位置、形态相同，即为中奖。</t>
  </si>
  <si>
    <t>投注方案：小双小；开奖号码万位上为：（01234)中的一个、千位：（02468）中的一个、百位：（01234）中的一个，即中前三大小单双一等奖。</t>
    <phoneticPr fontId="3" type="noConversion"/>
  </si>
  <si>
    <t>二星大小单双</t>
    <phoneticPr fontId="3" type="noConversion"/>
  </si>
  <si>
    <t>对万位和千位的“大（56789）小（01234）、单（13579）双（02468）”形态进行购买，所选号码的位置、形态与开奖号码的位置、形态相同，即为中奖。</t>
    <phoneticPr fontId="3" type="noConversion"/>
  </si>
  <si>
    <t>如：万位选择大，千位选择单，开出63***即为中奖。</t>
    <phoneticPr fontId="3" type="noConversion"/>
  </si>
  <si>
    <t>五星大小个数：全大</t>
    <phoneticPr fontId="3" type="noConversion"/>
  </si>
  <si>
    <t>对5个号码中大号与小号的个数进行选择，所选号码与开奖号码的大小个数相同，即为中奖。</t>
    <phoneticPr fontId="3" type="noConversion"/>
  </si>
  <si>
    <t>投注方案：全大，开奖号码67895，即中五星大小个数一等奖。投注方案：4大1小，开奖号码79385，即中五星大小个数二等奖。</t>
    <phoneticPr fontId="3" type="noConversion"/>
  </si>
  <si>
    <t>五星大小个数：4大1小</t>
    <phoneticPr fontId="3" type="noConversion"/>
  </si>
  <si>
    <t>五星大小个数：3大2小</t>
    <phoneticPr fontId="3" type="noConversion"/>
  </si>
  <si>
    <t>五星大小个数：2大3小</t>
    <phoneticPr fontId="3" type="noConversion"/>
  </si>
  <si>
    <t>五星大小个数：1大4小</t>
    <phoneticPr fontId="3" type="noConversion"/>
  </si>
  <si>
    <t>五星大小个数：全小</t>
    <phoneticPr fontId="3" type="noConversion"/>
  </si>
  <si>
    <t>四星大小个数：全大</t>
    <phoneticPr fontId="3" type="noConversion"/>
  </si>
  <si>
    <t>对千、百、十、个4个号码中大号与小号的个数进行选择，所选号码与开奖号码的大小个数相同，即为中奖。</t>
    <phoneticPr fontId="3" type="noConversion"/>
  </si>
  <si>
    <t>投注方案：全大，开奖号码67895，即中四星大小个数一等奖。投注方案：3大1小，开奖号码79385，即中四星大小个数二等奖。</t>
    <phoneticPr fontId="3" type="noConversion"/>
  </si>
  <si>
    <t>四星大小个数：3大1小</t>
    <phoneticPr fontId="3" type="noConversion"/>
  </si>
  <si>
    <t>四星大小个数：2大2小</t>
    <phoneticPr fontId="3" type="noConversion"/>
  </si>
  <si>
    <t>四星大小个数：1大3小</t>
    <phoneticPr fontId="3" type="noConversion"/>
  </si>
  <si>
    <t>四星大小个数：全小</t>
    <phoneticPr fontId="3" type="noConversion"/>
  </si>
  <si>
    <t>三星大小个数：全大</t>
    <phoneticPr fontId="3" type="noConversion"/>
  </si>
  <si>
    <t>对千、百、十3个号码中大号与小号的个数进行选择，所选号码与开奖号码的大小个数相同，即为中奖。</t>
    <phoneticPr fontId="3" type="noConversion"/>
  </si>
  <si>
    <t>投注方案：全大，开奖号码67895，即中三星大小个数一等奖。投注方案：2大1小，开奖号码79385，即中三星大小个数二等奖。</t>
    <phoneticPr fontId="3" type="noConversion"/>
  </si>
  <si>
    <t>三星大小个数：2大1小</t>
    <phoneticPr fontId="3" type="noConversion"/>
  </si>
  <si>
    <t>三星大小个数：1大2小</t>
    <phoneticPr fontId="3" type="noConversion"/>
  </si>
  <si>
    <t>三星大小个数：全小</t>
    <phoneticPr fontId="3" type="noConversion"/>
  </si>
  <si>
    <t>五星单双个数：全单</t>
  </si>
  <si>
    <t>对5个号码中单号与双号的个数进行选择，所选号码与开奖号码的大小个数相同，即为中奖。</t>
    <phoneticPr fontId="3" type="noConversion"/>
  </si>
  <si>
    <t>投注方案：全大，开奖号码37195，即中五星大小个数一等奖。投注方案：4大1小，开奖号码79385，即中五星大小个数二等奖。</t>
    <phoneticPr fontId="3" type="noConversion"/>
  </si>
  <si>
    <t>五星单双个数：4单1双</t>
  </si>
  <si>
    <t>五星单双个数：3单2双</t>
  </si>
  <si>
    <t>五星单双个数：2单3双</t>
  </si>
  <si>
    <t>五星单双个数：1单4双</t>
  </si>
  <si>
    <t>五星单双个数：全双</t>
  </si>
  <si>
    <t>四星单双个数：全单</t>
  </si>
  <si>
    <t>对千、百、十、个4个号码中单号与双号的个数进行选择，所选号码与开奖号码的大小个数相同，即为中奖。</t>
    <phoneticPr fontId="3" type="noConversion"/>
  </si>
  <si>
    <t>投注方案：全大，开奖号码67195，即中四星大小个数一等奖。投注方案：3大1小，开奖号码79385，即中四星大小个数二等奖。</t>
    <phoneticPr fontId="3" type="noConversion"/>
  </si>
  <si>
    <t>四星单双个数：3单1双</t>
  </si>
  <si>
    <t>四星单双个数：2单2双</t>
  </si>
  <si>
    <t>四星单双个数：1单3双</t>
  </si>
  <si>
    <t>四星单双个数：全双</t>
  </si>
  <si>
    <t>三星单双个数：全单</t>
  </si>
  <si>
    <t>对千、百、十3个号码中单号与双号的个数进行选择，所选号码与开奖号码的大小个数相同，即为中奖。</t>
    <phoneticPr fontId="3" type="noConversion"/>
  </si>
  <si>
    <t>投注方案：全大，开奖号码67595，即中三星大小个数一等奖。投注方案：2大1小，开奖号码79485，即中三星大小个数二等奖。</t>
    <phoneticPr fontId="3" type="noConversion"/>
  </si>
  <si>
    <t>三星单双个数：2单1双</t>
  </si>
  <si>
    <t>三星单双个数：1单2双</t>
  </si>
  <si>
    <t>三星单双个数：全双</t>
  </si>
  <si>
    <t>牛牛</t>
    <phoneticPr fontId="3" type="noConversion"/>
  </si>
  <si>
    <t>无牛</t>
    <phoneticPr fontId="3" type="noConversion"/>
  </si>
  <si>
    <t>牛牛～牛9为开奖号码中任意三个数相加个位数为0，另外两个数字相加的个位数为牛的所选号码，即为中奖。</t>
    <phoneticPr fontId="3" type="noConversion"/>
  </si>
  <si>
    <t>牛1～牛9：开奖号码中任意三位数相加个位数可以为0，另外两个数字相加的个位数为所选号码，即为中奖；
无牛：开奖号码中任意三位数相加个位数都不是0，即为中奖；
牛牛：开奖号码中任意三位数相加个位数可以为0，另外两个数字相加的个位数为0，即为中奖。
牛大：选号：大，开奖：04689牛大：牛7＝(0+4+6)、(8+9)，牛6～牛牛为大；
牛小：选号：小，开奖：04685牛小：牛3＝(0+4+6)、(8+5)，牛1～牛5为小；
牛单：选号：单，开奖04685单号：牛3＝(0+4+6)、(8+5)，牛1/3/5/7/9；
牛双：选号：双，开奖04684双号：牛2＝(0+4+6)、(8+4)，牛2/4/6/8/0
牛质：牛1、牛2、牛3、牛5、牛7
牛合：牛4、牛6、牛8、牛9、牛牛</t>
    <phoneticPr fontId="3" type="noConversion"/>
  </si>
  <si>
    <t>牛1</t>
    <phoneticPr fontId="3" type="noConversion"/>
  </si>
  <si>
    <t>牛2</t>
    <phoneticPr fontId="3" type="noConversion"/>
  </si>
  <si>
    <t>牛3</t>
    <phoneticPr fontId="3" type="noConversion"/>
  </si>
  <si>
    <t>牛4</t>
    <phoneticPr fontId="3" type="noConversion"/>
  </si>
  <si>
    <t>牛5</t>
    <phoneticPr fontId="3" type="noConversion"/>
  </si>
  <si>
    <t>牛6</t>
    <phoneticPr fontId="3" type="noConversion"/>
  </si>
  <si>
    <t>牛7</t>
    <phoneticPr fontId="3" type="noConversion"/>
  </si>
  <si>
    <t>牛8</t>
    <phoneticPr fontId="3" type="noConversion"/>
  </si>
  <si>
    <t>牛9</t>
    <phoneticPr fontId="3" type="noConversion"/>
  </si>
  <si>
    <t>牛大</t>
    <phoneticPr fontId="3" type="noConversion"/>
  </si>
  <si>
    <t>牛小</t>
    <phoneticPr fontId="3" type="noConversion"/>
  </si>
  <si>
    <t>牛单</t>
    <phoneticPr fontId="3" type="noConversion"/>
  </si>
  <si>
    <t>牛双</t>
    <phoneticPr fontId="3" type="noConversion"/>
  </si>
  <si>
    <t>牛质</t>
    <phoneticPr fontId="3" type="noConversion"/>
  </si>
  <si>
    <t>牛合</t>
    <phoneticPr fontId="3" type="noConversion"/>
  </si>
  <si>
    <t>梭哈</t>
    <phoneticPr fontId="3" type="noConversion"/>
  </si>
  <si>
    <t>五条</t>
    <phoneticPr fontId="3" type="noConversion"/>
  </si>
  <si>
    <t>以下玩法皆不限顺序。
1、五条：开出五个号码中五个相同，如：00000、99999 
2、炸弹：开出五个号码中四个相同，如：10000、22221 
3、葫芦：开出五个号码中三个相同(三条)及两个号码相同(一对)，如：11222、33444 
4、顺子：开出五个号码从小到大排列为01234、12345、23456、34567、45678、56789、06789、01789、 01289、01239 
5.
5、三条：开出五个号码中三个相同(三条)及两个号码不相同，如：12333、66678 
6、两对：开出五个号码中有两组相同，如：00112 、36677 
7、单对：开出五个号码中只有一组相同，如：00123、13556 
8、散号：开出五个号码没有任何相同或相关联（不含顺子），如：12356、 01345、34678、12579。</t>
    <phoneticPr fontId="3" type="noConversion"/>
  </si>
  <si>
    <t>投注方案：炸弹
开奖号码：00001，即中牛牛梭哈</t>
    <phoneticPr fontId="3" type="noConversion"/>
  </si>
  <si>
    <t>炸弹</t>
    <phoneticPr fontId="3" type="noConversion"/>
  </si>
  <si>
    <t>葫芦</t>
    <phoneticPr fontId="3" type="noConversion"/>
  </si>
  <si>
    <t>顺子</t>
    <phoneticPr fontId="3" type="noConversion"/>
  </si>
  <si>
    <t>三条</t>
    <phoneticPr fontId="3" type="noConversion"/>
  </si>
  <si>
    <t>两对</t>
    <phoneticPr fontId="3" type="noConversion"/>
  </si>
  <si>
    <t>单对</t>
    <phoneticPr fontId="3" type="noConversion"/>
  </si>
  <si>
    <t>散号</t>
    <phoneticPr fontId="3" type="noConversion"/>
  </si>
  <si>
    <t>趣味</t>
  </si>
  <si>
    <t>一帆风顺</t>
    <phoneticPr fontId="3" type="noConversion"/>
  </si>
  <si>
    <t>从0-9中任意选择1个号码组成一注，只要开奖号码的万位,千位,百位,十位,个位中包含所选号码, 即为中奖。</t>
    <phoneticPr fontId="3" type="noConversion"/>
  </si>
  <si>
    <t>如：投注方案：8，至少出现1个8，即中一帆风顺。</t>
    <phoneticPr fontId="3" type="noConversion"/>
  </si>
  <si>
    <t>好事成双</t>
    <phoneticPr fontId="3" type="noConversion"/>
  </si>
  <si>
    <t>从0-9中任意选择1个号码组成一注，只要所选号码在开奖号码的万位,千位,百位,十位,个位中出现2次相同，即为中奖。</t>
    <phoneticPr fontId="3" type="noConversion"/>
  </si>
  <si>
    <t>如：投注方案：8；至少出现2个8，即中好事成双。</t>
    <phoneticPr fontId="3" type="noConversion"/>
  </si>
  <si>
    <t>三星报喜</t>
    <phoneticPr fontId="3" type="noConversion"/>
  </si>
  <si>
    <t>从0-9中任意选择1个号码组成一注，只要所选号码在开奖号码的万位,千位,百位,十位,个位中出现3次,即为中奖。</t>
    <phoneticPr fontId="3" type="noConversion"/>
  </si>
  <si>
    <t>如：投注方案：8：开奖号码，三重号，即中三星报喜。</t>
    <phoneticPr fontId="3" type="noConversion"/>
  </si>
  <si>
    <t>四季发财</t>
    <phoneticPr fontId="3" type="noConversion"/>
  </si>
  <si>
    <t>从从0-9中任意选择1个号码组成一注，只要所选号码在开奖号码的万位,千位,百位,十位,个位中出现4次,即为中奖。</t>
    <phoneticPr fontId="3" type="noConversion"/>
  </si>
  <si>
    <t>如：投注方案：8；至少出现4个8，即为四季发财。</t>
    <phoneticPr fontId="3" type="noConversion"/>
  </si>
  <si>
    <t>直选跨度</t>
    <phoneticPr fontId="3" type="noConversion"/>
  </si>
  <si>
    <t>二星跨度：0</t>
    <phoneticPr fontId="3" type="noConversion"/>
  </si>
  <si>
    <t>所选数值等于开奖号码的前两位最大与最小数字相减之差，即为中奖。</t>
    <phoneticPr fontId="3" type="noConversion"/>
  </si>
  <si>
    <t>投注跨度号码2，开奖1.3.x.x.x(不限顺序)，『3-1＝2』即为中奖。</t>
    <phoneticPr fontId="3" type="noConversion"/>
  </si>
  <si>
    <t>二星跨度：1</t>
    <phoneticPr fontId="3" type="noConversion"/>
  </si>
  <si>
    <t>二星跨度：2</t>
    <phoneticPr fontId="3" type="noConversion"/>
  </si>
  <si>
    <t>二星跨度：3</t>
    <phoneticPr fontId="3" type="noConversion"/>
  </si>
  <si>
    <t>二星跨度：4</t>
    <phoneticPr fontId="3" type="noConversion"/>
  </si>
  <si>
    <t>二星跨度：5</t>
    <phoneticPr fontId="3" type="noConversion"/>
  </si>
  <si>
    <t>二星跨度：6</t>
    <phoneticPr fontId="3" type="noConversion"/>
  </si>
  <si>
    <t>二星跨度：7</t>
    <phoneticPr fontId="3" type="noConversion"/>
  </si>
  <si>
    <t>二星跨度：8</t>
    <phoneticPr fontId="3" type="noConversion"/>
  </si>
  <si>
    <t>二星跨度：9</t>
    <phoneticPr fontId="3" type="noConversion"/>
  </si>
  <si>
    <t>三星跨度：0</t>
  </si>
  <si>
    <t>所选数值等于开奖号码的三星最大与最小数字相减之差，即为中奖。</t>
    <phoneticPr fontId="3" type="noConversion"/>
  </si>
  <si>
    <t>投注跨度号码2，开奖1.2.3.xx(不限顺序)，『3-1=2』即为中奖。</t>
    <phoneticPr fontId="3" type="noConversion"/>
  </si>
  <si>
    <t>三星跨度：1和9</t>
    <phoneticPr fontId="3" type="noConversion"/>
  </si>
  <si>
    <t>三星跨度：2和8</t>
    <phoneticPr fontId="3" type="noConversion"/>
  </si>
  <si>
    <t>三星跨度：3和7</t>
    <phoneticPr fontId="3" type="noConversion"/>
  </si>
  <si>
    <t>三星跨度：4和6</t>
    <phoneticPr fontId="3" type="noConversion"/>
  </si>
  <si>
    <t>三星跨度：5</t>
  </si>
  <si>
    <t>组选包胆</t>
    <phoneticPr fontId="3" type="noConversion"/>
  </si>
  <si>
    <t>二星包胆</t>
    <phoneticPr fontId="3" type="noConversion"/>
  </si>
  <si>
    <t>从0-9中任意选择1个包胆号码，开奖号码的万位、千位中任意1位包含所选的包胆号码相同（不含对子号），即为中奖。</t>
    <phoneticPr fontId="3" type="noConversion"/>
  </si>
  <si>
    <t>投注方案：包胆号码8；开奖号码前二位：出现1个8（不包括2个8），即中前二组选。</t>
    <phoneticPr fontId="3" type="noConversion"/>
  </si>
  <si>
    <t>三星包胆：组三</t>
    <phoneticPr fontId="3" type="noConversion"/>
  </si>
  <si>
    <t>从0～9中任意选择1个包胆号码，开奖号码的前三位中任意1位与所选包胆号码相同(不含豹子)，即为中奖。</t>
    <phoneticPr fontId="3" type="noConversion"/>
  </si>
  <si>
    <t>投注包胆号码3：开奖号码前三位：(1)出现3xx或者33x，即中前三组三，(2)出现3xy即中前三组六。</t>
    <phoneticPr fontId="3" type="noConversion"/>
  </si>
  <si>
    <t>三星包胆：组六</t>
    <phoneticPr fontId="3" type="noConversion"/>
  </si>
  <si>
    <t>和值尾数</t>
    <phoneticPr fontId="3" type="noConversion"/>
  </si>
  <si>
    <t>三星和值尾数</t>
    <phoneticPr fontId="3" type="noConversion"/>
  </si>
  <si>
    <t>从0～9中任意选择1个和值尾数号码，开奖号码的前三位和值尾数与投注号码相同，即为中奖。</t>
    <phoneticPr fontId="3" type="noConversion"/>
  </si>
  <si>
    <t>投注和值尾数8，开奖9.3.6.xx，『9+3+6=18』和值尾数为8，即为中奖。</t>
    <phoneticPr fontId="3" type="noConversion"/>
  </si>
  <si>
    <t>龙虎斗</t>
    <phoneticPr fontId="3" type="noConversion"/>
  </si>
  <si>
    <t>龙虎：龙/虎</t>
    <phoneticPr fontId="3" type="noConversion"/>
  </si>
  <si>
    <t>从龙虎中任意选择1个龙、虎，开奖号码的万位比个位号码大，中龙，反之中虎，相等中和，中和则返回本金。</t>
    <phoneticPr fontId="3" type="noConversion"/>
  </si>
  <si>
    <t>龙虎斗：龙/虎</t>
    <phoneticPr fontId="3" type="noConversion"/>
  </si>
  <si>
    <t>从龙虎中任意选择1个龙、虎、和，开奖号码的万位比个位号码大，中龙，反之中虎，相等中和。</t>
    <phoneticPr fontId="3" type="noConversion"/>
  </si>
  <si>
    <t>投注『青龙』，开奖号码的万位比个位号码大，即为中奖，反之则为不中奖。</t>
    <phoneticPr fontId="3" type="noConversion"/>
  </si>
  <si>
    <t>龙虎斗：和</t>
    <phoneticPr fontId="3" type="noConversion"/>
  </si>
  <si>
    <t>玄麟斗：玄/麟</t>
    <phoneticPr fontId="3" type="noConversion"/>
  </si>
  <si>
    <t>从玄麟中任意选择1个玄、麟、和，开奖号码的千位比十位号码大，中玄武，反之中麒麟，相等中和。</t>
    <phoneticPr fontId="3" type="noConversion"/>
  </si>
  <si>
    <t>投注『玄武』，开奖号码的千位比十位号码大，即为中奖，反之则为不中奖。</t>
    <phoneticPr fontId="3" type="noConversion"/>
  </si>
  <si>
    <t>玄麟斗：和</t>
    <phoneticPr fontId="3" type="noConversion"/>
  </si>
  <si>
    <t>全五中一</t>
    <phoneticPr fontId="3" type="noConversion"/>
  </si>
  <si>
    <t>组选120</t>
    <phoneticPr fontId="3" type="noConversion"/>
  </si>
  <si>
    <t>开奖号码为不重复的五个单号，开奖号码里包含所选号码即为中奖。</t>
    <phoneticPr fontId="3" type="noConversion"/>
  </si>
  <si>
    <t>投注号码9，开奖号码：xyzn9，9xyzn，即为中奖。</t>
    <phoneticPr fontId="3" type="noConversion"/>
  </si>
  <si>
    <t>组选60</t>
    <phoneticPr fontId="3" type="noConversion"/>
  </si>
  <si>
    <t>开奖号码为二重号加三个单号，顺序不限，开奖号码里包含所选号码即为中奖。</t>
    <phoneticPr fontId="3" type="noConversion"/>
  </si>
  <si>
    <t>投注号码9，开奖号码：99xyz，xyz99，即为中奖。</t>
    <phoneticPr fontId="3" type="noConversion"/>
  </si>
  <si>
    <t>组选30</t>
    <phoneticPr fontId="3" type="noConversion"/>
  </si>
  <si>
    <t>开奖号码为二重号加二重号加单号，顺序不限，开奖号码里包含所选号码即为中奖。</t>
    <phoneticPr fontId="3" type="noConversion"/>
  </si>
  <si>
    <t>投注号码9，开奖号码：xxyy9，9xxyy，即为中奖。</t>
    <phoneticPr fontId="3" type="noConversion"/>
  </si>
  <si>
    <t>组选20</t>
    <phoneticPr fontId="3" type="noConversion"/>
  </si>
  <si>
    <t>开奖号码为三重号加二个单号，顺序不限，开奖号码里包含所选号码即为中奖。</t>
    <phoneticPr fontId="3" type="noConversion"/>
  </si>
  <si>
    <t>投注号码9，开奖号码：999xy，yx999，9xyyy，即为中奖。</t>
    <phoneticPr fontId="3" type="noConversion"/>
  </si>
  <si>
    <t>组选10</t>
    <phoneticPr fontId="3" type="noConversion"/>
  </si>
  <si>
    <t>开奖号码为三重号加二重号，顺序不限，开奖号码里包含所选号码即为中奖。</t>
    <phoneticPr fontId="3" type="noConversion"/>
  </si>
  <si>
    <t>投注号码9，开奖号码：999xx，99xxx，即为中奖。</t>
    <phoneticPr fontId="3" type="noConversion"/>
  </si>
  <si>
    <t>组选5</t>
    <phoneticPr fontId="3" type="noConversion"/>
  </si>
  <si>
    <t>开奖号码为四重号加单号，顺序不限，开奖号码里包含所选号码即为中奖。</t>
    <phoneticPr fontId="3" type="noConversion"/>
  </si>
  <si>
    <t>投注号码9，开奖号嘛：9999x，9xxxx，即为中奖。</t>
    <phoneticPr fontId="3" type="noConversion"/>
  </si>
  <si>
    <t>组选1</t>
    <phoneticPr fontId="3" type="noConversion"/>
  </si>
  <si>
    <t>开奖号码为五重号，开奖号码里包含所选号码即为中奖。</t>
    <phoneticPr fontId="3" type="noConversion"/>
  </si>
  <si>
    <t>投注号码9，开奖号码：99999，即为中奖。</t>
    <phoneticPr fontId="3" type="noConversion"/>
  </si>
  <si>
    <t>百家乐</t>
    <phoneticPr fontId="3" type="noConversion"/>
  </si>
  <si>
    <t>庄闲</t>
    <phoneticPr fontId="3" type="noConversion"/>
  </si>
  <si>
    <t>从庄闲中任意选择1个庄、闲，开奖号码万位+千位之和比十位+个位之和大，中庄，反之中闲，如果开出和则不会退还庄闲下注金额。</t>
    <phoneticPr fontId="3" type="noConversion"/>
  </si>
  <si>
    <t>投注『闲』，开奖号码为32698『3+2=5』vs『9+8=7』闲赢。</t>
    <phoneticPr fontId="3" type="noConversion"/>
  </si>
  <si>
    <t>和</t>
    <phoneticPr fontId="3" type="noConversion"/>
  </si>
  <si>
    <t>从平中任意选择1个和，开奖号码万位+千位之和＝十位+个位至和，中和。</t>
    <phoneticPr fontId="3" type="noConversion"/>
  </si>
  <si>
    <t>投注『和』，开奖号码为32614『3+2=5』vs『1+4=5』和赢。</t>
    <phoneticPr fontId="3" type="noConversion"/>
  </si>
  <si>
    <t>对子</t>
    <phoneticPr fontId="3" type="noConversion"/>
  </si>
  <si>
    <t>从对子中任意选择1个庄或闲，开奖号码『庄』万位=千位相同，中庄对子，『闲』十位=个位相同，中闲对子。</t>
    <phoneticPr fontId="3" type="noConversion"/>
  </si>
  <si>
    <t>投注『庄』，开奖号码为33614，庄对子赢。</t>
    <phoneticPr fontId="3" type="noConversion"/>
  </si>
  <si>
    <t>豹子</t>
    <phoneticPr fontId="3" type="noConversion"/>
  </si>
  <si>
    <t>从豹子中任意选择1个庄或闲，开奖号码『庄』万位=千位=百位相同，中庄豹子，『闲』百位=十位=个位相同，中闲豹子。</t>
    <phoneticPr fontId="3" type="noConversion"/>
  </si>
  <si>
    <t>投注『庄』，开奖号码为33314，庄豹子赢。</t>
    <phoneticPr fontId="3" type="noConversion"/>
  </si>
  <si>
    <t>天王</t>
    <phoneticPr fontId="3" type="noConversion"/>
  </si>
  <si>
    <t>投注『庄』，开奖号码为35314，3+5=中庄天王。</t>
    <phoneticPr fontId="3" type="noConversion"/>
  </si>
  <si>
    <t>S6</t>
    <phoneticPr fontId="3" type="noConversion"/>
  </si>
  <si>
    <t>投注『S6』，开奖号码为33912，S6赢。</t>
    <phoneticPr fontId="3" type="noConversion"/>
  </si>
  <si>
    <t>特殊</t>
    <phoneticPr fontId="3" type="noConversion"/>
  </si>
  <si>
    <t>所选的号码特殊属性和开奖号码前3位的属性一致，即为中奖
1、豹子号指的是三位数字全部相同
2、顺子号指的是三位数字呈现连号状态（09也属于连号）（顺序不限）
3、对子号指的是三位数字中有任两码为相同号（出现三个相同号为豹子号，不算对子号）
4、半顺号指的是三位数字中，有两个号码呈现连号状态（09也属于连号）（顺序不限）（出现两个相同号即为对子，不算半顺）（出现三个号码呈现连号状态为顺子号，不算半顺号）
5、杂六号指的是三位数字中，状态非豹子号、顺子号、对子号、半顺号，即为杂六。</t>
    <phoneticPr fontId="3" type="noConversion"/>
  </si>
  <si>
    <t>投注方案：豹子
开奖号码：000xx，即中豹子
投注方案：顺子
开奖号码：901xx，即中顺子
投注方案：对子
开奖号码：001xx，即中对子
投注方案：半顺
开奖号码：904xx，即中半顺
投注方案：杂六
开奖号码：158xx，即中杂六。</t>
    <phoneticPr fontId="3" type="noConversion"/>
  </si>
  <si>
    <t>半顺</t>
    <phoneticPr fontId="3" type="noConversion"/>
  </si>
  <si>
    <t>杂六</t>
    <phoneticPr fontId="3" type="noConversion"/>
  </si>
  <si>
    <t>射龙门</t>
    <phoneticPr fontId="3" type="noConversion"/>
  </si>
  <si>
    <t>射中龙门</t>
    <phoneticPr fontId="3" type="noConversion"/>
  </si>
  <si>
    <t>分别为投注前三码【万千百】、中三码【千百十】、后三码【百十个】位置里的号码，比较三码内中位号码与前位、后位号码关系为范围内、范围外或任一号相等。</t>
    <phoneticPr fontId="3" type="noConversion"/>
  </si>
  <si>
    <t>中位球号介于前位、后位的球门范围内。
举例：投注前三码射中龙门 共1注。开奖结果前三码为：123** 中位号码2介于1到3范围内，视为中奖。</t>
    <phoneticPr fontId="3" type="noConversion"/>
  </si>
  <si>
    <t>撞柱</t>
    <phoneticPr fontId="3" type="noConversion"/>
  </si>
  <si>
    <t>撞柱：中位球号与前位、后位的球门任一号相同。
举例：投注中三码撞柱 共1注。开奖结果中三码为：*233* 中位号码3与后位号码3相同，视为中奖。</t>
    <phoneticPr fontId="3" type="noConversion"/>
  </si>
  <si>
    <t>不中</t>
    <phoneticPr fontId="3" type="noConversion"/>
  </si>
  <si>
    <t>不中：中位球号介于前位、后位的球门范围外。
举例：投注后三码不中 共1注。开奖结果后三码为：**151 中位号码5介于1之外，视为中奖。</t>
    <phoneticPr fontId="3" type="noConversion"/>
  </si>
  <si>
    <t>从天王中任意选择1个庄或闲，开奖号码『庄』万位+千位的餘數=8点或者9点，中庄天王，『闲』十位+个位的餘數=8点或者9点，中闲天王。</t>
    <phoneticPr fontId="3" type="noConversion"/>
  </si>
  <si>
    <t>万位+千位的餘數=6，十位+个位的餘數&lt;6，即为中奖。</t>
    <phoneticPr fontId="3" type="noConversion"/>
  </si>
  <si>
    <t>奖金组
1800</t>
    <phoneticPr fontId="3" type="noConversion"/>
  </si>
  <si>
    <t>奖金组
1956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</si>
</sst>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b/>
      <sz val="11"/>
      <color rgb="FF000000"/>
      <name val="Microsoft yahei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393939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 wrapText="1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9E09-28E4-4E8F-A68D-7D387A23387F}">
  <dimension ref="A1:I225"/>
  <sheetViews>
    <sheetView tabSelected="1" topLeftCell="A208" workbookViewId="0">
      <selection activeCell="C213" sqref="C213"/>
    </sheetView>
  </sheetViews>
  <sheetFormatPr defaultRowHeight="14.25"/>
  <cols>
    <col min="1" max="1" width="14.25" customWidth="1"/>
    <col min="2" max="2" width="33.25" customWidth="1"/>
    <col min="3" max="4" width="38.875" style="1" customWidth="1"/>
    <col min="5" max="7" width="13.625" customWidth="1"/>
    <col min="8" max="9" width="14.875" customWidth="1"/>
  </cols>
  <sheetData>
    <row r="1" spans="1:9" ht="15" customHeight="1">
      <c r="A1" s="22" t="s">
        <v>0</v>
      </c>
      <c r="B1" s="22" t="s">
        <v>1</v>
      </c>
      <c r="C1" s="20" t="s">
        <v>2</v>
      </c>
      <c r="D1" s="20" t="s">
        <v>3</v>
      </c>
      <c r="E1" s="22" t="s">
        <v>4</v>
      </c>
      <c r="F1" s="20" t="s">
        <v>5</v>
      </c>
      <c r="G1" s="20" t="s">
        <v>6</v>
      </c>
      <c r="H1" s="23" t="s">
        <v>396</v>
      </c>
      <c r="I1" s="23" t="s">
        <v>397</v>
      </c>
    </row>
    <row r="2" spans="1:9" ht="15" customHeight="1">
      <c r="A2" s="22"/>
      <c r="B2" s="22"/>
      <c r="C2" s="20"/>
      <c r="D2" s="20"/>
      <c r="E2" s="22"/>
      <c r="F2" s="20"/>
      <c r="G2" s="20"/>
      <c r="H2" s="24"/>
      <c r="I2" s="24"/>
    </row>
    <row r="3" spans="1:9" ht="24.75" customHeight="1">
      <c r="A3" s="21" t="s">
        <v>7</v>
      </c>
      <c r="B3" s="21"/>
      <c r="C3" s="21"/>
      <c r="D3" s="21"/>
      <c r="E3" s="21"/>
      <c r="F3" s="21"/>
      <c r="G3" s="21"/>
      <c r="H3" s="21"/>
      <c r="I3" s="21"/>
    </row>
    <row r="4" spans="1:9" ht="49.5">
      <c r="A4" s="17" t="s">
        <v>8</v>
      </c>
      <c r="B4" s="2" t="s">
        <v>9</v>
      </c>
      <c r="C4" s="10" t="s">
        <v>10</v>
      </c>
      <c r="D4" s="10" t="s">
        <v>11</v>
      </c>
      <c r="E4" s="3">
        <f>1/(10*10*10*10*10)</f>
        <v>1.0000000000000001E-5</v>
      </c>
      <c r="F4" s="3">
        <v>1</v>
      </c>
      <c r="G4" s="3">
        <f>ROUND( (1/E4)*F4,3)</f>
        <v>100000</v>
      </c>
      <c r="H4" s="3">
        <f>ROUND( 2*G4*1800/2000,3)</f>
        <v>180000</v>
      </c>
      <c r="I4" s="3">
        <f>ROUND( 2*G4*1956/2000,3)</f>
        <v>195600</v>
      </c>
    </row>
    <row r="5" spans="1:9" ht="49.5">
      <c r="A5" s="17"/>
      <c r="B5" s="2" t="s">
        <v>12</v>
      </c>
      <c r="C5" s="10" t="s">
        <v>13</v>
      </c>
      <c r="D5" s="10" t="s">
        <v>11</v>
      </c>
      <c r="E5" s="3">
        <f>1/(10*10*10*10*10)</f>
        <v>1.0000000000000001E-5</v>
      </c>
      <c r="F5" s="3">
        <v>1</v>
      </c>
      <c r="G5" s="3">
        <f t="shared" ref="G5:G68" si="0">ROUND( (1/E5)*F5,3)</f>
        <v>100000</v>
      </c>
      <c r="H5" s="3">
        <f t="shared" ref="H5:H68" si="1">ROUND( 2*G5*1800/2000,3)</f>
        <v>180000</v>
      </c>
      <c r="I5" s="3">
        <f t="shared" ref="I5:I68" si="2">ROUND( 2*G5*1956/2000,3)</f>
        <v>195600</v>
      </c>
    </row>
    <row r="6" spans="1:9" ht="16.5">
      <c r="A6" s="17"/>
      <c r="B6" s="2" t="s">
        <v>14</v>
      </c>
      <c r="C6" s="18" t="s">
        <v>15</v>
      </c>
      <c r="D6" s="18" t="s">
        <v>16</v>
      </c>
      <c r="E6" s="3">
        <f>1/(10*10*10*10*10)</f>
        <v>1.0000000000000001E-5</v>
      </c>
      <c r="F6" s="3">
        <v>1</v>
      </c>
      <c r="G6" s="3">
        <f t="shared" si="0"/>
        <v>100000</v>
      </c>
      <c r="H6" s="3">
        <f t="shared" si="1"/>
        <v>180000</v>
      </c>
      <c r="I6" s="3">
        <f t="shared" si="2"/>
        <v>195600</v>
      </c>
    </row>
    <row r="7" spans="1:9" ht="16.5">
      <c r="A7" s="17"/>
      <c r="B7" s="2" t="s">
        <v>17</v>
      </c>
      <c r="C7" s="18"/>
      <c r="D7" s="18"/>
      <c r="E7" s="3">
        <f>1/(10*10*10*10)</f>
        <v>1E-4</v>
      </c>
      <c r="F7" s="3">
        <v>1</v>
      </c>
      <c r="G7" s="3">
        <f t="shared" si="0"/>
        <v>10000</v>
      </c>
      <c r="H7" s="3">
        <f t="shared" si="1"/>
        <v>18000</v>
      </c>
      <c r="I7" s="3">
        <f t="shared" si="2"/>
        <v>19560</v>
      </c>
    </row>
    <row r="8" spans="1:9" ht="16.5">
      <c r="A8" s="17"/>
      <c r="B8" s="2" t="s">
        <v>18</v>
      </c>
      <c r="C8" s="18"/>
      <c r="D8" s="18"/>
      <c r="E8" s="3">
        <f>1/(10*10*10)</f>
        <v>1E-3</v>
      </c>
      <c r="F8" s="3">
        <v>1</v>
      </c>
      <c r="G8" s="3">
        <f t="shared" si="0"/>
        <v>1000</v>
      </c>
      <c r="H8" s="3">
        <f t="shared" si="1"/>
        <v>1800</v>
      </c>
      <c r="I8" s="3">
        <f t="shared" si="2"/>
        <v>1956</v>
      </c>
    </row>
    <row r="9" spans="1:9" ht="16.5">
      <c r="A9" s="17"/>
      <c r="B9" s="2" t="s">
        <v>19</v>
      </c>
      <c r="C9" s="18"/>
      <c r="D9" s="18"/>
      <c r="E9" s="3">
        <f>1/(10*10)</f>
        <v>0.01</v>
      </c>
      <c r="F9" s="3">
        <v>1</v>
      </c>
      <c r="G9" s="3">
        <f t="shared" si="0"/>
        <v>100</v>
      </c>
      <c r="H9" s="3">
        <f t="shared" si="1"/>
        <v>180</v>
      </c>
      <c r="I9" s="3">
        <f t="shared" si="2"/>
        <v>195.6</v>
      </c>
    </row>
    <row r="10" spans="1:9" ht="16.5">
      <c r="A10" s="17"/>
      <c r="B10" s="2" t="s">
        <v>20</v>
      </c>
      <c r="C10" s="18"/>
      <c r="D10" s="18"/>
      <c r="E10" s="4">
        <f>1/(10)</f>
        <v>0.1</v>
      </c>
      <c r="F10" s="3">
        <v>1</v>
      </c>
      <c r="G10" s="3">
        <f t="shared" si="0"/>
        <v>10</v>
      </c>
      <c r="H10" s="3">
        <f t="shared" si="1"/>
        <v>18</v>
      </c>
      <c r="I10" s="3">
        <f t="shared" si="2"/>
        <v>19.559999999999999</v>
      </c>
    </row>
    <row r="11" spans="1:9" ht="66">
      <c r="A11" s="17" t="s">
        <v>21</v>
      </c>
      <c r="B11" s="2" t="s">
        <v>22</v>
      </c>
      <c r="C11" s="10" t="s">
        <v>23</v>
      </c>
      <c r="D11" s="10" t="s">
        <v>24</v>
      </c>
      <c r="E11" s="3">
        <f>120/10000</f>
        <v>1.2E-2</v>
      </c>
      <c r="F11" s="3">
        <v>1</v>
      </c>
      <c r="G11" s="3">
        <f t="shared" si="0"/>
        <v>83.332999999999998</v>
      </c>
      <c r="H11" s="3">
        <f t="shared" si="1"/>
        <v>149.999</v>
      </c>
      <c r="I11" s="3">
        <f t="shared" si="2"/>
        <v>162.999</v>
      </c>
    </row>
    <row r="12" spans="1:9" ht="82.5">
      <c r="A12" s="17"/>
      <c r="B12" s="2" t="s">
        <v>25</v>
      </c>
      <c r="C12" s="10" t="s">
        <v>26</v>
      </c>
      <c r="D12" s="10" t="s">
        <v>27</v>
      </c>
      <c r="E12" s="3">
        <f>60/10000</f>
        <v>6.0000000000000001E-3</v>
      </c>
      <c r="F12" s="3">
        <v>1</v>
      </c>
      <c r="G12" s="3">
        <f t="shared" si="0"/>
        <v>166.667</v>
      </c>
      <c r="H12" s="3">
        <f t="shared" si="1"/>
        <v>300.00099999999998</v>
      </c>
      <c r="I12" s="3">
        <f t="shared" si="2"/>
        <v>326.00099999999998</v>
      </c>
    </row>
    <row r="13" spans="1:9" ht="82.5">
      <c r="A13" s="17"/>
      <c r="B13" s="2" t="s">
        <v>28</v>
      </c>
      <c r="C13" s="10" t="s">
        <v>29</v>
      </c>
      <c r="D13" s="10" t="s">
        <v>30</v>
      </c>
      <c r="E13" s="3">
        <f>30/10000</f>
        <v>3.0000000000000001E-3</v>
      </c>
      <c r="F13" s="3">
        <v>1</v>
      </c>
      <c r="G13" s="3">
        <f t="shared" si="0"/>
        <v>333.33300000000003</v>
      </c>
      <c r="H13" s="3">
        <f t="shared" si="1"/>
        <v>599.99900000000002</v>
      </c>
      <c r="I13" s="3">
        <f t="shared" si="2"/>
        <v>651.99900000000002</v>
      </c>
    </row>
    <row r="14" spans="1:9" ht="82.5">
      <c r="A14" s="17"/>
      <c r="B14" s="2" t="s">
        <v>31</v>
      </c>
      <c r="C14" s="10" t="s">
        <v>32</v>
      </c>
      <c r="D14" s="10" t="s">
        <v>33</v>
      </c>
      <c r="E14" s="3">
        <f>20/10000</f>
        <v>2E-3</v>
      </c>
      <c r="F14" s="3">
        <v>1</v>
      </c>
      <c r="G14" s="3">
        <f t="shared" si="0"/>
        <v>500</v>
      </c>
      <c r="H14" s="3">
        <f t="shared" si="1"/>
        <v>900</v>
      </c>
      <c r="I14" s="3">
        <f t="shared" si="2"/>
        <v>978</v>
      </c>
    </row>
    <row r="15" spans="1:9" ht="82.5">
      <c r="A15" s="17"/>
      <c r="B15" s="2" t="s">
        <v>34</v>
      </c>
      <c r="C15" s="10" t="s">
        <v>35</v>
      </c>
      <c r="D15" s="10" t="s">
        <v>36</v>
      </c>
      <c r="E15" s="3">
        <f>10/10000</f>
        <v>1E-3</v>
      </c>
      <c r="F15" s="3">
        <v>1</v>
      </c>
      <c r="G15" s="3">
        <f t="shared" si="0"/>
        <v>1000</v>
      </c>
      <c r="H15" s="3">
        <f t="shared" si="1"/>
        <v>1800</v>
      </c>
      <c r="I15" s="3">
        <f t="shared" si="2"/>
        <v>1956</v>
      </c>
    </row>
    <row r="16" spans="1:9" ht="82.5">
      <c r="A16" s="17"/>
      <c r="B16" s="2" t="s">
        <v>37</v>
      </c>
      <c r="C16" s="10" t="s">
        <v>38</v>
      </c>
      <c r="D16" s="10" t="s">
        <v>39</v>
      </c>
      <c r="E16" s="3">
        <f>5/10000</f>
        <v>5.0000000000000001E-4</v>
      </c>
      <c r="F16" s="3">
        <v>1</v>
      </c>
      <c r="G16" s="3">
        <f t="shared" si="0"/>
        <v>2000</v>
      </c>
      <c r="H16" s="3">
        <f t="shared" si="1"/>
        <v>3600</v>
      </c>
      <c r="I16" s="3">
        <f t="shared" si="2"/>
        <v>3912</v>
      </c>
    </row>
    <row r="17" spans="1:9" ht="49.5">
      <c r="A17" s="19" t="s">
        <v>40</v>
      </c>
      <c r="B17" s="2" t="s">
        <v>9</v>
      </c>
      <c r="C17" s="10" t="s">
        <v>41</v>
      </c>
      <c r="D17" s="10" t="s">
        <v>42</v>
      </c>
      <c r="E17" s="3">
        <f>1/10000</f>
        <v>1E-4</v>
      </c>
      <c r="F17" s="3">
        <v>1</v>
      </c>
      <c r="G17" s="3">
        <f t="shared" si="0"/>
        <v>10000</v>
      </c>
      <c r="H17" s="3">
        <f t="shared" si="1"/>
        <v>18000</v>
      </c>
      <c r="I17" s="3">
        <f t="shared" si="2"/>
        <v>19560</v>
      </c>
    </row>
    <row r="18" spans="1:9" ht="49.5">
      <c r="A18" s="19"/>
      <c r="B18" s="2" t="s">
        <v>12</v>
      </c>
      <c r="C18" s="10" t="s">
        <v>43</v>
      </c>
      <c r="D18" s="10" t="s">
        <v>42</v>
      </c>
      <c r="E18" s="3">
        <f>1/10000</f>
        <v>1E-4</v>
      </c>
      <c r="F18" s="3">
        <v>1</v>
      </c>
      <c r="G18" s="3">
        <f t="shared" si="0"/>
        <v>10000</v>
      </c>
      <c r="H18" s="3">
        <f t="shared" si="1"/>
        <v>18000</v>
      </c>
      <c r="I18" s="3">
        <f t="shared" si="2"/>
        <v>19560</v>
      </c>
    </row>
    <row r="19" spans="1:9" ht="16.5">
      <c r="A19" s="19"/>
      <c r="B19" s="2" t="s">
        <v>14</v>
      </c>
      <c r="C19" s="18" t="s">
        <v>44</v>
      </c>
      <c r="D19" s="18" t="s">
        <v>45</v>
      </c>
      <c r="E19" s="3">
        <f>1/10000</f>
        <v>1E-4</v>
      </c>
      <c r="F19" s="3">
        <v>1</v>
      </c>
      <c r="G19" s="3">
        <f t="shared" si="0"/>
        <v>10000</v>
      </c>
      <c r="H19" s="3">
        <f t="shared" si="1"/>
        <v>18000</v>
      </c>
      <c r="I19" s="3">
        <f t="shared" si="2"/>
        <v>19560</v>
      </c>
    </row>
    <row r="20" spans="1:9" ht="16.5">
      <c r="A20" s="19"/>
      <c r="B20" s="2" t="s">
        <v>17</v>
      </c>
      <c r="C20" s="18"/>
      <c r="D20" s="18"/>
      <c r="E20" s="3">
        <f>1/1000</f>
        <v>1E-3</v>
      </c>
      <c r="F20" s="3">
        <v>1</v>
      </c>
      <c r="G20" s="3">
        <f t="shared" si="0"/>
        <v>1000</v>
      </c>
      <c r="H20" s="3">
        <f t="shared" si="1"/>
        <v>1800</v>
      </c>
      <c r="I20" s="3">
        <f t="shared" si="2"/>
        <v>1956</v>
      </c>
    </row>
    <row r="21" spans="1:9" ht="16.5">
      <c r="A21" s="19"/>
      <c r="B21" s="2" t="s">
        <v>18</v>
      </c>
      <c r="C21" s="18"/>
      <c r="D21" s="18"/>
      <c r="E21" s="3">
        <f>1/100</f>
        <v>0.01</v>
      </c>
      <c r="F21" s="3">
        <v>1</v>
      </c>
      <c r="G21" s="3">
        <f t="shared" si="0"/>
        <v>100</v>
      </c>
      <c r="H21" s="3">
        <f t="shared" si="1"/>
        <v>180</v>
      </c>
      <c r="I21" s="3">
        <f t="shared" si="2"/>
        <v>195.6</v>
      </c>
    </row>
    <row r="22" spans="1:9" ht="16.5">
      <c r="A22" s="19"/>
      <c r="B22" s="2" t="s">
        <v>19</v>
      </c>
      <c r="C22" s="18"/>
      <c r="D22" s="18"/>
      <c r="E22" s="4">
        <f>1/10</f>
        <v>0.1</v>
      </c>
      <c r="F22" s="3">
        <v>1</v>
      </c>
      <c r="G22" s="3">
        <f t="shared" si="0"/>
        <v>10</v>
      </c>
      <c r="H22" s="3">
        <f t="shared" si="1"/>
        <v>18</v>
      </c>
      <c r="I22" s="3">
        <f t="shared" si="2"/>
        <v>19.559999999999999</v>
      </c>
    </row>
    <row r="23" spans="1:9" ht="66">
      <c r="A23" s="17" t="s">
        <v>46</v>
      </c>
      <c r="B23" s="2" t="s">
        <v>47</v>
      </c>
      <c r="C23" s="10" t="s">
        <v>48</v>
      </c>
      <c r="D23" s="10" t="s">
        <v>49</v>
      </c>
      <c r="E23" s="3">
        <f>24/10000</f>
        <v>2.3999999999999998E-3</v>
      </c>
      <c r="F23" s="3">
        <v>1</v>
      </c>
      <c r="G23" s="3">
        <f t="shared" si="0"/>
        <v>416.66699999999997</v>
      </c>
      <c r="H23" s="3">
        <f t="shared" si="1"/>
        <v>750.00099999999998</v>
      </c>
      <c r="I23" s="3">
        <f t="shared" si="2"/>
        <v>815.00099999999998</v>
      </c>
    </row>
    <row r="24" spans="1:9" ht="82.5">
      <c r="A24" s="17"/>
      <c r="B24" s="2" t="s">
        <v>50</v>
      </c>
      <c r="C24" s="10" t="s">
        <v>51</v>
      </c>
      <c r="D24" s="10" t="s">
        <v>52</v>
      </c>
      <c r="E24" s="3">
        <f>12/10000</f>
        <v>1.1999999999999999E-3</v>
      </c>
      <c r="F24" s="3">
        <v>1</v>
      </c>
      <c r="G24" s="3">
        <f t="shared" si="0"/>
        <v>833.33299999999997</v>
      </c>
      <c r="H24" s="3">
        <f t="shared" si="1"/>
        <v>1499.999</v>
      </c>
      <c r="I24" s="3">
        <f t="shared" si="2"/>
        <v>1629.999</v>
      </c>
    </row>
    <row r="25" spans="1:9" ht="82.5">
      <c r="A25" s="17"/>
      <c r="B25" s="2" t="s">
        <v>53</v>
      </c>
      <c r="C25" s="10" t="s">
        <v>54</v>
      </c>
      <c r="D25" s="10" t="s">
        <v>55</v>
      </c>
      <c r="E25" s="3">
        <f>6/10000</f>
        <v>5.9999999999999995E-4</v>
      </c>
      <c r="F25" s="3">
        <v>1</v>
      </c>
      <c r="G25" s="3">
        <f t="shared" si="0"/>
        <v>1666.6669999999999</v>
      </c>
      <c r="H25" s="3">
        <f t="shared" si="1"/>
        <v>3000.0010000000002</v>
      </c>
      <c r="I25" s="3">
        <f t="shared" si="2"/>
        <v>3260.0010000000002</v>
      </c>
    </row>
    <row r="26" spans="1:9" ht="82.5">
      <c r="A26" s="17"/>
      <c r="B26" s="2" t="s">
        <v>56</v>
      </c>
      <c r="C26" s="10" t="s">
        <v>57</v>
      </c>
      <c r="D26" s="10" t="s">
        <v>58</v>
      </c>
      <c r="E26" s="3">
        <f>4/10000</f>
        <v>4.0000000000000002E-4</v>
      </c>
      <c r="F26" s="3">
        <v>1</v>
      </c>
      <c r="G26" s="3">
        <f t="shared" si="0"/>
        <v>2500</v>
      </c>
      <c r="H26" s="3">
        <f t="shared" si="1"/>
        <v>4500</v>
      </c>
      <c r="I26" s="3">
        <f t="shared" si="2"/>
        <v>4890</v>
      </c>
    </row>
    <row r="27" spans="1:9" ht="49.5">
      <c r="A27" s="17" t="s">
        <v>59</v>
      </c>
      <c r="B27" s="2" t="s">
        <v>60</v>
      </c>
      <c r="C27" s="10" t="s">
        <v>61</v>
      </c>
      <c r="D27" s="10" t="s">
        <v>62</v>
      </c>
      <c r="E27" s="3">
        <f>1/1000</f>
        <v>1E-3</v>
      </c>
      <c r="F27" s="3">
        <v>1</v>
      </c>
      <c r="G27" s="3">
        <f t="shared" si="0"/>
        <v>1000</v>
      </c>
      <c r="H27" s="3">
        <f t="shared" si="1"/>
        <v>1800</v>
      </c>
      <c r="I27" s="3">
        <f t="shared" si="2"/>
        <v>1956</v>
      </c>
    </row>
    <row r="28" spans="1:9" ht="49.5">
      <c r="A28" s="17"/>
      <c r="B28" s="2" t="s">
        <v>63</v>
      </c>
      <c r="C28" s="10" t="s">
        <v>64</v>
      </c>
      <c r="D28" s="10" t="s">
        <v>65</v>
      </c>
      <c r="E28" s="3">
        <f>1/1000</f>
        <v>1E-3</v>
      </c>
      <c r="F28" s="3">
        <v>1</v>
      </c>
      <c r="G28" s="3">
        <f t="shared" si="0"/>
        <v>1000</v>
      </c>
      <c r="H28" s="3">
        <f t="shared" si="1"/>
        <v>1800</v>
      </c>
      <c r="I28" s="3">
        <f t="shared" si="2"/>
        <v>1956</v>
      </c>
    </row>
    <row r="29" spans="1:9" ht="16.5">
      <c r="A29" s="17"/>
      <c r="B29" s="2" t="s">
        <v>66</v>
      </c>
      <c r="C29" s="18" t="s">
        <v>67</v>
      </c>
      <c r="D29" s="18" t="s">
        <v>68</v>
      </c>
      <c r="E29" s="3">
        <f>1/1000</f>
        <v>1E-3</v>
      </c>
      <c r="F29" s="3">
        <v>1</v>
      </c>
      <c r="G29" s="3">
        <f t="shared" si="0"/>
        <v>1000</v>
      </c>
      <c r="H29" s="3">
        <f t="shared" si="1"/>
        <v>1800</v>
      </c>
      <c r="I29" s="3">
        <f t="shared" si="2"/>
        <v>1956</v>
      </c>
    </row>
    <row r="30" spans="1:9" ht="16.5">
      <c r="A30" s="17"/>
      <c r="B30" s="2" t="s">
        <v>69</v>
      </c>
      <c r="C30" s="18"/>
      <c r="D30" s="18"/>
      <c r="E30" s="3">
        <f>3/1000</f>
        <v>3.0000000000000001E-3</v>
      </c>
      <c r="F30" s="3">
        <v>3</v>
      </c>
      <c r="G30" s="3">
        <f t="shared" si="0"/>
        <v>1000</v>
      </c>
      <c r="H30" s="3">
        <f t="shared" si="1"/>
        <v>1800</v>
      </c>
      <c r="I30" s="3">
        <f t="shared" si="2"/>
        <v>1956</v>
      </c>
    </row>
    <row r="31" spans="1:9" ht="16.5">
      <c r="A31" s="17"/>
      <c r="B31" s="2" t="s">
        <v>70</v>
      </c>
      <c r="C31" s="18"/>
      <c r="D31" s="18"/>
      <c r="E31" s="3">
        <f>6/1000</f>
        <v>6.0000000000000001E-3</v>
      </c>
      <c r="F31" s="3">
        <v>6</v>
      </c>
      <c r="G31" s="3">
        <f t="shared" si="0"/>
        <v>1000</v>
      </c>
      <c r="H31" s="3">
        <f t="shared" si="1"/>
        <v>1800</v>
      </c>
      <c r="I31" s="3">
        <f t="shared" si="2"/>
        <v>1956</v>
      </c>
    </row>
    <row r="32" spans="1:9" ht="16.5">
      <c r="A32" s="17"/>
      <c r="B32" s="2" t="s">
        <v>71</v>
      </c>
      <c r="C32" s="18"/>
      <c r="D32" s="18"/>
      <c r="E32" s="3">
        <f>10/1000</f>
        <v>0.01</v>
      </c>
      <c r="F32" s="3">
        <v>10</v>
      </c>
      <c r="G32" s="3">
        <f t="shared" si="0"/>
        <v>1000</v>
      </c>
      <c r="H32" s="3">
        <f t="shared" si="1"/>
        <v>1800</v>
      </c>
      <c r="I32" s="3">
        <f t="shared" si="2"/>
        <v>1956</v>
      </c>
    </row>
    <row r="33" spans="1:9" ht="16.5">
      <c r="A33" s="17"/>
      <c r="B33" s="2" t="s">
        <v>72</v>
      </c>
      <c r="C33" s="18"/>
      <c r="D33" s="18"/>
      <c r="E33" s="3">
        <f>15/1000</f>
        <v>1.4999999999999999E-2</v>
      </c>
      <c r="F33" s="3">
        <v>15</v>
      </c>
      <c r="G33" s="3">
        <f t="shared" si="0"/>
        <v>1000</v>
      </c>
      <c r="H33" s="3">
        <f t="shared" si="1"/>
        <v>1800</v>
      </c>
      <c r="I33" s="3">
        <f t="shared" si="2"/>
        <v>1956</v>
      </c>
    </row>
    <row r="34" spans="1:9" ht="16.5">
      <c r="A34" s="17"/>
      <c r="B34" s="2" t="s">
        <v>73</v>
      </c>
      <c r="C34" s="18"/>
      <c r="D34" s="18"/>
      <c r="E34" s="3">
        <f>21/1000</f>
        <v>2.1000000000000001E-2</v>
      </c>
      <c r="F34" s="3">
        <v>21</v>
      </c>
      <c r="G34" s="3">
        <f t="shared" si="0"/>
        <v>1000</v>
      </c>
      <c r="H34" s="3">
        <f t="shared" si="1"/>
        <v>1800</v>
      </c>
      <c r="I34" s="3">
        <f t="shared" si="2"/>
        <v>1956</v>
      </c>
    </row>
    <row r="35" spans="1:9" ht="16.5">
      <c r="A35" s="17"/>
      <c r="B35" s="2" t="s">
        <v>74</v>
      </c>
      <c r="C35" s="18"/>
      <c r="D35" s="18"/>
      <c r="E35" s="3">
        <f>28/1000</f>
        <v>2.8000000000000001E-2</v>
      </c>
      <c r="F35" s="3">
        <v>28</v>
      </c>
      <c r="G35" s="3">
        <f t="shared" si="0"/>
        <v>1000</v>
      </c>
      <c r="H35" s="3">
        <f t="shared" si="1"/>
        <v>1800</v>
      </c>
      <c r="I35" s="3">
        <f t="shared" si="2"/>
        <v>1956</v>
      </c>
    </row>
    <row r="36" spans="1:9" ht="16.5">
      <c r="A36" s="17"/>
      <c r="B36" s="2" t="s">
        <v>75</v>
      </c>
      <c r="C36" s="18"/>
      <c r="D36" s="18"/>
      <c r="E36" s="3">
        <f>36/1000</f>
        <v>3.5999999999999997E-2</v>
      </c>
      <c r="F36" s="3">
        <v>36</v>
      </c>
      <c r="G36" s="3">
        <f t="shared" si="0"/>
        <v>1000</v>
      </c>
      <c r="H36" s="3">
        <f t="shared" si="1"/>
        <v>1800</v>
      </c>
      <c r="I36" s="3">
        <f t="shared" si="2"/>
        <v>1956</v>
      </c>
    </row>
    <row r="37" spans="1:9" ht="16.5">
      <c r="A37" s="17"/>
      <c r="B37" s="2" t="s">
        <v>76</v>
      </c>
      <c r="C37" s="18"/>
      <c r="D37" s="18"/>
      <c r="E37" s="3">
        <f>45/1000</f>
        <v>4.4999999999999998E-2</v>
      </c>
      <c r="F37" s="3">
        <v>45</v>
      </c>
      <c r="G37" s="3">
        <f t="shared" si="0"/>
        <v>1000</v>
      </c>
      <c r="H37" s="3">
        <f t="shared" si="1"/>
        <v>1800</v>
      </c>
      <c r="I37" s="3">
        <f t="shared" si="2"/>
        <v>1956</v>
      </c>
    </row>
    <row r="38" spans="1:9" ht="16.5">
      <c r="A38" s="17"/>
      <c r="B38" s="2" t="s">
        <v>77</v>
      </c>
      <c r="C38" s="18"/>
      <c r="D38" s="18"/>
      <c r="E38" s="3">
        <f>55/1000</f>
        <v>5.5E-2</v>
      </c>
      <c r="F38" s="3">
        <v>55</v>
      </c>
      <c r="G38" s="3">
        <f t="shared" si="0"/>
        <v>1000</v>
      </c>
      <c r="H38" s="3">
        <f t="shared" si="1"/>
        <v>1800</v>
      </c>
      <c r="I38" s="3">
        <f t="shared" si="2"/>
        <v>1956</v>
      </c>
    </row>
    <row r="39" spans="1:9" ht="16.5">
      <c r="A39" s="17"/>
      <c r="B39" s="2" t="s">
        <v>78</v>
      </c>
      <c r="C39" s="18"/>
      <c r="D39" s="18"/>
      <c r="E39" s="3">
        <f>63/1000</f>
        <v>6.3E-2</v>
      </c>
      <c r="F39" s="3">
        <v>63</v>
      </c>
      <c r="G39" s="3">
        <f t="shared" si="0"/>
        <v>1000</v>
      </c>
      <c r="H39" s="3">
        <f t="shared" si="1"/>
        <v>1800</v>
      </c>
      <c r="I39" s="3">
        <f t="shared" si="2"/>
        <v>1956</v>
      </c>
    </row>
    <row r="40" spans="1:9" ht="16.5">
      <c r="A40" s="17"/>
      <c r="B40" s="2" t="s">
        <v>79</v>
      </c>
      <c r="C40" s="18"/>
      <c r="D40" s="18"/>
      <c r="E40" s="3">
        <f>69/1000</f>
        <v>6.9000000000000006E-2</v>
      </c>
      <c r="F40" s="3">
        <v>69</v>
      </c>
      <c r="G40" s="3">
        <f t="shared" si="0"/>
        <v>1000</v>
      </c>
      <c r="H40" s="3">
        <f t="shared" si="1"/>
        <v>1800</v>
      </c>
      <c r="I40" s="3">
        <f t="shared" si="2"/>
        <v>1956</v>
      </c>
    </row>
    <row r="41" spans="1:9" ht="16.5">
      <c r="A41" s="17"/>
      <c r="B41" s="2" t="s">
        <v>80</v>
      </c>
      <c r="C41" s="18"/>
      <c r="D41" s="18"/>
      <c r="E41" s="3">
        <f>73/1000</f>
        <v>7.2999999999999995E-2</v>
      </c>
      <c r="F41" s="3">
        <v>73</v>
      </c>
      <c r="G41" s="3">
        <f t="shared" si="0"/>
        <v>1000</v>
      </c>
      <c r="H41" s="3">
        <f t="shared" si="1"/>
        <v>1800</v>
      </c>
      <c r="I41" s="3">
        <f t="shared" si="2"/>
        <v>1956</v>
      </c>
    </row>
    <row r="42" spans="1:9" ht="16.5">
      <c r="A42" s="17"/>
      <c r="B42" s="2" t="s">
        <v>81</v>
      </c>
      <c r="C42" s="18"/>
      <c r="D42" s="18"/>
      <c r="E42" s="3">
        <f>75/1000</f>
        <v>7.4999999999999997E-2</v>
      </c>
      <c r="F42" s="3">
        <v>75</v>
      </c>
      <c r="G42" s="3">
        <f t="shared" si="0"/>
        <v>1000</v>
      </c>
      <c r="H42" s="3">
        <f t="shared" si="1"/>
        <v>1800</v>
      </c>
      <c r="I42" s="3">
        <f t="shared" si="2"/>
        <v>1956</v>
      </c>
    </row>
    <row r="43" spans="1:9" ht="66">
      <c r="A43" s="17" t="s">
        <v>82</v>
      </c>
      <c r="B43" s="2" t="s">
        <v>83</v>
      </c>
      <c r="C43" s="10" t="s">
        <v>84</v>
      </c>
      <c r="D43" s="10" t="s">
        <v>85</v>
      </c>
      <c r="E43" s="3">
        <f>6/1000</f>
        <v>6.0000000000000001E-3</v>
      </c>
      <c r="F43" s="3">
        <v>2</v>
      </c>
      <c r="G43" s="3">
        <f t="shared" si="0"/>
        <v>333.33300000000003</v>
      </c>
      <c r="H43" s="3">
        <f t="shared" si="1"/>
        <v>599.99900000000002</v>
      </c>
      <c r="I43" s="3">
        <f t="shared" si="2"/>
        <v>651.99900000000002</v>
      </c>
    </row>
    <row r="44" spans="1:9" ht="66">
      <c r="A44" s="17"/>
      <c r="B44" s="2" t="s">
        <v>86</v>
      </c>
      <c r="C44" s="10" t="s">
        <v>87</v>
      </c>
      <c r="D44" s="10" t="s">
        <v>88</v>
      </c>
      <c r="E44" s="5">
        <f>6/1000</f>
        <v>6.0000000000000001E-3</v>
      </c>
      <c r="F44" s="3">
        <v>1</v>
      </c>
      <c r="G44" s="3">
        <f t="shared" si="0"/>
        <v>166.667</v>
      </c>
      <c r="H44" s="3">
        <f t="shared" si="1"/>
        <v>300.00099999999998</v>
      </c>
      <c r="I44" s="3">
        <f t="shared" si="2"/>
        <v>326.00099999999998</v>
      </c>
    </row>
    <row r="45" spans="1:9" ht="16.5">
      <c r="A45" s="17"/>
      <c r="B45" s="2" t="s">
        <v>89</v>
      </c>
      <c r="C45" s="18" t="s">
        <v>67</v>
      </c>
      <c r="D45" s="18" t="s">
        <v>90</v>
      </c>
      <c r="E45" s="5">
        <f>3/1000</f>
        <v>3.0000000000000001E-3</v>
      </c>
      <c r="F45" s="3">
        <v>1</v>
      </c>
      <c r="G45" s="3">
        <f t="shared" si="0"/>
        <v>333.33300000000003</v>
      </c>
      <c r="H45" s="3">
        <f t="shared" si="1"/>
        <v>599.99900000000002</v>
      </c>
      <c r="I45" s="3">
        <f t="shared" si="2"/>
        <v>651.99900000000002</v>
      </c>
    </row>
    <row r="46" spans="1:9" ht="16.5">
      <c r="A46" s="17"/>
      <c r="B46" s="2" t="s">
        <v>91</v>
      </c>
      <c r="C46" s="18"/>
      <c r="D46" s="18"/>
      <c r="E46" s="6">
        <v>0</v>
      </c>
      <c r="F46" s="3">
        <v>0</v>
      </c>
      <c r="G46" s="3">
        <v>0</v>
      </c>
      <c r="H46" s="3">
        <f t="shared" si="1"/>
        <v>0</v>
      </c>
      <c r="I46" s="3">
        <f t="shared" si="2"/>
        <v>0</v>
      </c>
    </row>
    <row r="47" spans="1:9" ht="16.5">
      <c r="A47" s="17"/>
      <c r="B47" s="2" t="s">
        <v>92</v>
      </c>
      <c r="C47" s="18"/>
      <c r="D47" s="18"/>
      <c r="E47" s="6">
        <f>6/1000</f>
        <v>6.0000000000000001E-3</v>
      </c>
      <c r="F47" s="3">
        <v>2</v>
      </c>
      <c r="G47" s="3">
        <f t="shared" si="0"/>
        <v>333.33300000000003</v>
      </c>
      <c r="H47" s="3">
        <f t="shared" si="1"/>
        <v>599.99900000000002</v>
      </c>
      <c r="I47" s="3">
        <f t="shared" si="2"/>
        <v>651.99900000000002</v>
      </c>
    </row>
    <row r="48" spans="1:9" ht="16.5">
      <c r="A48" s="17"/>
      <c r="B48" s="2" t="s">
        <v>93</v>
      </c>
      <c r="C48" s="18"/>
      <c r="D48" s="18"/>
      <c r="E48" s="6">
        <v>0</v>
      </c>
      <c r="F48" s="3">
        <v>0</v>
      </c>
      <c r="G48" s="3">
        <v>0</v>
      </c>
      <c r="H48" s="3">
        <f t="shared" si="1"/>
        <v>0</v>
      </c>
      <c r="I48" s="3">
        <f t="shared" si="2"/>
        <v>0</v>
      </c>
    </row>
    <row r="49" spans="1:9" ht="16.5">
      <c r="A49" s="17"/>
      <c r="B49" s="2" t="s">
        <v>94</v>
      </c>
      <c r="C49" s="18"/>
      <c r="D49" s="18"/>
      <c r="E49" s="6">
        <f>3/1000</f>
        <v>3.0000000000000001E-3</v>
      </c>
      <c r="F49" s="3">
        <v>1</v>
      </c>
      <c r="G49" s="3">
        <f t="shared" si="0"/>
        <v>333.33300000000003</v>
      </c>
      <c r="H49" s="3">
        <f t="shared" si="1"/>
        <v>599.99900000000002</v>
      </c>
      <c r="I49" s="3">
        <f t="shared" si="2"/>
        <v>651.99900000000002</v>
      </c>
    </row>
    <row r="50" spans="1:9" ht="16.5">
      <c r="A50" s="17"/>
      <c r="B50" s="2" t="s">
        <v>95</v>
      </c>
      <c r="C50" s="18"/>
      <c r="D50" s="18"/>
      <c r="E50" s="6">
        <f>6/1000</f>
        <v>6.0000000000000001E-3</v>
      </c>
      <c r="F50" s="3">
        <v>1</v>
      </c>
      <c r="G50" s="3">
        <f t="shared" si="0"/>
        <v>166.667</v>
      </c>
      <c r="H50" s="3">
        <f t="shared" si="1"/>
        <v>300.00099999999998</v>
      </c>
      <c r="I50" s="3">
        <f t="shared" si="2"/>
        <v>326.00099999999998</v>
      </c>
    </row>
    <row r="51" spans="1:9" ht="16.5">
      <c r="A51" s="17"/>
      <c r="B51" s="2" t="s">
        <v>96</v>
      </c>
      <c r="C51" s="18"/>
      <c r="D51" s="18"/>
      <c r="E51" s="6">
        <f>9/1000</f>
        <v>8.9999999999999993E-3</v>
      </c>
      <c r="F51" s="3">
        <v>3</v>
      </c>
      <c r="G51" s="3">
        <f t="shared" si="0"/>
        <v>333.33300000000003</v>
      </c>
      <c r="H51" s="3">
        <f t="shared" si="1"/>
        <v>599.99900000000002</v>
      </c>
      <c r="I51" s="3">
        <f t="shared" si="2"/>
        <v>651.99900000000002</v>
      </c>
    </row>
    <row r="52" spans="1:9" ht="16.5">
      <c r="A52" s="17"/>
      <c r="B52" s="2" t="s">
        <v>97</v>
      </c>
      <c r="C52" s="18"/>
      <c r="D52" s="18"/>
      <c r="E52" s="6">
        <f>6/1000</f>
        <v>6.0000000000000001E-3</v>
      </c>
      <c r="F52" s="3">
        <v>1</v>
      </c>
      <c r="G52" s="3">
        <f t="shared" si="0"/>
        <v>166.667</v>
      </c>
      <c r="H52" s="3">
        <f t="shared" si="1"/>
        <v>300.00099999999998</v>
      </c>
      <c r="I52" s="3">
        <f t="shared" si="2"/>
        <v>326.00099999999998</v>
      </c>
    </row>
    <row r="53" spans="1:9" ht="16.5">
      <c r="A53" s="17"/>
      <c r="B53" s="2" t="s">
        <v>98</v>
      </c>
      <c r="C53" s="18"/>
      <c r="D53" s="18"/>
      <c r="E53" s="6">
        <f>9/1000</f>
        <v>8.9999999999999993E-3</v>
      </c>
      <c r="F53" s="3">
        <v>3</v>
      </c>
      <c r="G53" s="3">
        <f t="shared" si="0"/>
        <v>333.33300000000003</v>
      </c>
      <c r="H53" s="3">
        <f t="shared" si="1"/>
        <v>599.99900000000002</v>
      </c>
      <c r="I53" s="3">
        <f t="shared" si="2"/>
        <v>651.99900000000002</v>
      </c>
    </row>
    <row r="54" spans="1:9" ht="16.5">
      <c r="A54" s="17"/>
      <c r="B54" s="2" t="s">
        <v>99</v>
      </c>
      <c r="C54" s="18"/>
      <c r="D54" s="18"/>
      <c r="E54" s="6">
        <f>12/1000</f>
        <v>1.2E-2</v>
      </c>
      <c r="F54" s="3">
        <v>2</v>
      </c>
      <c r="G54" s="3">
        <f t="shared" si="0"/>
        <v>166.667</v>
      </c>
      <c r="H54" s="3">
        <f t="shared" si="1"/>
        <v>300.00099999999998</v>
      </c>
      <c r="I54" s="3">
        <f t="shared" si="2"/>
        <v>326.00099999999998</v>
      </c>
    </row>
    <row r="55" spans="1:9" ht="16.5">
      <c r="A55" s="17"/>
      <c r="B55" s="2" t="s">
        <v>100</v>
      </c>
      <c r="C55" s="18"/>
      <c r="D55" s="18"/>
      <c r="E55" s="6">
        <f>9/1000</f>
        <v>8.9999999999999993E-3</v>
      </c>
      <c r="F55" s="3">
        <v>3</v>
      </c>
      <c r="G55" s="3">
        <f t="shared" si="0"/>
        <v>333.33300000000003</v>
      </c>
      <c r="H55" s="3">
        <f t="shared" si="1"/>
        <v>599.99900000000002</v>
      </c>
      <c r="I55" s="3">
        <f t="shared" si="2"/>
        <v>651.99900000000002</v>
      </c>
    </row>
    <row r="56" spans="1:9" ht="16.5">
      <c r="A56" s="17"/>
      <c r="B56" s="2" t="s">
        <v>101</v>
      </c>
      <c r="C56" s="18"/>
      <c r="D56" s="18"/>
      <c r="E56" s="6">
        <f>18/1000</f>
        <v>1.7999999999999999E-2</v>
      </c>
      <c r="F56" s="3">
        <v>3</v>
      </c>
      <c r="G56" s="3">
        <f t="shared" si="0"/>
        <v>166.667</v>
      </c>
      <c r="H56" s="3">
        <f t="shared" si="1"/>
        <v>300.00099999999998</v>
      </c>
      <c r="I56" s="3">
        <f t="shared" si="2"/>
        <v>326.00099999999998</v>
      </c>
    </row>
    <row r="57" spans="1:9" ht="16.5">
      <c r="A57" s="17"/>
      <c r="B57" s="2" t="s">
        <v>102</v>
      </c>
      <c r="C57" s="18"/>
      <c r="D57" s="18"/>
      <c r="E57" s="6">
        <f>12/1000</f>
        <v>1.2E-2</v>
      </c>
      <c r="F57" s="3">
        <v>4</v>
      </c>
      <c r="G57" s="3">
        <f t="shared" si="0"/>
        <v>333.33300000000003</v>
      </c>
      <c r="H57" s="3">
        <f t="shared" si="1"/>
        <v>599.99900000000002</v>
      </c>
      <c r="I57" s="3">
        <f t="shared" si="2"/>
        <v>651.99900000000002</v>
      </c>
    </row>
    <row r="58" spans="1:9" ht="16.5">
      <c r="A58" s="17"/>
      <c r="B58" s="2" t="s">
        <v>103</v>
      </c>
      <c r="C58" s="18"/>
      <c r="D58" s="18"/>
      <c r="E58" s="6">
        <f>24/1000</f>
        <v>2.4E-2</v>
      </c>
      <c r="F58" s="3">
        <v>4</v>
      </c>
      <c r="G58" s="3">
        <f t="shared" si="0"/>
        <v>166.667</v>
      </c>
      <c r="H58" s="3">
        <f t="shared" si="1"/>
        <v>300.00099999999998</v>
      </c>
      <c r="I58" s="3">
        <f t="shared" si="2"/>
        <v>326.00099999999998</v>
      </c>
    </row>
    <row r="59" spans="1:9" ht="16.5">
      <c r="A59" s="17"/>
      <c r="B59" s="2" t="s">
        <v>104</v>
      </c>
      <c r="C59" s="18"/>
      <c r="D59" s="18"/>
      <c r="E59" s="6">
        <f>15/1000</f>
        <v>1.4999999999999999E-2</v>
      </c>
      <c r="F59" s="3">
        <v>5</v>
      </c>
      <c r="G59" s="3">
        <f t="shared" si="0"/>
        <v>333.33300000000003</v>
      </c>
      <c r="H59" s="3">
        <f t="shared" si="1"/>
        <v>599.99900000000002</v>
      </c>
      <c r="I59" s="3">
        <f t="shared" si="2"/>
        <v>651.99900000000002</v>
      </c>
    </row>
    <row r="60" spans="1:9" ht="16.5">
      <c r="A60" s="17"/>
      <c r="B60" s="2" t="s">
        <v>105</v>
      </c>
      <c r="C60" s="18"/>
      <c r="D60" s="18"/>
      <c r="E60" s="6">
        <f>30/1000</f>
        <v>0.03</v>
      </c>
      <c r="F60" s="3">
        <v>5</v>
      </c>
      <c r="G60" s="3">
        <f t="shared" si="0"/>
        <v>166.667</v>
      </c>
      <c r="H60" s="3">
        <f t="shared" si="1"/>
        <v>300.00099999999998</v>
      </c>
      <c r="I60" s="3">
        <f t="shared" si="2"/>
        <v>326.00099999999998</v>
      </c>
    </row>
    <row r="61" spans="1:9" ht="16.5">
      <c r="A61" s="17"/>
      <c r="B61" s="2" t="s">
        <v>106</v>
      </c>
      <c r="C61" s="18"/>
      <c r="D61" s="18"/>
      <c r="E61" s="6">
        <f>12/1000</f>
        <v>1.2E-2</v>
      </c>
      <c r="F61" s="3">
        <v>4</v>
      </c>
      <c r="G61" s="3">
        <f t="shared" si="0"/>
        <v>333.33300000000003</v>
      </c>
      <c r="H61" s="3">
        <f t="shared" si="1"/>
        <v>599.99900000000002</v>
      </c>
      <c r="I61" s="3">
        <f t="shared" si="2"/>
        <v>651.99900000000002</v>
      </c>
    </row>
    <row r="62" spans="1:9" ht="16.5">
      <c r="A62" s="17"/>
      <c r="B62" s="2" t="s">
        <v>107</v>
      </c>
      <c r="C62" s="18"/>
      <c r="D62" s="18"/>
      <c r="E62" s="6">
        <f>42/1000</f>
        <v>4.2000000000000003E-2</v>
      </c>
      <c r="F62" s="3">
        <v>7</v>
      </c>
      <c r="G62" s="3">
        <f t="shared" si="0"/>
        <v>166.667</v>
      </c>
      <c r="H62" s="3">
        <f t="shared" si="1"/>
        <v>300.00099999999998</v>
      </c>
      <c r="I62" s="3">
        <f t="shared" si="2"/>
        <v>326.00099999999998</v>
      </c>
    </row>
    <row r="63" spans="1:9" ht="16.5">
      <c r="A63" s="17"/>
      <c r="B63" s="2" t="s">
        <v>108</v>
      </c>
      <c r="C63" s="18"/>
      <c r="D63" s="18"/>
      <c r="E63" s="6">
        <f>15/1000</f>
        <v>1.4999999999999999E-2</v>
      </c>
      <c r="F63" s="3">
        <v>5</v>
      </c>
      <c r="G63" s="3">
        <f t="shared" si="0"/>
        <v>333.33300000000003</v>
      </c>
      <c r="H63" s="3">
        <f t="shared" si="1"/>
        <v>599.99900000000002</v>
      </c>
      <c r="I63" s="3">
        <f t="shared" si="2"/>
        <v>651.99900000000002</v>
      </c>
    </row>
    <row r="64" spans="1:9" ht="16.5">
      <c r="A64" s="17"/>
      <c r="B64" s="2" t="s">
        <v>109</v>
      </c>
      <c r="C64" s="18"/>
      <c r="D64" s="18"/>
      <c r="E64" s="6">
        <f>48/1000</f>
        <v>4.8000000000000001E-2</v>
      </c>
      <c r="F64" s="3">
        <v>8</v>
      </c>
      <c r="G64" s="3">
        <f t="shared" si="0"/>
        <v>166.667</v>
      </c>
      <c r="H64" s="3">
        <f t="shared" si="1"/>
        <v>300.00099999999998</v>
      </c>
      <c r="I64" s="3">
        <f t="shared" si="2"/>
        <v>326.00099999999998</v>
      </c>
    </row>
    <row r="65" spans="1:9" ht="16.5">
      <c r="A65" s="17"/>
      <c r="B65" s="2" t="s">
        <v>110</v>
      </c>
      <c r="C65" s="18"/>
      <c r="D65" s="18"/>
      <c r="E65" s="6">
        <f>15/1000</f>
        <v>1.4999999999999999E-2</v>
      </c>
      <c r="F65" s="3">
        <v>5</v>
      </c>
      <c r="G65" s="3">
        <f t="shared" si="0"/>
        <v>333.33300000000003</v>
      </c>
      <c r="H65" s="3">
        <f t="shared" si="1"/>
        <v>599.99900000000002</v>
      </c>
      <c r="I65" s="3">
        <f t="shared" si="2"/>
        <v>651.99900000000002</v>
      </c>
    </row>
    <row r="66" spans="1:9" ht="16.5">
      <c r="A66" s="17"/>
      <c r="B66" s="2" t="s">
        <v>111</v>
      </c>
      <c r="C66" s="18"/>
      <c r="D66" s="18"/>
      <c r="E66" s="6">
        <f>54/1000</f>
        <v>5.3999999999999999E-2</v>
      </c>
      <c r="F66" s="3">
        <v>9</v>
      </c>
      <c r="G66" s="3">
        <f t="shared" si="0"/>
        <v>166.667</v>
      </c>
      <c r="H66" s="3">
        <f t="shared" si="1"/>
        <v>300.00099999999998</v>
      </c>
      <c r="I66" s="3">
        <f t="shared" si="2"/>
        <v>326.00099999999998</v>
      </c>
    </row>
    <row r="67" spans="1:9" ht="16.5">
      <c r="A67" s="17"/>
      <c r="B67" s="2" t="s">
        <v>112</v>
      </c>
      <c r="C67" s="18"/>
      <c r="D67" s="18"/>
      <c r="E67" s="6">
        <f>12/1000</f>
        <v>1.2E-2</v>
      </c>
      <c r="F67" s="3">
        <v>4</v>
      </c>
      <c r="G67" s="3">
        <f t="shared" si="0"/>
        <v>333.33300000000003</v>
      </c>
      <c r="H67" s="3">
        <f t="shared" si="1"/>
        <v>599.99900000000002</v>
      </c>
      <c r="I67" s="3">
        <f t="shared" si="2"/>
        <v>651.99900000000002</v>
      </c>
    </row>
    <row r="68" spans="1:9" ht="16.5">
      <c r="A68" s="17"/>
      <c r="B68" s="2" t="s">
        <v>113</v>
      </c>
      <c r="C68" s="18"/>
      <c r="D68" s="18"/>
      <c r="E68" s="6">
        <f>60/1000</f>
        <v>0.06</v>
      </c>
      <c r="F68" s="3">
        <v>10</v>
      </c>
      <c r="G68" s="3">
        <f t="shared" si="0"/>
        <v>166.667</v>
      </c>
      <c r="H68" s="3">
        <f t="shared" si="1"/>
        <v>300.00099999999998</v>
      </c>
      <c r="I68" s="3">
        <f t="shared" si="2"/>
        <v>326.00099999999998</v>
      </c>
    </row>
    <row r="69" spans="1:9" ht="16.5">
      <c r="A69" s="17"/>
      <c r="B69" s="2" t="s">
        <v>114</v>
      </c>
      <c r="C69" s="18"/>
      <c r="D69" s="18"/>
      <c r="E69" s="6">
        <f>15/1000</f>
        <v>1.4999999999999999E-2</v>
      </c>
      <c r="F69" s="3">
        <v>5</v>
      </c>
      <c r="G69" s="3">
        <f t="shared" ref="G69:G132" si="3">ROUND( (1/E69)*F69,3)</f>
        <v>333.33300000000003</v>
      </c>
      <c r="H69" s="3">
        <f t="shared" ref="H69:H132" si="4">ROUND( 2*G69*1800/2000,3)</f>
        <v>599.99900000000002</v>
      </c>
      <c r="I69" s="3">
        <f t="shared" ref="I69:I132" si="5">ROUND( 2*G69*1956/2000,3)</f>
        <v>651.99900000000002</v>
      </c>
    </row>
    <row r="70" spans="1:9" ht="16.5">
      <c r="A70" s="17"/>
      <c r="B70" s="2" t="s">
        <v>115</v>
      </c>
      <c r="C70" s="18"/>
      <c r="D70" s="18"/>
      <c r="E70" s="6">
        <f>60/1000</f>
        <v>0.06</v>
      </c>
      <c r="F70" s="3">
        <v>10</v>
      </c>
      <c r="G70" s="3">
        <f t="shared" si="3"/>
        <v>166.667</v>
      </c>
      <c r="H70" s="3">
        <f t="shared" si="4"/>
        <v>300.00099999999998</v>
      </c>
      <c r="I70" s="3">
        <f t="shared" si="5"/>
        <v>326.00099999999998</v>
      </c>
    </row>
    <row r="71" spans="1:9" ht="16.5">
      <c r="A71" s="17"/>
      <c r="B71" s="2" t="s">
        <v>116</v>
      </c>
      <c r="C71" s="18" t="s">
        <v>117</v>
      </c>
      <c r="D71" s="18" t="s">
        <v>118</v>
      </c>
      <c r="E71" s="6">
        <f>3/1000</f>
        <v>3.0000000000000001E-3</v>
      </c>
      <c r="F71" s="3">
        <v>1</v>
      </c>
      <c r="G71" s="3">
        <f t="shared" si="3"/>
        <v>333.33300000000003</v>
      </c>
      <c r="H71" s="3">
        <f t="shared" si="4"/>
        <v>599.99900000000002</v>
      </c>
      <c r="I71" s="3">
        <f t="shared" si="5"/>
        <v>651.99900000000002</v>
      </c>
    </row>
    <row r="72" spans="1:9" ht="16.5">
      <c r="A72" s="17"/>
      <c r="B72" s="2" t="s">
        <v>119</v>
      </c>
      <c r="C72" s="18"/>
      <c r="D72" s="18"/>
      <c r="E72" s="6">
        <f>6/1000</f>
        <v>6.0000000000000001E-3</v>
      </c>
      <c r="F72" s="3">
        <v>1</v>
      </c>
      <c r="G72" s="3">
        <f t="shared" si="3"/>
        <v>166.667</v>
      </c>
      <c r="H72" s="3">
        <f t="shared" si="4"/>
        <v>300.00099999999998</v>
      </c>
      <c r="I72" s="3">
        <f t="shared" si="5"/>
        <v>326.00099999999998</v>
      </c>
    </row>
    <row r="73" spans="1:9" ht="33">
      <c r="A73" s="17" t="s">
        <v>120</v>
      </c>
      <c r="B73" s="7" t="s">
        <v>60</v>
      </c>
      <c r="C73" s="10" t="s">
        <v>121</v>
      </c>
      <c r="D73" s="10" t="s">
        <v>122</v>
      </c>
      <c r="E73" s="3">
        <f>1/100</f>
        <v>0.01</v>
      </c>
      <c r="F73" s="3">
        <v>1</v>
      </c>
      <c r="G73" s="3">
        <f t="shared" si="3"/>
        <v>100</v>
      </c>
      <c r="H73" s="3">
        <f t="shared" si="4"/>
        <v>180</v>
      </c>
      <c r="I73" s="3">
        <f t="shared" si="5"/>
        <v>195.6</v>
      </c>
    </row>
    <row r="74" spans="1:9" ht="33">
      <c r="A74" s="17"/>
      <c r="B74" s="7" t="s">
        <v>63</v>
      </c>
      <c r="C74" s="10" t="s">
        <v>123</v>
      </c>
      <c r="D74" s="10" t="s">
        <v>124</v>
      </c>
      <c r="E74" s="3">
        <f>1/100</f>
        <v>0.01</v>
      </c>
      <c r="F74" s="3">
        <v>1</v>
      </c>
      <c r="G74" s="3">
        <f t="shared" si="3"/>
        <v>100</v>
      </c>
      <c r="H74" s="3">
        <f t="shared" si="4"/>
        <v>180</v>
      </c>
      <c r="I74" s="3">
        <f t="shared" si="5"/>
        <v>195.6</v>
      </c>
    </row>
    <row r="75" spans="1:9" ht="16.5">
      <c r="A75" s="17"/>
      <c r="B75" s="2" t="s">
        <v>125</v>
      </c>
      <c r="C75" s="18" t="s">
        <v>126</v>
      </c>
      <c r="D75" s="18" t="s">
        <v>127</v>
      </c>
      <c r="E75" s="3">
        <f>1/100</f>
        <v>0.01</v>
      </c>
      <c r="F75" s="3">
        <v>1</v>
      </c>
      <c r="G75" s="3">
        <f t="shared" si="3"/>
        <v>100</v>
      </c>
      <c r="H75" s="3">
        <f t="shared" si="4"/>
        <v>180</v>
      </c>
      <c r="I75" s="3">
        <f t="shared" si="5"/>
        <v>195.6</v>
      </c>
    </row>
    <row r="76" spans="1:9" ht="16.5">
      <c r="A76" s="17"/>
      <c r="B76" s="2" t="s">
        <v>128</v>
      </c>
      <c r="C76" s="18"/>
      <c r="D76" s="18"/>
      <c r="E76" s="3">
        <f>2/100</f>
        <v>0.02</v>
      </c>
      <c r="F76" s="3">
        <v>2</v>
      </c>
      <c r="G76" s="3">
        <f t="shared" si="3"/>
        <v>100</v>
      </c>
      <c r="H76" s="3">
        <f t="shared" si="4"/>
        <v>180</v>
      </c>
      <c r="I76" s="3">
        <f t="shared" si="5"/>
        <v>195.6</v>
      </c>
    </row>
    <row r="77" spans="1:9" ht="16.5">
      <c r="A77" s="17"/>
      <c r="B77" s="2" t="s">
        <v>129</v>
      </c>
      <c r="C77" s="18"/>
      <c r="D77" s="18"/>
      <c r="E77" s="3">
        <f>3/100</f>
        <v>0.03</v>
      </c>
      <c r="F77" s="3">
        <v>3</v>
      </c>
      <c r="G77" s="3">
        <f t="shared" si="3"/>
        <v>100</v>
      </c>
      <c r="H77" s="3">
        <f t="shared" si="4"/>
        <v>180</v>
      </c>
      <c r="I77" s="3">
        <f t="shared" si="5"/>
        <v>195.6</v>
      </c>
    </row>
    <row r="78" spans="1:9" ht="16.5">
      <c r="A78" s="17"/>
      <c r="B78" s="2" t="s">
        <v>130</v>
      </c>
      <c r="C78" s="18"/>
      <c r="D78" s="18"/>
      <c r="E78" s="3">
        <f>4/100</f>
        <v>0.04</v>
      </c>
      <c r="F78" s="3">
        <v>4</v>
      </c>
      <c r="G78" s="3">
        <f t="shared" si="3"/>
        <v>100</v>
      </c>
      <c r="H78" s="3">
        <f t="shared" si="4"/>
        <v>180</v>
      </c>
      <c r="I78" s="3">
        <f t="shared" si="5"/>
        <v>195.6</v>
      </c>
    </row>
    <row r="79" spans="1:9" ht="16.5">
      <c r="A79" s="17"/>
      <c r="B79" s="2" t="s">
        <v>131</v>
      </c>
      <c r="C79" s="18"/>
      <c r="D79" s="18"/>
      <c r="E79" s="3">
        <f>5/100</f>
        <v>0.05</v>
      </c>
      <c r="F79" s="3">
        <v>5</v>
      </c>
      <c r="G79" s="3">
        <f t="shared" si="3"/>
        <v>100</v>
      </c>
      <c r="H79" s="3">
        <f t="shared" si="4"/>
        <v>180</v>
      </c>
      <c r="I79" s="3">
        <f t="shared" si="5"/>
        <v>195.6</v>
      </c>
    </row>
    <row r="80" spans="1:9" ht="16.5">
      <c r="A80" s="17"/>
      <c r="B80" s="2" t="s">
        <v>132</v>
      </c>
      <c r="C80" s="18"/>
      <c r="D80" s="18"/>
      <c r="E80" s="3">
        <f>6/100</f>
        <v>0.06</v>
      </c>
      <c r="F80" s="3">
        <v>6</v>
      </c>
      <c r="G80" s="3">
        <f t="shared" si="3"/>
        <v>100</v>
      </c>
      <c r="H80" s="3">
        <f t="shared" si="4"/>
        <v>180</v>
      </c>
      <c r="I80" s="3">
        <f t="shared" si="5"/>
        <v>195.6</v>
      </c>
    </row>
    <row r="81" spans="1:9" ht="16.5">
      <c r="A81" s="17"/>
      <c r="B81" s="2" t="s">
        <v>133</v>
      </c>
      <c r="C81" s="18"/>
      <c r="D81" s="18"/>
      <c r="E81" s="3">
        <f>7/100</f>
        <v>7.0000000000000007E-2</v>
      </c>
      <c r="F81" s="3">
        <v>7</v>
      </c>
      <c r="G81" s="3">
        <f t="shared" si="3"/>
        <v>100</v>
      </c>
      <c r="H81" s="3">
        <f t="shared" si="4"/>
        <v>180</v>
      </c>
      <c r="I81" s="3">
        <f t="shared" si="5"/>
        <v>195.6</v>
      </c>
    </row>
    <row r="82" spans="1:9" ht="16.5">
      <c r="A82" s="17"/>
      <c r="B82" s="2" t="s">
        <v>134</v>
      </c>
      <c r="C82" s="18"/>
      <c r="D82" s="18"/>
      <c r="E82" s="3">
        <f>8/100</f>
        <v>0.08</v>
      </c>
      <c r="F82" s="3">
        <v>8</v>
      </c>
      <c r="G82" s="3">
        <f t="shared" si="3"/>
        <v>100</v>
      </c>
      <c r="H82" s="3">
        <f t="shared" si="4"/>
        <v>180</v>
      </c>
      <c r="I82" s="3">
        <f t="shared" si="5"/>
        <v>195.6</v>
      </c>
    </row>
    <row r="83" spans="1:9" ht="16.5">
      <c r="A83" s="17"/>
      <c r="B83" s="2" t="s">
        <v>135</v>
      </c>
      <c r="C83" s="18"/>
      <c r="D83" s="18"/>
      <c r="E83" s="3">
        <f>9/100</f>
        <v>0.09</v>
      </c>
      <c r="F83" s="3">
        <v>9</v>
      </c>
      <c r="G83" s="3">
        <f t="shared" si="3"/>
        <v>100</v>
      </c>
      <c r="H83" s="3">
        <f t="shared" si="4"/>
        <v>180</v>
      </c>
      <c r="I83" s="3">
        <f t="shared" si="5"/>
        <v>195.6</v>
      </c>
    </row>
    <row r="84" spans="1:9" ht="16.5">
      <c r="A84" s="17"/>
      <c r="B84" s="2" t="s">
        <v>136</v>
      </c>
      <c r="C84" s="18"/>
      <c r="D84" s="18"/>
      <c r="E84" s="3">
        <f>10/100</f>
        <v>0.1</v>
      </c>
      <c r="F84" s="3">
        <v>10</v>
      </c>
      <c r="G84" s="3">
        <f t="shared" si="3"/>
        <v>100</v>
      </c>
      <c r="H84" s="3">
        <f t="shared" si="4"/>
        <v>180</v>
      </c>
      <c r="I84" s="3">
        <f t="shared" si="5"/>
        <v>195.6</v>
      </c>
    </row>
    <row r="85" spans="1:9" ht="33">
      <c r="A85" s="17" t="s">
        <v>137</v>
      </c>
      <c r="B85" s="7" t="s">
        <v>138</v>
      </c>
      <c r="C85" s="10" t="s">
        <v>139</v>
      </c>
      <c r="D85" s="10" t="s">
        <v>140</v>
      </c>
      <c r="E85" s="3">
        <f>2/100</f>
        <v>0.02</v>
      </c>
      <c r="F85" s="3">
        <v>1</v>
      </c>
      <c r="G85" s="3">
        <f t="shared" si="3"/>
        <v>50</v>
      </c>
      <c r="H85" s="3">
        <f t="shared" si="4"/>
        <v>90</v>
      </c>
      <c r="I85" s="3">
        <f t="shared" si="5"/>
        <v>97.8</v>
      </c>
    </row>
    <row r="86" spans="1:9" ht="33">
      <c r="A86" s="17"/>
      <c r="B86" s="2" t="s">
        <v>141</v>
      </c>
      <c r="C86" s="10" t="s">
        <v>142</v>
      </c>
      <c r="D86" s="10" t="s">
        <v>143</v>
      </c>
      <c r="E86" s="3">
        <f>2/100</f>
        <v>0.02</v>
      </c>
      <c r="F86" s="3">
        <v>1</v>
      </c>
      <c r="G86" s="3">
        <f t="shared" si="3"/>
        <v>50</v>
      </c>
      <c r="H86" s="3">
        <f t="shared" si="4"/>
        <v>90</v>
      </c>
      <c r="I86" s="3">
        <f t="shared" si="5"/>
        <v>97.8</v>
      </c>
    </row>
    <row r="87" spans="1:9" ht="16.5">
      <c r="A87" s="17"/>
      <c r="B87" s="2" t="s">
        <v>144</v>
      </c>
      <c r="C87" s="18" t="s">
        <v>145</v>
      </c>
      <c r="D87" s="18" t="s">
        <v>146</v>
      </c>
      <c r="E87" s="3">
        <f>2/100</f>
        <v>0.02</v>
      </c>
      <c r="F87" s="3">
        <v>1</v>
      </c>
      <c r="G87" s="3">
        <f t="shared" si="3"/>
        <v>50</v>
      </c>
      <c r="H87" s="3">
        <f t="shared" si="4"/>
        <v>90</v>
      </c>
      <c r="I87" s="3">
        <f t="shared" si="5"/>
        <v>97.8</v>
      </c>
    </row>
    <row r="88" spans="1:9" ht="16.5">
      <c r="A88" s="17"/>
      <c r="B88" s="2" t="s">
        <v>147</v>
      </c>
      <c r="C88" s="18"/>
      <c r="D88" s="18"/>
      <c r="E88" s="3">
        <f>2/100</f>
        <v>0.02</v>
      </c>
      <c r="F88" s="3">
        <v>1</v>
      </c>
      <c r="G88" s="3">
        <f t="shared" si="3"/>
        <v>50</v>
      </c>
      <c r="H88" s="3">
        <f t="shared" si="4"/>
        <v>90</v>
      </c>
      <c r="I88" s="3">
        <f t="shared" si="5"/>
        <v>97.8</v>
      </c>
    </row>
    <row r="89" spans="1:9" ht="16.5">
      <c r="A89" s="17"/>
      <c r="B89" s="2" t="s">
        <v>148</v>
      </c>
      <c r="C89" s="18"/>
      <c r="D89" s="18"/>
      <c r="E89" s="3">
        <f>4/100</f>
        <v>0.04</v>
      </c>
      <c r="F89" s="3">
        <v>2</v>
      </c>
      <c r="G89" s="3">
        <f t="shared" si="3"/>
        <v>50</v>
      </c>
      <c r="H89" s="3">
        <f t="shared" si="4"/>
        <v>90</v>
      </c>
      <c r="I89" s="3">
        <f t="shared" si="5"/>
        <v>97.8</v>
      </c>
    </row>
    <row r="90" spans="1:9" ht="16.5">
      <c r="A90" s="17"/>
      <c r="B90" s="2" t="s">
        <v>149</v>
      </c>
      <c r="C90" s="18"/>
      <c r="D90" s="18"/>
      <c r="E90" s="3">
        <f>4/100</f>
        <v>0.04</v>
      </c>
      <c r="F90" s="3">
        <v>2</v>
      </c>
      <c r="G90" s="3">
        <f t="shared" si="3"/>
        <v>50</v>
      </c>
      <c r="H90" s="3">
        <f t="shared" si="4"/>
        <v>90</v>
      </c>
      <c r="I90" s="3">
        <f t="shared" si="5"/>
        <v>97.8</v>
      </c>
    </row>
    <row r="91" spans="1:9" ht="16.5">
      <c r="A91" s="17"/>
      <c r="B91" s="2" t="s">
        <v>150</v>
      </c>
      <c r="C91" s="18"/>
      <c r="D91" s="18"/>
      <c r="E91" s="3">
        <f>6/100</f>
        <v>0.06</v>
      </c>
      <c r="F91" s="3">
        <v>3</v>
      </c>
      <c r="G91" s="3">
        <f t="shared" si="3"/>
        <v>50</v>
      </c>
      <c r="H91" s="3">
        <f t="shared" si="4"/>
        <v>90</v>
      </c>
      <c r="I91" s="3">
        <f t="shared" si="5"/>
        <v>97.8</v>
      </c>
    </row>
    <row r="92" spans="1:9" ht="16.5">
      <c r="A92" s="17"/>
      <c r="B92" s="2" t="s">
        <v>151</v>
      </c>
      <c r="C92" s="18"/>
      <c r="D92" s="18"/>
      <c r="E92" s="3">
        <f>6/100</f>
        <v>0.06</v>
      </c>
      <c r="F92" s="3">
        <v>3</v>
      </c>
      <c r="G92" s="3">
        <f t="shared" si="3"/>
        <v>50</v>
      </c>
      <c r="H92" s="3">
        <f t="shared" si="4"/>
        <v>90</v>
      </c>
      <c r="I92" s="3">
        <f t="shared" si="5"/>
        <v>97.8</v>
      </c>
    </row>
    <row r="93" spans="1:9" ht="16.5">
      <c r="A93" s="17"/>
      <c r="B93" s="2" t="s">
        <v>152</v>
      </c>
      <c r="C93" s="18"/>
      <c r="D93" s="18"/>
      <c r="E93" s="3">
        <f>8/100</f>
        <v>0.08</v>
      </c>
      <c r="F93" s="3">
        <v>4</v>
      </c>
      <c r="G93" s="3">
        <f t="shared" si="3"/>
        <v>50</v>
      </c>
      <c r="H93" s="3">
        <f t="shared" si="4"/>
        <v>90</v>
      </c>
      <c r="I93" s="3">
        <f t="shared" si="5"/>
        <v>97.8</v>
      </c>
    </row>
    <row r="94" spans="1:9" ht="16.5">
      <c r="A94" s="17"/>
      <c r="B94" s="2" t="s">
        <v>153</v>
      </c>
      <c r="C94" s="18"/>
      <c r="D94" s="18"/>
      <c r="E94" s="3">
        <f>8/100</f>
        <v>0.08</v>
      </c>
      <c r="F94" s="3">
        <v>4</v>
      </c>
      <c r="G94" s="3">
        <f t="shared" si="3"/>
        <v>50</v>
      </c>
      <c r="H94" s="3">
        <f t="shared" si="4"/>
        <v>90</v>
      </c>
      <c r="I94" s="3">
        <f t="shared" si="5"/>
        <v>97.8</v>
      </c>
    </row>
    <row r="95" spans="1:9" ht="16.5">
      <c r="A95" s="17"/>
      <c r="B95" s="2" t="s">
        <v>154</v>
      </c>
      <c r="C95" s="18"/>
      <c r="D95" s="18"/>
      <c r="E95" s="3">
        <f>10/100</f>
        <v>0.1</v>
      </c>
      <c r="F95" s="3">
        <v>5</v>
      </c>
      <c r="G95" s="3">
        <f t="shared" si="3"/>
        <v>50</v>
      </c>
      <c r="H95" s="3">
        <f t="shared" si="4"/>
        <v>90</v>
      </c>
      <c r="I95" s="3">
        <f t="shared" si="5"/>
        <v>97.8</v>
      </c>
    </row>
    <row r="96" spans="1:9" ht="33">
      <c r="A96" s="17" t="s">
        <v>155</v>
      </c>
      <c r="B96" s="7" t="s">
        <v>156</v>
      </c>
      <c r="C96" s="18" t="s">
        <v>157</v>
      </c>
      <c r="D96" s="10" t="s">
        <v>158</v>
      </c>
      <c r="E96" s="3">
        <f>1/10</f>
        <v>0.1</v>
      </c>
      <c r="F96" s="3">
        <v>1</v>
      </c>
      <c r="G96" s="3">
        <f t="shared" si="3"/>
        <v>10</v>
      </c>
      <c r="H96" s="3">
        <f t="shared" si="4"/>
        <v>18</v>
      </c>
      <c r="I96" s="3">
        <f t="shared" si="5"/>
        <v>19.559999999999999</v>
      </c>
    </row>
    <row r="97" spans="1:9" ht="33">
      <c r="A97" s="17"/>
      <c r="B97" s="7" t="s">
        <v>159</v>
      </c>
      <c r="C97" s="18"/>
      <c r="D97" s="10" t="s">
        <v>160</v>
      </c>
      <c r="E97" s="3">
        <f>1/10</f>
        <v>0.1</v>
      </c>
      <c r="F97" s="3">
        <v>1</v>
      </c>
      <c r="G97" s="3">
        <f t="shared" si="3"/>
        <v>10</v>
      </c>
      <c r="H97" s="3">
        <f t="shared" si="4"/>
        <v>18</v>
      </c>
      <c r="I97" s="3">
        <f t="shared" si="5"/>
        <v>19.559999999999999</v>
      </c>
    </row>
    <row r="98" spans="1:9" ht="33">
      <c r="A98" s="17"/>
      <c r="B98" s="7" t="s">
        <v>161</v>
      </c>
      <c r="C98" s="18"/>
      <c r="D98" s="10" t="s">
        <v>162</v>
      </c>
      <c r="E98" s="3">
        <f>1/10</f>
        <v>0.1</v>
      </c>
      <c r="F98" s="3">
        <v>1</v>
      </c>
      <c r="G98" s="3">
        <f t="shared" si="3"/>
        <v>10</v>
      </c>
      <c r="H98" s="3">
        <f t="shared" si="4"/>
        <v>18</v>
      </c>
      <c r="I98" s="3">
        <f t="shared" si="5"/>
        <v>19.559999999999999</v>
      </c>
    </row>
    <row r="99" spans="1:9" ht="33">
      <c r="A99" s="17"/>
      <c r="B99" s="7" t="s">
        <v>163</v>
      </c>
      <c r="C99" s="18"/>
      <c r="D99" s="10" t="s">
        <v>164</v>
      </c>
      <c r="E99" s="3">
        <f>1/10</f>
        <v>0.1</v>
      </c>
      <c r="F99" s="3">
        <v>1</v>
      </c>
      <c r="G99" s="3">
        <f t="shared" si="3"/>
        <v>10</v>
      </c>
      <c r="H99" s="3">
        <f t="shared" si="4"/>
        <v>18</v>
      </c>
      <c r="I99" s="3">
        <f t="shared" si="5"/>
        <v>19.559999999999999</v>
      </c>
    </row>
    <row r="100" spans="1:9" ht="33">
      <c r="A100" s="17"/>
      <c r="B100" s="7" t="s">
        <v>165</v>
      </c>
      <c r="C100" s="18"/>
      <c r="D100" s="10" t="s">
        <v>166</v>
      </c>
      <c r="E100" s="3">
        <f>1/10</f>
        <v>0.1</v>
      </c>
      <c r="F100" s="3">
        <v>1</v>
      </c>
      <c r="G100" s="3">
        <f t="shared" si="3"/>
        <v>10</v>
      </c>
      <c r="H100" s="3">
        <f t="shared" si="4"/>
        <v>18</v>
      </c>
      <c r="I100" s="3">
        <f t="shared" si="5"/>
        <v>19.559999999999999</v>
      </c>
    </row>
    <row r="101" spans="1:9" ht="49.5">
      <c r="A101" s="17" t="s">
        <v>167</v>
      </c>
      <c r="B101" s="7" t="s">
        <v>168</v>
      </c>
      <c r="C101" s="10" t="s">
        <v>169</v>
      </c>
      <c r="D101" s="10" t="s">
        <v>170</v>
      </c>
      <c r="E101" s="3">
        <f>271/1000</f>
        <v>0.27100000000000002</v>
      </c>
      <c r="F101" s="3">
        <v>1</v>
      </c>
      <c r="G101" s="3">
        <f t="shared" si="3"/>
        <v>3.69</v>
      </c>
      <c r="H101" s="3">
        <f t="shared" si="4"/>
        <v>6.6420000000000003</v>
      </c>
      <c r="I101" s="3">
        <f t="shared" si="5"/>
        <v>7.218</v>
      </c>
    </row>
    <row r="102" spans="1:9" ht="66">
      <c r="A102" s="17"/>
      <c r="B102" s="7" t="s">
        <v>171</v>
      </c>
      <c r="C102" s="10" t="s">
        <v>172</v>
      </c>
      <c r="D102" s="10" t="s">
        <v>173</v>
      </c>
      <c r="E102" s="3">
        <f>(60-6)/1000</f>
        <v>5.3999999999999999E-2</v>
      </c>
      <c r="F102" s="3">
        <v>1</v>
      </c>
      <c r="G102" s="3">
        <f t="shared" si="3"/>
        <v>18.518999999999998</v>
      </c>
      <c r="H102" s="3">
        <f t="shared" si="4"/>
        <v>33.334000000000003</v>
      </c>
      <c r="I102" s="3">
        <f t="shared" si="5"/>
        <v>36.222999999999999</v>
      </c>
    </row>
    <row r="103" spans="1:9" ht="66">
      <c r="A103" s="17"/>
      <c r="B103" s="7" t="s">
        <v>174</v>
      </c>
      <c r="C103" s="10" t="s">
        <v>175</v>
      </c>
      <c r="D103" s="10" t="s">
        <v>176</v>
      </c>
      <c r="E103" s="3">
        <f>(1000+900+810+729)/10000</f>
        <v>0.34389999999999998</v>
      </c>
      <c r="F103" s="3">
        <v>1</v>
      </c>
      <c r="G103" s="3">
        <f t="shared" si="3"/>
        <v>2.9079999999999999</v>
      </c>
      <c r="H103" s="3">
        <f t="shared" si="4"/>
        <v>5.234</v>
      </c>
      <c r="I103" s="3">
        <f t="shared" si="5"/>
        <v>5.6879999999999997</v>
      </c>
    </row>
    <row r="104" spans="1:9" ht="66">
      <c r="A104" s="17"/>
      <c r="B104" s="7" t="s">
        <v>177</v>
      </c>
      <c r="C104" s="10" t="s">
        <v>178</v>
      </c>
      <c r="D104" s="10" t="s">
        <v>179</v>
      </c>
      <c r="E104" s="5">
        <f>974/10000</f>
        <v>9.74E-2</v>
      </c>
      <c r="F104" s="3">
        <v>1</v>
      </c>
      <c r="G104" s="3">
        <f t="shared" si="3"/>
        <v>10.266999999999999</v>
      </c>
      <c r="H104" s="3">
        <f t="shared" si="4"/>
        <v>18.481000000000002</v>
      </c>
      <c r="I104" s="3">
        <f t="shared" si="5"/>
        <v>20.082000000000001</v>
      </c>
    </row>
    <row r="105" spans="1:9" ht="82.5">
      <c r="A105" s="17"/>
      <c r="B105" s="7" t="s">
        <v>180</v>
      </c>
      <c r="C105" s="10" t="s">
        <v>181</v>
      </c>
      <c r="D105" s="10" t="s">
        <v>182</v>
      </c>
      <c r="E105" s="5">
        <f>204/10000</f>
        <v>2.0400000000000001E-2</v>
      </c>
      <c r="F105" s="3">
        <v>1</v>
      </c>
      <c r="G105" s="3">
        <f t="shared" si="3"/>
        <v>49.02</v>
      </c>
      <c r="H105" s="3">
        <f t="shared" si="4"/>
        <v>88.236000000000004</v>
      </c>
      <c r="I105" s="3">
        <f t="shared" si="5"/>
        <v>95.882999999999996</v>
      </c>
    </row>
    <row r="106" spans="1:9" ht="82.5">
      <c r="A106" s="17"/>
      <c r="B106" s="7" t="s">
        <v>183</v>
      </c>
      <c r="C106" s="10" t="s">
        <v>184</v>
      </c>
      <c r="D106" s="10" t="s">
        <v>185</v>
      </c>
      <c r="E106" s="5">
        <f>40951/100000</f>
        <v>0.40950999999999999</v>
      </c>
      <c r="F106" s="3">
        <v>1</v>
      </c>
      <c r="G106" s="3">
        <f t="shared" si="3"/>
        <v>2.4420000000000002</v>
      </c>
      <c r="H106" s="3">
        <f t="shared" si="4"/>
        <v>4.3959999999999999</v>
      </c>
      <c r="I106" s="3">
        <f t="shared" si="5"/>
        <v>4.7770000000000001</v>
      </c>
    </row>
    <row r="107" spans="1:9" ht="82.5">
      <c r="A107" s="17"/>
      <c r="B107" s="7" t="s">
        <v>186</v>
      </c>
      <c r="C107" s="10" t="s">
        <v>187</v>
      </c>
      <c r="D107" s="10" t="s">
        <v>188</v>
      </c>
      <c r="E107" s="5">
        <f>14670/100000</f>
        <v>0.1467</v>
      </c>
      <c r="F107" s="3">
        <v>1</v>
      </c>
      <c r="G107" s="3">
        <f t="shared" si="3"/>
        <v>6.8170000000000002</v>
      </c>
      <c r="H107" s="3">
        <f t="shared" si="4"/>
        <v>12.271000000000001</v>
      </c>
      <c r="I107" s="3">
        <f t="shared" si="5"/>
        <v>13.334</v>
      </c>
    </row>
    <row r="108" spans="1:9" ht="82.5">
      <c r="A108" s="17"/>
      <c r="B108" s="7" t="s">
        <v>189</v>
      </c>
      <c r="C108" s="10" t="s">
        <v>190</v>
      </c>
      <c r="D108" s="10" t="s">
        <v>191</v>
      </c>
      <c r="E108" s="5">
        <f>4350/100000</f>
        <v>4.3499999999999997E-2</v>
      </c>
      <c r="F108" s="3">
        <v>1</v>
      </c>
      <c r="G108" s="3">
        <f t="shared" si="3"/>
        <v>22.989000000000001</v>
      </c>
      <c r="H108" s="3">
        <f t="shared" si="4"/>
        <v>41.38</v>
      </c>
      <c r="I108" s="3">
        <f t="shared" si="5"/>
        <v>44.966000000000001</v>
      </c>
    </row>
    <row r="109" spans="1:9" ht="16.5">
      <c r="A109" s="17" t="s">
        <v>192</v>
      </c>
      <c r="B109" s="7" t="s">
        <v>193</v>
      </c>
      <c r="C109" s="18" t="s">
        <v>194</v>
      </c>
      <c r="D109" s="18" t="s">
        <v>195</v>
      </c>
      <c r="E109" s="3">
        <f>1/2</f>
        <v>0.5</v>
      </c>
      <c r="F109" s="3">
        <v>1</v>
      </c>
      <c r="G109" s="3">
        <f t="shared" si="3"/>
        <v>2</v>
      </c>
      <c r="H109" s="3">
        <f t="shared" si="4"/>
        <v>3.6</v>
      </c>
      <c r="I109" s="3">
        <f t="shared" si="5"/>
        <v>3.9119999999999999</v>
      </c>
    </row>
    <row r="110" spans="1:9" ht="16.5">
      <c r="A110" s="17"/>
      <c r="B110" s="7" t="s">
        <v>196</v>
      </c>
      <c r="C110" s="18"/>
      <c r="D110" s="18"/>
      <c r="E110" s="5">
        <f>26508/100000</f>
        <v>0.26507999999999998</v>
      </c>
      <c r="F110" s="3">
        <v>1</v>
      </c>
      <c r="G110" s="3">
        <f t="shared" si="3"/>
        <v>3.7719999999999998</v>
      </c>
      <c r="H110" s="3">
        <f t="shared" si="4"/>
        <v>6.79</v>
      </c>
      <c r="I110" s="3">
        <f t="shared" si="5"/>
        <v>7.3780000000000001</v>
      </c>
    </row>
    <row r="111" spans="1:9" ht="16.5">
      <c r="A111" s="17"/>
      <c r="B111" s="7" t="s">
        <v>197</v>
      </c>
      <c r="C111" s="18"/>
      <c r="D111" s="18"/>
      <c r="E111" s="5">
        <f>23492/100000</f>
        <v>0.23491999999999999</v>
      </c>
      <c r="F111" s="3">
        <v>1</v>
      </c>
      <c r="G111" s="3">
        <f t="shared" si="3"/>
        <v>4.2569999999999997</v>
      </c>
      <c r="H111" s="3">
        <f t="shared" si="4"/>
        <v>7.6630000000000003</v>
      </c>
      <c r="I111" s="3">
        <f t="shared" si="5"/>
        <v>8.327</v>
      </c>
    </row>
    <row r="112" spans="1:9" ht="16.5">
      <c r="A112" s="17"/>
      <c r="B112" s="7" t="s">
        <v>198</v>
      </c>
      <c r="C112" s="18"/>
      <c r="D112" s="18"/>
      <c r="E112" s="5">
        <f>23492/100000</f>
        <v>0.23491999999999999</v>
      </c>
      <c r="F112" s="3">
        <v>1</v>
      </c>
      <c r="G112" s="3">
        <f t="shared" si="3"/>
        <v>4.2569999999999997</v>
      </c>
      <c r="H112" s="3">
        <f t="shared" si="4"/>
        <v>7.6630000000000003</v>
      </c>
      <c r="I112" s="3">
        <f t="shared" si="5"/>
        <v>8.327</v>
      </c>
    </row>
    <row r="113" spans="1:9" ht="16.5">
      <c r="A113" s="17"/>
      <c r="B113" s="7" t="s">
        <v>199</v>
      </c>
      <c r="C113" s="18"/>
      <c r="D113" s="18"/>
      <c r="E113" s="5">
        <f t="shared" ref="E113" si="6">26508/100000</f>
        <v>0.26507999999999998</v>
      </c>
      <c r="F113" s="3">
        <v>1</v>
      </c>
      <c r="G113" s="3">
        <f t="shared" si="3"/>
        <v>3.7719999999999998</v>
      </c>
      <c r="H113" s="3">
        <f t="shared" si="4"/>
        <v>6.79</v>
      </c>
      <c r="I113" s="3">
        <f t="shared" si="5"/>
        <v>7.3780000000000001</v>
      </c>
    </row>
    <row r="114" spans="1:9" ht="16.5">
      <c r="A114" s="17"/>
      <c r="B114" s="7" t="s">
        <v>200</v>
      </c>
      <c r="C114" s="18" t="s">
        <v>201</v>
      </c>
      <c r="D114" s="18" t="s">
        <v>202</v>
      </c>
      <c r="E114" s="3">
        <f>1/2</f>
        <v>0.5</v>
      </c>
      <c r="F114" s="3">
        <v>1</v>
      </c>
      <c r="G114" s="3">
        <f t="shared" si="3"/>
        <v>2</v>
      </c>
      <c r="H114" s="3">
        <f t="shared" si="4"/>
        <v>3.6</v>
      </c>
      <c r="I114" s="3">
        <f t="shared" si="5"/>
        <v>3.9119999999999999</v>
      </c>
    </row>
    <row r="115" spans="1:9" ht="16.5">
      <c r="A115" s="17"/>
      <c r="B115" s="7" t="s">
        <v>203</v>
      </c>
      <c r="C115" s="18"/>
      <c r="D115" s="18"/>
      <c r="E115" s="5">
        <f>231/1000</f>
        <v>0.23100000000000001</v>
      </c>
      <c r="F115" s="3">
        <v>1</v>
      </c>
      <c r="G115" s="3">
        <f t="shared" si="3"/>
        <v>4.3289999999999997</v>
      </c>
      <c r="H115" s="3">
        <f t="shared" si="4"/>
        <v>7.7919999999999998</v>
      </c>
      <c r="I115" s="3">
        <f t="shared" si="5"/>
        <v>8.468</v>
      </c>
    </row>
    <row r="116" spans="1:9" ht="16.5">
      <c r="A116" s="17"/>
      <c r="B116" s="7" t="s">
        <v>204</v>
      </c>
      <c r="C116" s="18"/>
      <c r="D116" s="18"/>
      <c r="E116" s="5">
        <f>269/1000</f>
        <v>0.26900000000000002</v>
      </c>
      <c r="F116" s="3">
        <v>1</v>
      </c>
      <c r="G116" s="3">
        <f t="shared" si="3"/>
        <v>3.7170000000000001</v>
      </c>
      <c r="H116" s="3">
        <f t="shared" si="4"/>
        <v>6.6909999999999998</v>
      </c>
      <c r="I116" s="3">
        <f t="shared" si="5"/>
        <v>7.27</v>
      </c>
    </row>
    <row r="117" spans="1:9" ht="16.5">
      <c r="A117" s="17"/>
      <c r="B117" s="7" t="s">
        <v>205</v>
      </c>
      <c r="C117" s="18"/>
      <c r="D117" s="18"/>
      <c r="E117" s="5">
        <f>269/1000</f>
        <v>0.26900000000000002</v>
      </c>
      <c r="F117" s="3">
        <v>1</v>
      </c>
      <c r="G117" s="3">
        <f t="shared" si="3"/>
        <v>3.7170000000000001</v>
      </c>
      <c r="H117" s="3">
        <f t="shared" si="4"/>
        <v>6.6909999999999998</v>
      </c>
      <c r="I117" s="3">
        <f t="shared" si="5"/>
        <v>7.27</v>
      </c>
    </row>
    <row r="118" spans="1:9" ht="16.5">
      <c r="A118" s="17"/>
      <c r="B118" s="7" t="s">
        <v>206</v>
      </c>
      <c r="C118" s="18"/>
      <c r="D118" s="18"/>
      <c r="E118" s="5">
        <f t="shared" ref="E118" si="7">231/1000</f>
        <v>0.23100000000000001</v>
      </c>
      <c r="F118" s="3">
        <v>1</v>
      </c>
      <c r="G118" s="3">
        <f t="shared" si="3"/>
        <v>4.3289999999999997</v>
      </c>
      <c r="H118" s="3">
        <f t="shared" si="4"/>
        <v>7.7919999999999998</v>
      </c>
      <c r="I118" s="3">
        <f t="shared" si="5"/>
        <v>8.468</v>
      </c>
    </row>
    <row r="119" spans="1:9" ht="82.5">
      <c r="A119" s="17"/>
      <c r="B119" s="7" t="s">
        <v>207</v>
      </c>
      <c r="C119" s="10" t="s">
        <v>208</v>
      </c>
      <c r="D119" s="10" t="s">
        <v>209</v>
      </c>
      <c r="E119" s="3">
        <f>1/8</f>
        <v>0.125</v>
      </c>
      <c r="F119" s="3">
        <v>1</v>
      </c>
      <c r="G119" s="3">
        <f t="shared" si="3"/>
        <v>8</v>
      </c>
      <c r="H119" s="3">
        <f t="shared" si="4"/>
        <v>14.4</v>
      </c>
      <c r="I119" s="3">
        <f t="shared" si="5"/>
        <v>15.648</v>
      </c>
    </row>
    <row r="120" spans="1:9" ht="66">
      <c r="A120" s="17"/>
      <c r="B120" s="7" t="s">
        <v>210</v>
      </c>
      <c r="C120" s="10" t="s">
        <v>211</v>
      </c>
      <c r="D120" s="10" t="s">
        <v>212</v>
      </c>
      <c r="E120" s="3">
        <f>1/4</f>
        <v>0.25</v>
      </c>
      <c r="F120" s="3">
        <v>1</v>
      </c>
      <c r="G120" s="3">
        <f t="shared" si="3"/>
        <v>4</v>
      </c>
      <c r="H120" s="3">
        <f t="shared" si="4"/>
        <v>7.2</v>
      </c>
      <c r="I120" s="3">
        <f t="shared" si="5"/>
        <v>7.8239999999999998</v>
      </c>
    </row>
    <row r="121" spans="1:9" ht="16.5">
      <c r="A121" s="17"/>
      <c r="B121" s="7" t="s">
        <v>213</v>
      </c>
      <c r="C121" s="18" t="s">
        <v>214</v>
      </c>
      <c r="D121" s="18" t="s">
        <v>215</v>
      </c>
      <c r="E121" s="3">
        <f>1/32</f>
        <v>3.125E-2</v>
      </c>
      <c r="F121" s="3">
        <v>1</v>
      </c>
      <c r="G121" s="3">
        <f t="shared" si="3"/>
        <v>32</v>
      </c>
      <c r="H121" s="3">
        <f t="shared" si="4"/>
        <v>57.6</v>
      </c>
      <c r="I121" s="3">
        <f t="shared" si="5"/>
        <v>62.591999999999999</v>
      </c>
    </row>
    <row r="122" spans="1:9" ht="16.5">
      <c r="A122" s="17"/>
      <c r="B122" s="7" t="s">
        <v>216</v>
      </c>
      <c r="C122" s="18"/>
      <c r="D122" s="18"/>
      <c r="E122" s="3">
        <f>5/32</f>
        <v>0.15625</v>
      </c>
      <c r="F122" s="3">
        <v>1</v>
      </c>
      <c r="G122" s="3">
        <f t="shared" si="3"/>
        <v>6.4</v>
      </c>
      <c r="H122" s="3">
        <f t="shared" si="4"/>
        <v>11.52</v>
      </c>
      <c r="I122" s="3">
        <f t="shared" si="5"/>
        <v>12.518000000000001</v>
      </c>
    </row>
    <row r="123" spans="1:9" ht="16.5">
      <c r="A123" s="17"/>
      <c r="B123" s="7" t="s">
        <v>217</v>
      </c>
      <c r="C123" s="18"/>
      <c r="D123" s="18"/>
      <c r="E123" s="3">
        <f>10/32</f>
        <v>0.3125</v>
      </c>
      <c r="F123" s="3">
        <v>1</v>
      </c>
      <c r="G123" s="3">
        <f t="shared" si="3"/>
        <v>3.2</v>
      </c>
      <c r="H123" s="3">
        <f t="shared" si="4"/>
        <v>5.76</v>
      </c>
      <c r="I123" s="3">
        <f t="shared" si="5"/>
        <v>6.2590000000000003</v>
      </c>
    </row>
    <row r="124" spans="1:9" ht="16.5">
      <c r="A124" s="17"/>
      <c r="B124" s="7" t="s">
        <v>218</v>
      </c>
      <c r="C124" s="18"/>
      <c r="D124" s="18"/>
      <c r="E124" s="3">
        <f>10/32</f>
        <v>0.3125</v>
      </c>
      <c r="F124" s="3">
        <v>1</v>
      </c>
      <c r="G124" s="3">
        <f t="shared" si="3"/>
        <v>3.2</v>
      </c>
      <c r="H124" s="3">
        <f t="shared" si="4"/>
        <v>5.76</v>
      </c>
      <c r="I124" s="3">
        <f t="shared" si="5"/>
        <v>6.2590000000000003</v>
      </c>
    </row>
    <row r="125" spans="1:9" ht="16.5">
      <c r="A125" s="17"/>
      <c r="B125" s="7" t="s">
        <v>219</v>
      </c>
      <c r="C125" s="18"/>
      <c r="D125" s="18"/>
      <c r="E125" s="3">
        <f>5/32</f>
        <v>0.15625</v>
      </c>
      <c r="F125" s="3">
        <v>1</v>
      </c>
      <c r="G125" s="3">
        <f t="shared" si="3"/>
        <v>6.4</v>
      </c>
      <c r="H125" s="3">
        <f t="shared" si="4"/>
        <v>11.52</v>
      </c>
      <c r="I125" s="3">
        <f t="shared" si="5"/>
        <v>12.518000000000001</v>
      </c>
    </row>
    <row r="126" spans="1:9" ht="16.5">
      <c r="A126" s="17"/>
      <c r="B126" s="7" t="s">
        <v>220</v>
      </c>
      <c r="C126" s="18"/>
      <c r="D126" s="18"/>
      <c r="E126" s="3">
        <f>1/32</f>
        <v>3.125E-2</v>
      </c>
      <c r="F126" s="3">
        <v>1</v>
      </c>
      <c r="G126" s="3">
        <f t="shared" si="3"/>
        <v>32</v>
      </c>
      <c r="H126" s="3">
        <f t="shared" si="4"/>
        <v>57.6</v>
      </c>
      <c r="I126" s="3">
        <f t="shared" si="5"/>
        <v>62.591999999999999</v>
      </c>
    </row>
    <row r="127" spans="1:9" ht="16.5">
      <c r="A127" s="17"/>
      <c r="B127" s="7" t="s">
        <v>221</v>
      </c>
      <c r="C127" s="18" t="s">
        <v>222</v>
      </c>
      <c r="D127" s="18" t="s">
        <v>223</v>
      </c>
      <c r="E127" s="3">
        <f>1/16</f>
        <v>6.25E-2</v>
      </c>
      <c r="F127" s="3">
        <v>1</v>
      </c>
      <c r="G127" s="3">
        <f t="shared" si="3"/>
        <v>16</v>
      </c>
      <c r="H127" s="3">
        <f t="shared" si="4"/>
        <v>28.8</v>
      </c>
      <c r="I127" s="3">
        <f t="shared" si="5"/>
        <v>31.295999999999999</v>
      </c>
    </row>
    <row r="128" spans="1:9" ht="16.5">
      <c r="A128" s="17"/>
      <c r="B128" s="7" t="s">
        <v>224</v>
      </c>
      <c r="C128" s="18"/>
      <c r="D128" s="18"/>
      <c r="E128" s="3">
        <f>4/16</f>
        <v>0.25</v>
      </c>
      <c r="F128" s="3">
        <v>1</v>
      </c>
      <c r="G128" s="3">
        <f t="shared" si="3"/>
        <v>4</v>
      </c>
      <c r="H128" s="3">
        <f t="shared" si="4"/>
        <v>7.2</v>
      </c>
      <c r="I128" s="3">
        <f t="shared" si="5"/>
        <v>7.8239999999999998</v>
      </c>
    </row>
    <row r="129" spans="1:9" ht="16.5">
      <c r="A129" s="17"/>
      <c r="B129" s="7" t="s">
        <v>225</v>
      </c>
      <c r="C129" s="18"/>
      <c r="D129" s="18"/>
      <c r="E129" s="5">
        <f>6/16</f>
        <v>0.375</v>
      </c>
      <c r="F129" s="3">
        <v>1</v>
      </c>
      <c r="G129" s="3">
        <f t="shared" si="3"/>
        <v>2.6669999999999998</v>
      </c>
      <c r="H129" s="3">
        <f t="shared" si="4"/>
        <v>4.8010000000000002</v>
      </c>
      <c r="I129" s="3">
        <f t="shared" si="5"/>
        <v>5.2169999999999996</v>
      </c>
    </row>
    <row r="130" spans="1:9" ht="16.5">
      <c r="A130" s="17"/>
      <c r="B130" s="7" t="s">
        <v>226</v>
      </c>
      <c r="C130" s="18"/>
      <c r="D130" s="18"/>
      <c r="E130" s="3">
        <f>4/16</f>
        <v>0.25</v>
      </c>
      <c r="F130" s="3">
        <v>1</v>
      </c>
      <c r="G130" s="3">
        <f t="shared" si="3"/>
        <v>4</v>
      </c>
      <c r="H130" s="3">
        <f t="shared" si="4"/>
        <v>7.2</v>
      </c>
      <c r="I130" s="3">
        <f t="shared" si="5"/>
        <v>7.8239999999999998</v>
      </c>
    </row>
    <row r="131" spans="1:9" ht="16.5">
      <c r="A131" s="17"/>
      <c r="B131" s="7" t="s">
        <v>227</v>
      </c>
      <c r="C131" s="18"/>
      <c r="D131" s="18"/>
      <c r="E131" s="3">
        <f>1/16</f>
        <v>6.25E-2</v>
      </c>
      <c r="F131" s="3">
        <v>1</v>
      </c>
      <c r="G131" s="3">
        <f t="shared" si="3"/>
        <v>16</v>
      </c>
      <c r="H131" s="3">
        <f t="shared" si="4"/>
        <v>28.8</v>
      </c>
      <c r="I131" s="3">
        <f t="shared" si="5"/>
        <v>31.295999999999999</v>
      </c>
    </row>
    <row r="132" spans="1:9" ht="16.5">
      <c r="A132" s="17"/>
      <c r="B132" s="7" t="s">
        <v>228</v>
      </c>
      <c r="C132" s="18" t="s">
        <v>229</v>
      </c>
      <c r="D132" s="18" t="s">
        <v>230</v>
      </c>
      <c r="E132" s="3">
        <f>1/8</f>
        <v>0.125</v>
      </c>
      <c r="F132" s="3">
        <v>1</v>
      </c>
      <c r="G132" s="3">
        <f t="shared" si="3"/>
        <v>8</v>
      </c>
      <c r="H132" s="3">
        <f t="shared" si="4"/>
        <v>14.4</v>
      </c>
      <c r="I132" s="3">
        <f t="shared" si="5"/>
        <v>15.648</v>
      </c>
    </row>
    <row r="133" spans="1:9" ht="16.5">
      <c r="A133" s="17"/>
      <c r="B133" s="7" t="s">
        <v>231</v>
      </c>
      <c r="C133" s="18"/>
      <c r="D133" s="18"/>
      <c r="E133" s="3">
        <f>3/8</f>
        <v>0.375</v>
      </c>
      <c r="F133" s="3">
        <v>1</v>
      </c>
      <c r="G133" s="3">
        <f t="shared" ref="G133:G196" si="8">ROUND( (1/E133)*F133,3)</f>
        <v>2.6669999999999998</v>
      </c>
      <c r="H133" s="3">
        <f t="shared" ref="H133:H196" si="9">ROUND( 2*G133*1800/2000,3)</f>
        <v>4.8010000000000002</v>
      </c>
      <c r="I133" s="3">
        <f t="shared" ref="I133:I196" si="10">ROUND( 2*G133*1956/2000,3)</f>
        <v>5.2169999999999996</v>
      </c>
    </row>
    <row r="134" spans="1:9" ht="16.5">
      <c r="A134" s="17"/>
      <c r="B134" s="7" t="s">
        <v>232</v>
      </c>
      <c r="C134" s="18"/>
      <c r="D134" s="18"/>
      <c r="E134" s="3">
        <f>3/8</f>
        <v>0.375</v>
      </c>
      <c r="F134" s="3">
        <v>1</v>
      </c>
      <c r="G134" s="3">
        <f t="shared" si="8"/>
        <v>2.6669999999999998</v>
      </c>
      <c r="H134" s="3">
        <f t="shared" si="9"/>
        <v>4.8010000000000002</v>
      </c>
      <c r="I134" s="3">
        <f t="shared" si="10"/>
        <v>5.2169999999999996</v>
      </c>
    </row>
    <row r="135" spans="1:9" ht="16.5">
      <c r="A135" s="17"/>
      <c r="B135" s="7" t="s">
        <v>233</v>
      </c>
      <c r="C135" s="18"/>
      <c r="D135" s="18"/>
      <c r="E135" s="3">
        <f>1/8</f>
        <v>0.125</v>
      </c>
      <c r="F135" s="3">
        <v>1</v>
      </c>
      <c r="G135" s="3">
        <f t="shared" si="8"/>
        <v>8</v>
      </c>
      <c r="H135" s="3">
        <f t="shared" si="9"/>
        <v>14.4</v>
      </c>
      <c r="I135" s="3">
        <f t="shared" si="10"/>
        <v>15.648</v>
      </c>
    </row>
    <row r="136" spans="1:9" ht="16.5">
      <c r="A136" s="17"/>
      <c r="B136" s="7" t="s">
        <v>234</v>
      </c>
      <c r="C136" s="18" t="s">
        <v>235</v>
      </c>
      <c r="D136" s="18" t="s">
        <v>236</v>
      </c>
      <c r="E136" s="3">
        <f>1/32</f>
        <v>3.125E-2</v>
      </c>
      <c r="F136" s="3">
        <v>1</v>
      </c>
      <c r="G136" s="3">
        <f t="shared" si="8"/>
        <v>32</v>
      </c>
      <c r="H136" s="3">
        <f t="shared" si="9"/>
        <v>57.6</v>
      </c>
      <c r="I136" s="3">
        <f t="shared" si="10"/>
        <v>62.591999999999999</v>
      </c>
    </row>
    <row r="137" spans="1:9" ht="16.5">
      <c r="A137" s="17"/>
      <c r="B137" s="7" t="s">
        <v>237</v>
      </c>
      <c r="C137" s="18"/>
      <c r="D137" s="18"/>
      <c r="E137" s="3">
        <f>5/32</f>
        <v>0.15625</v>
      </c>
      <c r="F137" s="3">
        <v>1</v>
      </c>
      <c r="G137" s="3">
        <f t="shared" si="8"/>
        <v>6.4</v>
      </c>
      <c r="H137" s="3">
        <f t="shared" si="9"/>
        <v>11.52</v>
      </c>
      <c r="I137" s="3">
        <f t="shared" si="10"/>
        <v>12.518000000000001</v>
      </c>
    </row>
    <row r="138" spans="1:9" ht="16.5">
      <c r="A138" s="17"/>
      <c r="B138" s="7" t="s">
        <v>238</v>
      </c>
      <c r="C138" s="18"/>
      <c r="D138" s="18"/>
      <c r="E138" s="3">
        <f>10/32</f>
        <v>0.3125</v>
      </c>
      <c r="F138" s="3">
        <v>1</v>
      </c>
      <c r="G138" s="3">
        <f t="shared" si="8"/>
        <v>3.2</v>
      </c>
      <c r="H138" s="3">
        <f t="shared" si="9"/>
        <v>5.76</v>
      </c>
      <c r="I138" s="3">
        <f t="shared" si="10"/>
        <v>6.2590000000000003</v>
      </c>
    </row>
    <row r="139" spans="1:9" ht="16.5">
      <c r="A139" s="17"/>
      <c r="B139" s="7" t="s">
        <v>239</v>
      </c>
      <c r="C139" s="18"/>
      <c r="D139" s="18"/>
      <c r="E139" s="3">
        <f>10/32</f>
        <v>0.3125</v>
      </c>
      <c r="F139" s="3">
        <v>1</v>
      </c>
      <c r="G139" s="3">
        <f t="shared" si="8"/>
        <v>3.2</v>
      </c>
      <c r="H139" s="3">
        <f t="shared" si="9"/>
        <v>5.76</v>
      </c>
      <c r="I139" s="3">
        <f t="shared" si="10"/>
        <v>6.2590000000000003</v>
      </c>
    </row>
    <row r="140" spans="1:9" ht="16.5">
      <c r="A140" s="17"/>
      <c r="B140" s="7" t="s">
        <v>240</v>
      </c>
      <c r="C140" s="18"/>
      <c r="D140" s="18"/>
      <c r="E140" s="3">
        <f>5/32</f>
        <v>0.15625</v>
      </c>
      <c r="F140" s="3">
        <v>1</v>
      </c>
      <c r="G140" s="3">
        <f t="shared" si="8"/>
        <v>6.4</v>
      </c>
      <c r="H140" s="3">
        <f t="shared" si="9"/>
        <v>11.52</v>
      </c>
      <c r="I140" s="3">
        <f t="shared" si="10"/>
        <v>12.518000000000001</v>
      </c>
    </row>
    <row r="141" spans="1:9" ht="16.5">
      <c r="A141" s="17"/>
      <c r="B141" s="7" t="s">
        <v>241</v>
      </c>
      <c r="C141" s="18"/>
      <c r="D141" s="18"/>
      <c r="E141" s="3">
        <f>1/32</f>
        <v>3.125E-2</v>
      </c>
      <c r="F141" s="3">
        <v>1</v>
      </c>
      <c r="G141" s="3">
        <f t="shared" si="8"/>
        <v>32</v>
      </c>
      <c r="H141" s="3">
        <f t="shared" si="9"/>
        <v>57.6</v>
      </c>
      <c r="I141" s="3">
        <f t="shared" si="10"/>
        <v>62.591999999999999</v>
      </c>
    </row>
    <row r="142" spans="1:9" ht="16.5">
      <c r="A142" s="17"/>
      <c r="B142" s="7" t="s">
        <v>242</v>
      </c>
      <c r="C142" s="18" t="s">
        <v>243</v>
      </c>
      <c r="D142" s="18" t="s">
        <v>244</v>
      </c>
      <c r="E142" s="3">
        <f>1/16</f>
        <v>6.25E-2</v>
      </c>
      <c r="F142" s="3">
        <v>1</v>
      </c>
      <c r="G142" s="3">
        <f t="shared" si="8"/>
        <v>16</v>
      </c>
      <c r="H142" s="3">
        <f t="shared" si="9"/>
        <v>28.8</v>
      </c>
      <c r="I142" s="3">
        <f t="shared" si="10"/>
        <v>31.295999999999999</v>
      </c>
    </row>
    <row r="143" spans="1:9" ht="16.5">
      <c r="A143" s="17"/>
      <c r="B143" s="7" t="s">
        <v>245</v>
      </c>
      <c r="C143" s="18"/>
      <c r="D143" s="18"/>
      <c r="E143" s="3">
        <f>4/16</f>
        <v>0.25</v>
      </c>
      <c r="F143" s="3">
        <v>1</v>
      </c>
      <c r="G143" s="3">
        <f t="shared" si="8"/>
        <v>4</v>
      </c>
      <c r="H143" s="3">
        <f t="shared" si="9"/>
        <v>7.2</v>
      </c>
      <c r="I143" s="3">
        <f t="shared" si="10"/>
        <v>7.8239999999999998</v>
      </c>
    </row>
    <row r="144" spans="1:9" ht="16.5">
      <c r="A144" s="17"/>
      <c r="B144" s="7" t="s">
        <v>246</v>
      </c>
      <c r="C144" s="18"/>
      <c r="D144" s="18"/>
      <c r="E144" s="3">
        <f>6/16</f>
        <v>0.375</v>
      </c>
      <c r="F144" s="3">
        <v>1</v>
      </c>
      <c r="G144" s="3">
        <f t="shared" si="8"/>
        <v>2.6669999999999998</v>
      </c>
      <c r="H144" s="3">
        <f t="shared" si="9"/>
        <v>4.8010000000000002</v>
      </c>
      <c r="I144" s="3">
        <f t="shared" si="10"/>
        <v>5.2169999999999996</v>
      </c>
    </row>
    <row r="145" spans="1:9" ht="16.5">
      <c r="A145" s="17"/>
      <c r="B145" s="7" t="s">
        <v>247</v>
      </c>
      <c r="C145" s="18"/>
      <c r="D145" s="18"/>
      <c r="E145" s="3">
        <f>4/16</f>
        <v>0.25</v>
      </c>
      <c r="F145" s="3">
        <v>1</v>
      </c>
      <c r="G145" s="3">
        <f t="shared" si="8"/>
        <v>4</v>
      </c>
      <c r="H145" s="3">
        <f t="shared" si="9"/>
        <v>7.2</v>
      </c>
      <c r="I145" s="3">
        <f t="shared" si="10"/>
        <v>7.8239999999999998</v>
      </c>
    </row>
    <row r="146" spans="1:9" ht="16.5">
      <c r="A146" s="17"/>
      <c r="B146" s="7" t="s">
        <v>248</v>
      </c>
      <c r="C146" s="18"/>
      <c r="D146" s="18"/>
      <c r="E146" s="3">
        <f t="shared" ref="E146" si="11">1/16</f>
        <v>6.25E-2</v>
      </c>
      <c r="F146" s="3">
        <v>1</v>
      </c>
      <c r="G146" s="3">
        <f t="shared" si="8"/>
        <v>16</v>
      </c>
      <c r="H146" s="3">
        <f t="shared" si="9"/>
        <v>28.8</v>
      </c>
      <c r="I146" s="3">
        <f t="shared" si="10"/>
        <v>31.295999999999999</v>
      </c>
    </row>
    <row r="147" spans="1:9" ht="16.5">
      <c r="A147" s="17"/>
      <c r="B147" s="7" t="s">
        <v>249</v>
      </c>
      <c r="C147" s="18" t="s">
        <v>250</v>
      </c>
      <c r="D147" s="18" t="s">
        <v>251</v>
      </c>
      <c r="E147" s="3">
        <f>1/8</f>
        <v>0.125</v>
      </c>
      <c r="F147" s="3">
        <v>1</v>
      </c>
      <c r="G147" s="3">
        <f t="shared" si="8"/>
        <v>8</v>
      </c>
      <c r="H147" s="3">
        <f t="shared" si="9"/>
        <v>14.4</v>
      </c>
      <c r="I147" s="3">
        <f t="shared" si="10"/>
        <v>15.648</v>
      </c>
    </row>
    <row r="148" spans="1:9" ht="16.5">
      <c r="A148" s="17"/>
      <c r="B148" s="7" t="s">
        <v>252</v>
      </c>
      <c r="C148" s="18"/>
      <c r="D148" s="18"/>
      <c r="E148" s="3">
        <f>3/8</f>
        <v>0.375</v>
      </c>
      <c r="F148" s="3">
        <v>1</v>
      </c>
      <c r="G148" s="3">
        <f t="shared" si="8"/>
        <v>2.6669999999999998</v>
      </c>
      <c r="H148" s="3">
        <f t="shared" si="9"/>
        <v>4.8010000000000002</v>
      </c>
      <c r="I148" s="3">
        <f t="shared" si="10"/>
        <v>5.2169999999999996</v>
      </c>
    </row>
    <row r="149" spans="1:9" ht="16.5">
      <c r="A149" s="17"/>
      <c r="B149" s="7" t="s">
        <v>253</v>
      </c>
      <c r="C149" s="18"/>
      <c r="D149" s="18"/>
      <c r="E149" s="3">
        <f>3/8</f>
        <v>0.375</v>
      </c>
      <c r="F149" s="3">
        <v>1</v>
      </c>
      <c r="G149" s="3">
        <f t="shared" si="8"/>
        <v>2.6669999999999998</v>
      </c>
      <c r="H149" s="3">
        <f t="shared" si="9"/>
        <v>4.8010000000000002</v>
      </c>
      <c r="I149" s="3">
        <f t="shared" si="10"/>
        <v>5.2169999999999996</v>
      </c>
    </row>
    <row r="150" spans="1:9" ht="16.5">
      <c r="A150" s="17"/>
      <c r="B150" s="7" t="s">
        <v>254</v>
      </c>
      <c r="C150" s="18"/>
      <c r="D150" s="18"/>
      <c r="E150" s="3">
        <f>1/8</f>
        <v>0.125</v>
      </c>
      <c r="F150" s="3">
        <v>1</v>
      </c>
      <c r="G150" s="3">
        <f t="shared" si="8"/>
        <v>8</v>
      </c>
      <c r="H150" s="3">
        <f t="shared" si="9"/>
        <v>14.4</v>
      </c>
      <c r="I150" s="3">
        <f t="shared" si="10"/>
        <v>15.648</v>
      </c>
    </row>
    <row r="151" spans="1:9" ht="19.5" customHeight="1">
      <c r="A151" s="17" t="s">
        <v>255</v>
      </c>
      <c r="B151" s="7" t="s">
        <v>256</v>
      </c>
      <c r="C151" s="18" t="s">
        <v>257</v>
      </c>
      <c r="D151" s="18" t="s">
        <v>258</v>
      </c>
      <c r="E151" s="3">
        <f>35649/100000</f>
        <v>0.35648999999999997</v>
      </c>
      <c r="F151" s="3">
        <v>1</v>
      </c>
      <c r="G151" s="3">
        <f t="shared" si="8"/>
        <v>2.8050000000000002</v>
      </c>
      <c r="H151" s="3">
        <f t="shared" si="9"/>
        <v>5.0490000000000004</v>
      </c>
      <c r="I151" s="3">
        <f t="shared" si="10"/>
        <v>5.4870000000000001</v>
      </c>
    </row>
    <row r="152" spans="1:9" ht="19.5" customHeight="1">
      <c r="A152" s="17"/>
      <c r="B152" s="7" t="s">
        <v>259</v>
      </c>
      <c r="C152" s="18"/>
      <c r="D152" s="18"/>
      <c r="E152" s="3">
        <f>6375/100000</f>
        <v>6.3750000000000001E-2</v>
      </c>
      <c r="F152" s="3">
        <v>1</v>
      </c>
      <c r="G152" s="3">
        <f t="shared" si="8"/>
        <v>15.686</v>
      </c>
      <c r="H152" s="3">
        <f t="shared" si="9"/>
        <v>28.234999999999999</v>
      </c>
      <c r="I152" s="3">
        <f t="shared" si="10"/>
        <v>30.681999999999999</v>
      </c>
    </row>
    <row r="153" spans="1:9" ht="19.5" customHeight="1">
      <c r="A153" s="17"/>
      <c r="B153" s="7" t="s">
        <v>260</v>
      </c>
      <c r="C153" s="18"/>
      <c r="D153" s="18"/>
      <c r="E153" s="3">
        <f>6505/100000</f>
        <v>6.5049999999999997E-2</v>
      </c>
      <c r="F153" s="3">
        <v>1</v>
      </c>
      <c r="G153" s="3">
        <f t="shared" si="8"/>
        <v>15.372999999999999</v>
      </c>
      <c r="H153" s="3">
        <f t="shared" si="9"/>
        <v>27.670999999999999</v>
      </c>
      <c r="I153" s="3">
        <f t="shared" si="10"/>
        <v>30.07</v>
      </c>
    </row>
    <row r="154" spans="1:9" ht="19.5" customHeight="1">
      <c r="A154" s="17"/>
      <c r="B154" s="7" t="s">
        <v>261</v>
      </c>
      <c r="C154" s="18"/>
      <c r="D154" s="18"/>
      <c r="E154" s="3">
        <f>6375/100000</f>
        <v>6.3750000000000001E-2</v>
      </c>
      <c r="F154" s="3">
        <v>1</v>
      </c>
      <c r="G154" s="3">
        <f t="shared" si="8"/>
        <v>15.686</v>
      </c>
      <c r="H154" s="3">
        <f t="shared" si="9"/>
        <v>28.234999999999999</v>
      </c>
      <c r="I154" s="3">
        <f t="shared" si="10"/>
        <v>30.681999999999999</v>
      </c>
    </row>
    <row r="155" spans="1:9" ht="19.5" customHeight="1">
      <c r="A155" s="17"/>
      <c r="B155" s="7" t="s">
        <v>262</v>
      </c>
      <c r="C155" s="18"/>
      <c r="D155" s="18"/>
      <c r="E155" s="3">
        <f>6505/100000</f>
        <v>6.5049999999999997E-2</v>
      </c>
      <c r="F155" s="3">
        <v>1</v>
      </c>
      <c r="G155" s="3">
        <f t="shared" si="8"/>
        <v>15.372999999999999</v>
      </c>
      <c r="H155" s="3">
        <f t="shared" si="9"/>
        <v>27.670999999999999</v>
      </c>
      <c r="I155" s="3">
        <f t="shared" si="10"/>
        <v>30.07</v>
      </c>
    </row>
    <row r="156" spans="1:9" ht="19.5" customHeight="1">
      <c r="A156" s="17"/>
      <c r="B156" s="7" t="s">
        <v>263</v>
      </c>
      <c r="C156" s="18"/>
      <c r="D156" s="18"/>
      <c r="E156" s="3">
        <f>6375/100000</f>
        <v>6.3750000000000001E-2</v>
      </c>
      <c r="F156" s="3">
        <v>1</v>
      </c>
      <c r="G156" s="3">
        <f t="shared" si="8"/>
        <v>15.686</v>
      </c>
      <c r="H156" s="3">
        <f t="shared" si="9"/>
        <v>28.234999999999999</v>
      </c>
      <c r="I156" s="3">
        <f t="shared" si="10"/>
        <v>30.681999999999999</v>
      </c>
    </row>
    <row r="157" spans="1:9" ht="19.5" customHeight="1">
      <c r="A157" s="17"/>
      <c r="B157" s="7" t="s">
        <v>264</v>
      </c>
      <c r="C157" s="18"/>
      <c r="D157" s="18"/>
      <c r="E157" s="3">
        <f>6505/100000</f>
        <v>6.5049999999999997E-2</v>
      </c>
      <c r="F157" s="3">
        <v>1</v>
      </c>
      <c r="G157" s="3">
        <f t="shared" si="8"/>
        <v>15.372999999999999</v>
      </c>
      <c r="H157" s="3">
        <f t="shared" si="9"/>
        <v>27.670999999999999</v>
      </c>
      <c r="I157" s="3">
        <f t="shared" si="10"/>
        <v>30.07</v>
      </c>
    </row>
    <row r="158" spans="1:9" ht="19.5" customHeight="1">
      <c r="A158" s="17"/>
      <c r="B158" s="7" t="s">
        <v>265</v>
      </c>
      <c r="C158" s="18"/>
      <c r="D158" s="18"/>
      <c r="E158" s="3">
        <f>6375/100000</f>
        <v>6.3750000000000001E-2</v>
      </c>
      <c r="F158" s="3">
        <v>1</v>
      </c>
      <c r="G158" s="3">
        <f t="shared" si="8"/>
        <v>15.686</v>
      </c>
      <c r="H158" s="3">
        <f t="shared" si="9"/>
        <v>28.234999999999999</v>
      </c>
      <c r="I158" s="3">
        <f t="shared" si="10"/>
        <v>30.681999999999999</v>
      </c>
    </row>
    <row r="159" spans="1:9" ht="19.5" customHeight="1">
      <c r="A159" s="17"/>
      <c r="B159" s="7" t="s">
        <v>266</v>
      </c>
      <c r="C159" s="18"/>
      <c r="D159" s="18"/>
      <c r="E159" s="3">
        <f>6505/100000</f>
        <v>6.5049999999999997E-2</v>
      </c>
      <c r="F159" s="3">
        <v>1</v>
      </c>
      <c r="G159" s="3">
        <f t="shared" si="8"/>
        <v>15.372999999999999</v>
      </c>
      <c r="H159" s="3">
        <f t="shared" si="9"/>
        <v>27.670999999999999</v>
      </c>
      <c r="I159" s="3">
        <f t="shared" si="10"/>
        <v>30.07</v>
      </c>
    </row>
    <row r="160" spans="1:9" ht="19.5" customHeight="1">
      <c r="A160" s="17"/>
      <c r="B160" s="7" t="s">
        <v>267</v>
      </c>
      <c r="C160" s="18"/>
      <c r="D160" s="18"/>
      <c r="E160" s="3">
        <f>6375/100000</f>
        <v>6.3750000000000001E-2</v>
      </c>
      <c r="F160" s="3">
        <v>1</v>
      </c>
      <c r="G160" s="3">
        <f t="shared" si="8"/>
        <v>15.686</v>
      </c>
      <c r="H160" s="3">
        <f t="shared" si="9"/>
        <v>28.234999999999999</v>
      </c>
      <c r="I160" s="3">
        <f t="shared" si="10"/>
        <v>30.681999999999999</v>
      </c>
    </row>
    <row r="161" spans="1:9" ht="19.5" customHeight="1">
      <c r="A161" s="17"/>
      <c r="B161" s="7" t="s">
        <v>255</v>
      </c>
      <c r="C161" s="18"/>
      <c r="D161" s="18"/>
      <c r="E161" s="3">
        <f>6456/100000</f>
        <v>6.4560000000000006E-2</v>
      </c>
      <c r="F161" s="3">
        <v>1</v>
      </c>
      <c r="G161" s="3">
        <f t="shared" si="8"/>
        <v>15.489000000000001</v>
      </c>
      <c r="H161" s="3">
        <f t="shared" si="9"/>
        <v>27.88</v>
      </c>
      <c r="I161" s="3">
        <f t="shared" si="10"/>
        <v>30.295999999999999</v>
      </c>
    </row>
    <row r="162" spans="1:9" ht="19.5" customHeight="1">
      <c r="A162" s="17"/>
      <c r="B162" s="7" t="s">
        <v>268</v>
      </c>
      <c r="C162" s="18"/>
      <c r="D162" s="18"/>
      <c r="E162" s="3">
        <f>E157+E158+E159+E160+E161</f>
        <v>0.32216</v>
      </c>
      <c r="F162" s="3">
        <v>1</v>
      </c>
      <c r="G162" s="3">
        <f t="shared" si="8"/>
        <v>3.1040000000000001</v>
      </c>
      <c r="H162" s="3">
        <f t="shared" si="9"/>
        <v>5.5869999999999997</v>
      </c>
      <c r="I162" s="3">
        <f t="shared" si="10"/>
        <v>6.0709999999999997</v>
      </c>
    </row>
    <row r="163" spans="1:9" ht="19.5" customHeight="1">
      <c r="A163" s="17"/>
      <c r="B163" s="7" t="s">
        <v>269</v>
      </c>
      <c r="C163" s="18"/>
      <c r="D163" s="18"/>
      <c r="E163" s="3">
        <f>E152+E153+E154+E155+E156</f>
        <v>0.32135000000000002</v>
      </c>
      <c r="F163" s="3">
        <v>1</v>
      </c>
      <c r="G163" s="3">
        <f t="shared" si="8"/>
        <v>3.1120000000000001</v>
      </c>
      <c r="H163" s="3">
        <f t="shared" si="9"/>
        <v>5.6020000000000003</v>
      </c>
      <c r="I163" s="3">
        <f t="shared" si="10"/>
        <v>6.0869999999999997</v>
      </c>
    </row>
    <row r="164" spans="1:9" ht="19.5" customHeight="1">
      <c r="A164" s="17"/>
      <c r="B164" s="7" t="s">
        <v>270</v>
      </c>
      <c r="C164" s="18"/>
      <c r="D164" s="18"/>
      <c r="E164" s="3">
        <f>E152+E154+E156+E158+E160</f>
        <v>0.31874999999999998</v>
      </c>
      <c r="F164" s="3">
        <v>1</v>
      </c>
      <c r="G164" s="3">
        <f t="shared" si="8"/>
        <v>3.137</v>
      </c>
      <c r="H164" s="3">
        <f t="shared" si="9"/>
        <v>5.6470000000000002</v>
      </c>
      <c r="I164" s="3">
        <f t="shared" si="10"/>
        <v>6.1360000000000001</v>
      </c>
    </row>
    <row r="165" spans="1:9" ht="19.5" customHeight="1">
      <c r="A165" s="17"/>
      <c r="B165" s="7" t="s">
        <v>271</v>
      </c>
      <c r="C165" s="18"/>
      <c r="D165" s="18"/>
      <c r="E165" s="3">
        <f>E153+E155+E157+E159+E161</f>
        <v>0.32475999999999999</v>
      </c>
      <c r="F165" s="3">
        <v>1</v>
      </c>
      <c r="G165" s="3">
        <f t="shared" si="8"/>
        <v>3.0790000000000002</v>
      </c>
      <c r="H165" s="3">
        <f t="shared" si="9"/>
        <v>5.5419999999999998</v>
      </c>
      <c r="I165" s="3">
        <f t="shared" si="10"/>
        <v>6.0229999999999997</v>
      </c>
    </row>
    <row r="166" spans="1:9" ht="19.5" customHeight="1">
      <c r="A166" s="17"/>
      <c r="B166" s="7" t="s">
        <v>272</v>
      </c>
      <c r="C166" s="18"/>
      <c r="D166" s="18"/>
      <c r="E166" s="3">
        <f>E152+E153+E154+E156+E158</f>
        <v>0.32004999999999995</v>
      </c>
      <c r="F166" s="3">
        <v>1</v>
      </c>
      <c r="G166" s="3">
        <f t="shared" si="8"/>
        <v>3.125</v>
      </c>
      <c r="H166" s="3">
        <f t="shared" si="9"/>
        <v>5.625</v>
      </c>
      <c r="I166" s="3">
        <f t="shared" si="10"/>
        <v>6.1130000000000004</v>
      </c>
    </row>
    <row r="167" spans="1:9" ht="19.5" customHeight="1">
      <c r="A167" s="17"/>
      <c r="B167" s="7" t="s">
        <v>273</v>
      </c>
      <c r="C167" s="18"/>
      <c r="D167" s="18"/>
      <c r="E167" s="3">
        <f>E155+E157+E159+E160+E161</f>
        <v>0.32346000000000003</v>
      </c>
      <c r="F167" s="3">
        <v>1</v>
      </c>
      <c r="G167" s="3">
        <f t="shared" si="8"/>
        <v>3.0920000000000001</v>
      </c>
      <c r="H167" s="3">
        <f t="shared" si="9"/>
        <v>5.5659999999999998</v>
      </c>
      <c r="I167" s="3">
        <f t="shared" si="10"/>
        <v>6.048</v>
      </c>
    </row>
    <row r="168" spans="1:9" ht="16.5">
      <c r="A168" s="17" t="s">
        <v>274</v>
      </c>
      <c r="B168" s="7" t="s">
        <v>275</v>
      </c>
      <c r="C168" s="18" t="s">
        <v>276</v>
      </c>
      <c r="D168" s="18" t="s">
        <v>277</v>
      </c>
      <c r="E168" s="3">
        <f>10/100000</f>
        <v>1E-4</v>
      </c>
      <c r="F168" s="3">
        <v>1</v>
      </c>
      <c r="G168" s="3">
        <f t="shared" si="8"/>
        <v>10000</v>
      </c>
      <c r="H168" s="3">
        <f t="shared" si="9"/>
        <v>18000</v>
      </c>
      <c r="I168" s="3">
        <f t="shared" si="10"/>
        <v>19560</v>
      </c>
    </row>
    <row r="169" spans="1:9" ht="16.5">
      <c r="A169" s="17"/>
      <c r="B169" s="7" t="s">
        <v>278</v>
      </c>
      <c r="C169" s="18"/>
      <c r="D169" s="18"/>
      <c r="E169" s="3">
        <f>450/100000</f>
        <v>4.4999999999999997E-3</v>
      </c>
      <c r="F169" s="3">
        <v>1</v>
      </c>
      <c r="G169" s="3">
        <f t="shared" si="8"/>
        <v>222.22200000000001</v>
      </c>
      <c r="H169" s="3">
        <f t="shared" si="9"/>
        <v>400</v>
      </c>
      <c r="I169" s="3">
        <f t="shared" si="10"/>
        <v>434.666</v>
      </c>
    </row>
    <row r="170" spans="1:9" ht="16.5">
      <c r="A170" s="17"/>
      <c r="B170" s="7" t="s">
        <v>279</v>
      </c>
      <c r="C170" s="18"/>
      <c r="D170" s="18"/>
      <c r="E170" s="5">
        <f>900/100000</f>
        <v>8.9999999999999993E-3</v>
      </c>
      <c r="F170" s="3">
        <v>1</v>
      </c>
      <c r="G170" s="3">
        <f t="shared" si="8"/>
        <v>111.111</v>
      </c>
      <c r="H170" s="3">
        <f t="shared" si="9"/>
        <v>200</v>
      </c>
      <c r="I170" s="3">
        <f t="shared" si="10"/>
        <v>217.333</v>
      </c>
    </row>
    <row r="171" spans="1:9" ht="16.5">
      <c r="A171" s="17"/>
      <c r="B171" s="7" t="s">
        <v>280</v>
      </c>
      <c r="C171" s="18"/>
      <c r="D171" s="18"/>
      <c r="E171" s="5">
        <f>1200/100000</f>
        <v>1.2E-2</v>
      </c>
      <c r="F171" s="3">
        <v>1</v>
      </c>
      <c r="G171" s="3">
        <f t="shared" si="8"/>
        <v>83.332999999999998</v>
      </c>
      <c r="H171" s="3">
        <f t="shared" si="9"/>
        <v>149.999</v>
      </c>
      <c r="I171" s="3">
        <f t="shared" si="10"/>
        <v>162.999</v>
      </c>
    </row>
    <row r="172" spans="1:9" ht="16.5">
      <c r="A172" s="17"/>
      <c r="B172" s="7" t="s">
        <v>281</v>
      </c>
      <c r="C172" s="18"/>
      <c r="D172" s="18"/>
      <c r="E172" s="5">
        <f>7200/100000</f>
        <v>7.1999999999999995E-2</v>
      </c>
      <c r="F172" s="3">
        <v>1</v>
      </c>
      <c r="G172" s="3">
        <f t="shared" si="8"/>
        <v>13.888999999999999</v>
      </c>
      <c r="H172" s="3">
        <f t="shared" si="9"/>
        <v>25</v>
      </c>
      <c r="I172" s="3">
        <f t="shared" si="10"/>
        <v>27.167000000000002</v>
      </c>
    </row>
    <row r="173" spans="1:9" ht="16.5">
      <c r="A173" s="17"/>
      <c r="B173" s="7" t="s">
        <v>282</v>
      </c>
      <c r="C173" s="18"/>
      <c r="D173" s="18"/>
      <c r="E173" s="5">
        <f>10800/100000</f>
        <v>0.108</v>
      </c>
      <c r="F173" s="3">
        <v>1</v>
      </c>
      <c r="G173" s="3">
        <f t="shared" si="8"/>
        <v>9.2590000000000003</v>
      </c>
      <c r="H173" s="3">
        <f t="shared" si="9"/>
        <v>16.666</v>
      </c>
      <c r="I173" s="3">
        <f t="shared" si="10"/>
        <v>18.111000000000001</v>
      </c>
    </row>
    <row r="174" spans="1:9" ht="16.5">
      <c r="A174" s="17"/>
      <c r="B174" s="7" t="s">
        <v>283</v>
      </c>
      <c r="C174" s="18"/>
      <c r="D174" s="18"/>
      <c r="E174" s="5">
        <f>50400/100000</f>
        <v>0.504</v>
      </c>
      <c r="F174" s="3">
        <v>1</v>
      </c>
      <c r="G174" s="3">
        <f t="shared" si="8"/>
        <v>1.984</v>
      </c>
      <c r="H174" s="3">
        <f t="shared" si="9"/>
        <v>3.5710000000000002</v>
      </c>
      <c r="I174" s="3">
        <f t="shared" si="10"/>
        <v>3.8809999999999998</v>
      </c>
    </row>
    <row r="175" spans="1:9" ht="16.5">
      <c r="A175" s="17"/>
      <c r="B175" s="7" t="s">
        <v>284</v>
      </c>
      <c r="C175" s="18"/>
      <c r="D175" s="18"/>
      <c r="E175" s="3">
        <f>29040/100000</f>
        <v>0.29039999999999999</v>
      </c>
      <c r="F175" s="3">
        <v>1</v>
      </c>
      <c r="G175" s="3">
        <f t="shared" si="8"/>
        <v>3.444</v>
      </c>
      <c r="H175" s="3">
        <f t="shared" si="9"/>
        <v>6.1989999999999998</v>
      </c>
      <c r="I175" s="3">
        <f t="shared" si="10"/>
        <v>6.7359999999999998</v>
      </c>
    </row>
    <row r="176" spans="1:9" ht="49.5">
      <c r="A176" s="17" t="s">
        <v>285</v>
      </c>
      <c r="B176" s="7" t="s">
        <v>286</v>
      </c>
      <c r="C176" s="10" t="s">
        <v>287</v>
      </c>
      <c r="D176" s="10" t="s">
        <v>288</v>
      </c>
      <c r="E176" s="5">
        <f>40951/100000</f>
        <v>0.40950999999999999</v>
      </c>
      <c r="F176" s="3">
        <v>1</v>
      </c>
      <c r="G176" s="3">
        <f t="shared" si="8"/>
        <v>2.4420000000000002</v>
      </c>
      <c r="H176" s="3">
        <f t="shared" si="9"/>
        <v>4.3959999999999999</v>
      </c>
      <c r="I176" s="3">
        <f t="shared" si="10"/>
        <v>4.7770000000000001</v>
      </c>
    </row>
    <row r="177" spans="1:9" ht="49.5">
      <c r="A177" s="17"/>
      <c r="B177" s="7" t="s">
        <v>289</v>
      </c>
      <c r="C177" s="10" t="s">
        <v>290</v>
      </c>
      <c r="D177" s="10" t="s">
        <v>291</v>
      </c>
      <c r="E177" s="5">
        <f>8146/100000</f>
        <v>8.1460000000000005E-2</v>
      </c>
      <c r="F177" s="3">
        <v>1</v>
      </c>
      <c r="G177" s="3">
        <f t="shared" si="8"/>
        <v>12.276</v>
      </c>
      <c r="H177" s="3">
        <f t="shared" si="9"/>
        <v>22.097000000000001</v>
      </c>
      <c r="I177" s="3">
        <f t="shared" si="10"/>
        <v>24.012</v>
      </c>
    </row>
    <row r="178" spans="1:9" ht="49.5">
      <c r="A178" s="17"/>
      <c r="B178" s="7" t="s">
        <v>292</v>
      </c>
      <c r="C178" s="10" t="s">
        <v>293</v>
      </c>
      <c r="D178" s="10" t="s">
        <v>294</v>
      </c>
      <c r="E178" s="5">
        <f>856/100000</f>
        <v>8.5599999999999999E-3</v>
      </c>
      <c r="F178" s="3">
        <v>1</v>
      </c>
      <c r="G178" s="3">
        <f t="shared" si="8"/>
        <v>116.822</v>
      </c>
      <c r="H178" s="3">
        <f t="shared" si="9"/>
        <v>210.28</v>
      </c>
      <c r="I178" s="3">
        <f t="shared" si="10"/>
        <v>228.50399999999999</v>
      </c>
    </row>
    <row r="179" spans="1:9" ht="49.5">
      <c r="A179" s="17"/>
      <c r="B179" s="7" t="s">
        <v>295</v>
      </c>
      <c r="C179" s="10" t="s">
        <v>296</v>
      </c>
      <c r="D179" s="10" t="s">
        <v>297</v>
      </c>
      <c r="E179" s="5">
        <f>46/100000</f>
        <v>4.6000000000000001E-4</v>
      </c>
      <c r="F179" s="3">
        <v>1</v>
      </c>
      <c r="G179" s="3">
        <f t="shared" si="8"/>
        <v>2173.913</v>
      </c>
      <c r="H179" s="3">
        <f t="shared" si="9"/>
        <v>3913.0430000000001</v>
      </c>
      <c r="I179" s="3">
        <f t="shared" si="10"/>
        <v>4252.174</v>
      </c>
    </row>
    <row r="180" spans="1:9" ht="16.5">
      <c r="A180" s="14" t="s">
        <v>298</v>
      </c>
      <c r="B180" s="8" t="s">
        <v>299</v>
      </c>
      <c r="C180" s="16" t="s">
        <v>300</v>
      </c>
      <c r="D180" s="16" t="s">
        <v>301</v>
      </c>
      <c r="E180" s="5">
        <f>10/100</f>
        <v>0.1</v>
      </c>
      <c r="F180" s="3">
        <v>10</v>
      </c>
      <c r="G180" s="3">
        <f t="shared" si="8"/>
        <v>100</v>
      </c>
      <c r="H180" s="3">
        <f t="shared" si="9"/>
        <v>180</v>
      </c>
      <c r="I180" s="3">
        <f t="shared" si="10"/>
        <v>195.6</v>
      </c>
    </row>
    <row r="181" spans="1:9" ht="16.5">
      <c r="A181" s="14"/>
      <c r="B181" s="8" t="s">
        <v>302</v>
      </c>
      <c r="C181" s="16"/>
      <c r="D181" s="16"/>
      <c r="E181" s="5">
        <f>18/100</f>
        <v>0.18</v>
      </c>
      <c r="F181" s="3">
        <v>18</v>
      </c>
      <c r="G181" s="3">
        <f t="shared" si="8"/>
        <v>100</v>
      </c>
      <c r="H181" s="3">
        <f t="shared" si="9"/>
        <v>180</v>
      </c>
      <c r="I181" s="3">
        <f t="shared" si="10"/>
        <v>195.6</v>
      </c>
    </row>
    <row r="182" spans="1:9" ht="16.5">
      <c r="A182" s="14"/>
      <c r="B182" s="8" t="s">
        <v>303</v>
      </c>
      <c r="C182" s="16"/>
      <c r="D182" s="16"/>
      <c r="E182" s="5">
        <f>16/100</f>
        <v>0.16</v>
      </c>
      <c r="F182" s="3">
        <v>16</v>
      </c>
      <c r="G182" s="3">
        <f t="shared" si="8"/>
        <v>100</v>
      </c>
      <c r="H182" s="3">
        <f t="shared" si="9"/>
        <v>180</v>
      </c>
      <c r="I182" s="3">
        <f t="shared" si="10"/>
        <v>195.6</v>
      </c>
    </row>
    <row r="183" spans="1:9" ht="16.5">
      <c r="A183" s="14"/>
      <c r="B183" s="8" t="s">
        <v>304</v>
      </c>
      <c r="C183" s="16"/>
      <c r="D183" s="16"/>
      <c r="E183" s="5">
        <f>14/100</f>
        <v>0.14000000000000001</v>
      </c>
      <c r="F183" s="3">
        <v>14</v>
      </c>
      <c r="G183" s="3">
        <f t="shared" si="8"/>
        <v>100</v>
      </c>
      <c r="H183" s="3">
        <f t="shared" si="9"/>
        <v>180</v>
      </c>
      <c r="I183" s="3">
        <f t="shared" si="10"/>
        <v>195.6</v>
      </c>
    </row>
    <row r="184" spans="1:9" ht="16.5">
      <c r="A184" s="14"/>
      <c r="B184" s="8" t="s">
        <v>305</v>
      </c>
      <c r="C184" s="16"/>
      <c r="D184" s="16"/>
      <c r="E184" s="5">
        <f>12/100</f>
        <v>0.12</v>
      </c>
      <c r="F184" s="3">
        <v>12</v>
      </c>
      <c r="G184" s="3">
        <f t="shared" si="8"/>
        <v>100</v>
      </c>
      <c r="H184" s="3">
        <f t="shared" si="9"/>
        <v>180</v>
      </c>
      <c r="I184" s="3">
        <f t="shared" si="10"/>
        <v>195.6</v>
      </c>
    </row>
    <row r="185" spans="1:9" ht="16.5">
      <c r="A185" s="14"/>
      <c r="B185" s="8" t="s">
        <v>306</v>
      </c>
      <c r="C185" s="16"/>
      <c r="D185" s="16"/>
      <c r="E185" s="5">
        <f>10/100</f>
        <v>0.1</v>
      </c>
      <c r="F185" s="3">
        <v>10</v>
      </c>
      <c r="G185" s="3">
        <f t="shared" si="8"/>
        <v>100</v>
      </c>
      <c r="H185" s="3">
        <f t="shared" si="9"/>
        <v>180</v>
      </c>
      <c r="I185" s="3">
        <f t="shared" si="10"/>
        <v>195.6</v>
      </c>
    </row>
    <row r="186" spans="1:9" ht="16.5">
      <c r="A186" s="14"/>
      <c r="B186" s="8" t="s">
        <v>307</v>
      </c>
      <c r="C186" s="16"/>
      <c r="D186" s="16"/>
      <c r="E186" s="5">
        <f>8/100</f>
        <v>0.08</v>
      </c>
      <c r="F186" s="3">
        <v>8</v>
      </c>
      <c r="G186" s="3">
        <f t="shared" si="8"/>
        <v>100</v>
      </c>
      <c r="H186" s="3">
        <f t="shared" si="9"/>
        <v>180</v>
      </c>
      <c r="I186" s="3">
        <f t="shared" si="10"/>
        <v>195.6</v>
      </c>
    </row>
    <row r="187" spans="1:9" ht="16.5">
      <c r="A187" s="14"/>
      <c r="B187" s="8" t="s">
        <v>308</v>
      </c>
      <c r="C187" s="16"/>
      <c r="D187" s="16"/>
      <c r="E187" s="5">
        <f>6/100</f>
        <v>0.06</v>
      </c>
      <c r="F187" s="3">
        <v>6</v>
      </c>
      <c r="G187" s="3">
        <f t="shared" si="8"/>
        <v>100</v>
      </c>
      <c r="H187" s="3">
        <f t="shared" si="9"/>
        <v>180</v>
      </c>
      <c r="I187" s="3">
        <f t="shared" si="10"/>
        <v>195.6</v>
      </c>
    </row>
    <row r="188" spans="1:9" ht="16.5">
      <c r="A188" s="14"/>
      <c r="B188" s="8" t="s">
        <v>309</v>
      </c>
      <c r="C188" s="16"/>
      <c r="D188" s="16"/>
      <c r="E188" s="5">
        <f>4/100</f>
        <v>0.04</v>
      </c>
      <c r="F188" s="3">
        <v>4</v>
      </c>
      <c r="G188" s="3">
        <f t="shared" si="8"/>
        <v>100</v>
      </c>
      <c r="H188" s="3">
        <f t="shared" si="9"/>
        <v>180</v>
      </c>
      <c r="I188" s="3">
        <f t="shared" si="10"/>
        <v>195.6</v>
      </c>
    </row>
    <row r="189" spans="1:9" ht="16.5">
      <c r="A189" s="14"/>
      <c r="B189" s="8" t="s">
        <v>310</v>
      </c>
      <c r="C189" s="16"/>
      <c r="D189" s="16"/>
      <c r="E189" s="5">
        <f>2/100</f>
        <v>0.02</v>
      </c>
      <c r="F189" s="3">
        <v>2</v>
      </c>
      <c r="G189" s="3">
        <f t="shared" si="8"/>
        <v>100</v>
      </c>
      <c r="H189" s="3">
        <f t="shared" si="9"/>
        <v>180</v>
      </c>
      <c r="I189" s="3">
        <f t="shared" si="10"/>
        <v>195.6</v>
      </c>
    </row>
    <row r="190" spans="1:9" ht="16.5">
      <c r="A190" s="14"/>
      <c r="B190" s="8" t="s">
        <v>311</v>
      </c>
      <c r="C190" s="16" t="s">
        <v>312</v>
      </c>
      <c r="D190" s="16" t="s">
        <v>313</v>
      </c>
      <c r="E190" s="5">
        <f>10/1000</f>
        <v>0.01</v>
      </c>
      <c r="F190" s="3">
        <v>10</v>
      </c>
      <c r="G190" s="3">
        <f t="shared" si="8"/>
        <v>1000</v>
      </c>
      <c r="H190" s="3">
        <f t="shared" si="9"/>
        <v>1800</v>
      </c>
      <c r="I190" s="3">
        <f t="shared" si="10"/>
        <v>1956</v>
      </c>
    </row>
    <row r="191" spans="1:9" ht="16.5">
      <c r="A191" s="14"/>
      <c r="B191" s="8" t="s">
        <v>314</v>
      </c>
      <c r="C191" s="16"/>
      <c r="D191" s="16"/>
      <c r="E191" s="5">
        <f>54/1000</f>
        <v>5.3999999999999999E-2</v>
      </c>
      <c r="F191" s="3">
        <v>54</v>
      </c>
      <c r="G191" s="3">
        <f t="shared" si="8"/>
        <v>1000</v>
      </c>
      <c r="H191" s="3">
        <f t="shared" si="9"/>
        <v>1800</v>
      </c>
      <c r="I191" s="3">
        <f t="shared" si="10"/>
        <v>1956</v>
      </c>
    </row>
    <row r="192" spans="1:9" ht="16.5">
      <c r="A192" s="14"/>
      <c r="B192" s="8" t="s">
        <v>315</v>
      </c>
      <c r="C192" s="16"/>
      <c r="D192" s="16"/>
      <c r="E192" s="5">
        <f>96/1000</f>
        <v>9.6000000000000002E-2</v>
      </c>
      <c r="F192" s="3">
        <v>96</v>
      </c>
      <c r="G192" s="3">
        <f t="shared" si="8"/>
        <v>1000</v>
      </c>
      <c r="H192" s="3">
        <f t="shared" si="9"/>
        <v>1800</v>
      </c>
      <c r="I192" s="3">
        <f t="shared" si="10"/>
        <v>1956</v>
      </c>
    </row>
    <row r="193" spans="1:9" ht="16.5">
      <c r="A193" s="14"/>
      <c r="B193" s="8" t="s">
        <v>316</v>
      </c>
      <c r="C193" s="16"/>
      <c r="D193" s="16"/>
      <c r="E193" s="5">
        <f>126/1000</f>
        <v>0.126</v>
      </c>
      <c r="F193" s="3">
        <v>126</v>
      </c>
      <c r="G193" s="3">
        <f t="shared" si="8"/>
        <v>1000</v>
      </c>
      <c r="H193" s="3">
        <f t="shared" si="9"/>
        <v>1800</v>
      </c>
      <c r="I193" s="3">
        <f t="shared" si="10"/>
        <v>1956</v>
      </c>
    </row>
    <row r="194" spans="1:9" ht="16.5">
      <c r="A194" s="14"/>
      <c r="B194" s="8" t="s">
        <v>317</v>
      </c>
      <c r="C194" s="16"/>
      <c r="D194" s="16"/>
      <c r="E194" s="5">
        <f>144/1000</f>
        <v>0.14399999999999999</v>
      </c>
      <c r="F194" s="3">
        <v>144</v>
      </c>
      <c r="G194" s="3">
        <f t="shared" si="8"/>
        <v>1000</v>
      </c>
      <c r="H194" s="3">
        <f t="shared" si="9"/>
        <v>1800</v>
      </c>
      <c r="I194" s="3">
        <f t="shared" si="10"/>
        <v>1956</v>
      </c>
    </row>
    <row r="195" spans="1:9" ht="16.5">
      <c r="A195" s="14"/>
      <c r="B195" s="8" t="s">
        <v>318</v>
      </c>
      <c r="C195" s="16"/>
      <c r="D195" s="16"/>
      <c r="E195" s="5">
        <f>150/1000</f>
        <v>0.15</v>
      </c>
      <c r="F195" s="3">
        <v>150</v>
      </c>
      <c r="G195" s="3">
        <f t="shared" si="8"/>
        <v>1000</v>
      </c>
      <c r="H195" s="3">
        <f t="shared" si="9"/>
        <v>1800</v>
      </c>
      <c r="I195" s="3">
        <f t="shared" si="10"/>
        <v>1956</v>
      </c>
    </row>
    <row r="196" spans="1:9" ht="49.5">
      <c r="A196" s="14" t="s">
        <v>319</v>
      </c>
      <c r="B196" s="8" t="s">
        <v>320</v>
      </c>
      <c r="C196" s="11" t="s">
        <v>321</v>
      </c>
      <c r="D196" s="11" t="s">
        <v>322</v>
      </c>
      <c r="E196" s="5">
        <f>18/100</f>
        <v>0.18</v>
      </c>
      <c r="F196" s="3">
        <v>9</v>
      </c>
      <c r="G196" s="3">
        <f t="shared" si="8"/>
        <v>50</v>
      </c>
      <c r="H196" s="3">
        <f t="shared" si="9"/>
        <v>90</v>
      </c>
      <c r="I196" s="3">
        <f t="shared" si="10"/>
        <v>97.8</v>
      </c>
    </row>
    <row r="197" spans="1:9" ht="16.5">
      <c r="A197" s="14"/>
      <c r="B197" s="8" t="s">
        <v>323</v>
      </c>
      <c r="C197" s="16" t="s">
        <v>324</v>
      </c>
      <c r="D197" s="16" t="s">
        <v>325</v>
      </c>
      <c r="E197" s="5">
        <f>54/1000</f>
        <v>5.3999999999999999E-2</v>
      </c>
      <c r="F197" s="3">
        <v>18</v>
      </c>
      <c r="G197" s="3">
        <f t="shared" ref="G197:G225" si="12">ROUND( (1/E197)*F197,3)</f>
        <v>333.33300000000003</v>
      </c>
      <c r="H197" s="3">
        <f t="shared" ref="H197:H225" si="13">ROUND( 2*G197*1800/2000,3)</f>
        <v>599.99900000000002</v>
      </c>
      <c r="I197" s="3">
        <f t="shared" ref="I197:I225" si="14">ROUND( 2*G197*1956/2000,3)</f>
        <v>651.99900000000002</v>
      </c>
    </row>
    <row r="198" spans="1:9" ht="16.5">
      <c r="A198" s="14"/>
      <c r="B198" s="8" t="s">
        <v>326</v>
      </c>
      <c r="C198" s="16"/>
      <c r="D198" s="16"/>
      <c r="E198" s="6">
        <f>216/1000</f>
        <v>0.216</v>
      </c>
      <c r="F198" s="3">
        <v>36</v>
      </c>
      <c r="G198" s="3">
        <f t="shared" si="12"/>
        <v>166.667</v>
      </c>
      <c r="H198" s="3">
        <f t="shared" si="13"/>
        <v>300.00099999999998</v>
      </c>
      <c r="I198" s="3">
        <f t="shared" si="14"/>
        <v>326.00099999999998</v>
      </c>
    </row>
    <row r="199" spans="1:9" ht="49.5">
      <c r="A199" s="9" t="s">
        <v>327</v>
      </c>
      <c r="B199" s="8" t="s">
        <v>328</v>
      </c>
      <c r="C199" s="11" t="s">
        <v>329</v>
      </c>
      <c r="D199" s="11" t="s">
        <v>330</v>
      </c>
      <c r="E199" s="5">
        <f>100/1000</f>
        <v>0.1</v>
      </c>
      <c r="F199" s="3">
        <v>1</v>
      </c>
      <c r="G199" s="3">
        <f t="shared" si="12"/>
        <v>10</v>
      </c>
      <c r="H199" s="3">
        <f t="shared" si="13"/>
        <v>18</v>
      </c>
      <c r="I199" s="3">
        <f t="shared" si="14"/>
        <v>19.559999999999999</v>
      </c>
    </row>
    <row r="200" spans="1:9" ht="49.5">
      <c r="A200" s="14" t="s">
        <v>331</v>
      </c>
      <c r="B200" s="8" t="s">
        <v>332</v>
      </c>
      <c r="C200" s="11" t="s">
        <v>333</v>
      </c>
      <c r="D200" s="11"/>
      <c r="E200" s="5">
        <f>50/100</f>
        <v>0.5</v>
      </c>
      <c r="F200" s="3">
        <v>1</v>
      </c>
      <c r="G200" s="3">
        <f t="shared" si="12"/>
        <v>2</v>
      </c>
      <c r="H200" s="3">
        <f t="shared" si="13"/>
        <v>3.6</v>
      </c>
      <c r="I200" s="3">
        <f t="shared" si="14"/>
        <v>3.9119999999999999</v>
      </c>
    </row>
    <row r="201" spans="1:9" ht="16.5">
      <c r="A201" s="14"/>
      <c r="B201" s="8" t="s">
        <v>334</v>
      </c>
      <c r="C201" s="16" t="s">
        <v>335</v>
      </c>
      <c r="D201" s="16" t="s">
        <v>336</v>
      </c>
      <c r="E201" s="5">
        <f>45/100</f>
        <v>0.45</v>
      </c>
      <c r="F201" s="3">
        <v>1</v>
      </c>
      <c r="G201" s="3">
        <f t="shared" si="12"/>
        <v>2.222</v>
      </c>
      <c r="H201" s="3">
        <f t="shared" si="13"/>
        <v>4</v>
      </c>
      <c r="I201" s="3">
        <f t="shared" si="14"/>
        <v>4.3460000000000001</v>
      </c>
    </row>
    <row r="202" spans="1:9" ht="16.5">
      <c r="A202" s="14"/>
      <c r="B202" s="8" t="s">
        <v>337</v>
      </c>
      <c r="C202" s="16"/>
      <c r="D202" s="16"/>
      <c r="E202" s="5">
        <f>10/100</f>
        <v>0.1</v>
      </c>
      <c r="F202" s="3">
        <v>1</v>
      </c>
      <c r="G202" s="3">
        <f t="shared" si="12"/>
        <v>10</v>
      </c>
      <c r="H202" s="3">
        <f t="shared" si="13"/>
        <v>18</v>
      </c>
      <c r="I202" s="3">
        <f t="shared" si="14"/>
        <v>19.559999999999999</v>
      </c>
    </row>
    <row r="203" spans="1:9" ht="16.5">
      <c r="A203" s="14"/>
      <c r="B203" s="8" t="s">
        <v>338</v>
      </c>
      <c r="C203" s="16" t="s">
        <v>339</v>
      </c>
      <c r="D203" s="16" t="s">
        <v>340</v>
      </c>
      <c r="E203" s="5">
        <f>45/100</f>
        <v>0.45</v>
      </c>
      <c r="F203" s="3">
        <v>1</v>
      </c>
      <c r="G203" s="3">
        <f t="shared" si="12"/>
        <v>2.222</v>
      </c>
      <c r="H203" s="3">
        <f t="shared" si="13"/>
        <v>4</v>
      </c>
      <c r="I203" s="3">
        <f t="shared" si="14"/>
        <v>4.3460000000000001</v>
      </c>
    </row>
    <row r="204" spans="1:9" ht="16.5">
      <c r="A204" s="14"/>
      <c r="B204" s="8" t="s">
        <v>341</v>
      </c>
      <c r="C204" s="16"/>
      <c r="D204" s="16"/>
      <c r="E204" s="5">
        <f>10/100</f>
        <v>0.1</v>
      </c>
      <c r="F204" s="3">
        <v>1</v>
      </c>
      <c r="G204" s="3">
        <f t="shared" si="12"/>
        <v>10</v>
      </c>
      <c r="H204" s="3">
        <f t="shared" si="13"/>
        <v>18</v>
      </c>
      <c r="I204" s="3">
        <f t="shared" si="14"/>
        <v>19.559999999999999</v>
      </c>
    </row>
    <row r="205" spans="1:9" ht="28.5">
      <c r="A205" s="14" t="s">
        <v>342</v>
      </c>
      <c r="B205" s="8" t="s">
        <v>343</v>
      </c>
      <c r="C205" s="12" t="s">
        <v>344</v>
      </c>
      <c r="D205" s="12" t="s">
        <v>345</v>
      </c>
      <c r="E205" s="3">
        <f>9*8*7*6*5/100000</f>
        <v>0.1512</v>
      </c>
      <c r="F205" s="3">
        <v>1</v>
      </c>
      <c r="G205" s="3">
        <f t="shared" si="12"/>
        <v>6.6139999999999999</v>
      </c>
      <c r="H205" s="3">
        <f t="shared" si="13"/>
        <v>11.904999999999999</v>
      </c>
      <c r="I205" s="3">
        <f t="shared" si="14"/>
        <v>12.936999999999999</v>
      </c>
    </row>
    <row r="206" spans="1:9" ht="28.5">
      <c r="A206" s="14"/>
      <c r="B206" s="8" t="s">
        <v>346</v>
      </c>
      <c r="C206" s="12" t="s">
        <v>347</v>
      </c>
      <c r="D206" s="12" t="s">
        <v>348</v>
      </c>
      <c r="E206" s="5">
        <f>20160/100000</f>
        <v>0.2016</v>
      </c>
      <c r="F206" s="3">
        <v>1</v>
      </c>
      <c r="G206" s="3">
        <f t="shared" si="12"/>
        <v>4.96</v>
      </c>
      <c r="H206" s="3">
        <f t="shared" si="13"/>
        <v>8.9280000000000008</v>
      </c>
      <c r="I206" s="3">
        <f t="shared" si="14"/>
        <v>9.702</v>
      </c>
    </row>
    <row r="207" spans="1:9" ht="28.5">
      <c r="A207" s="14"/>
      <c r="B207" s="8" t="s">
        <v>349</v>
      </c>
      <c r="C207" s="12" t="s">
        <v>350</v>
      </c>
      <c r="D207" s="12" t="s">
        <v>351</v>
      </c>
      <c r="E207" s="3">
        <f>3240/100000</f>
        <v>3.2399999999999998E-2</v>
      </c>
      <c r="F207" s="3">
        <v>1</v>
      </c>
      <c r="G207" s="3">
        <f t="shared" si="12"/>
        <v>30.864000000000001</v>
      </c>
      <c r="H207" s="3">
        <f t="shared" si="13"/>
        <v>55.555</v>
      </c>
      <c r="I207" s="3">
        <f t="shared" si="14"/>
        <v>60.37</v>
      </c>
    </row>
    <row r="208" spans="1:9" ht="28.5">
      <c r="A208" s="14"/>
      <c r="B208" s="8" t="s">
        <v>352</v>
      </c>
      <c r="C208" s="12" t="s">
        <v>353</v>
      </c>
      <c r="D208" s="12" t="s">
        <v>354</v>
      </c>
      <c r="E208" s="3">
        <f>2160/100000</f>
        <v>2.1600000000000001E-2</v>
      </c>
      <c r="F208" s="3">
        <v>1</v>
      </c>
      <c r="G208" s="3">
        <f t="shared" si="12"/>
        <v>46.295999999999999</v>
      </c>
      <c r="H208" s="3">
        <f t="shared" si="13"/>
        <v>83.332999999999998</v>
      </c>
      <c r="I208" s="3">
        <f t="shared" si="14"/>
        <v>90.555000000000007</v>
      </c>
    </row>
    <row r="209" spans="1:9" ht="28.5">
      <c r="A209" s="14"/>
      <c r="B209" s="8" t="s">
        <v>355</v>
      </c>
      <c r="C209" s="12" t="s">
        <v>356</v>
      </c>
      <c r="D209" s="12" t="s">
        <v>357</v>
      </c>
      <c r="E209" s="3">
        <f>180/100000</f>
        <v>1.8E-3</v>
      </c>
      <c r="F209" s="3">
        <v>1</v>
      </c>
      <c r="G209" s="3">
        <f t="shared" si="12"/>
        <v>555.55600000000004</v>
      </c>
      <c r="H209" s="3">
        <f t="shared" si="13"/>
        <v>1000.001</v>
      </c>
      <c r="I209" s="3">
        <f t="shared" si="14"/>
        <v>1086.6679999999999</v>
      </c>
    </row>
    <row r="210" spans="1:9" ht="28.5">
      <c r="A210" s="14"/>
      <c r="B210" s="8" t="s">
        <v>358</v>
      </c>
      <c r="C210" s="12" t="s">
        <v>359</v>
      </c>
      <c r="D210" s="12" t="s">
        <v>360</v>
      </c>
      <c r="E210" s="3">
        <f>90/100000</f>
        <v>8.9999999999999998E-4</v>
      </c>
      <c r="F210" s="3">
        <v>1</v>
      </c>
      <c r="G210" s="3">
        <f t="shared" si="12"/>
        <v>1111.1110000000001</v>
      </c>
      <c r="H210" s="3">
        <f t="shared" si="13"/>
        <v>2000</v>
      </c>
      <c r="I210" s="3">
        <f t="shared" si="14"/>
        <v>2173.3330000000001</v>
      </c>
    </row>
    <row r="211" spans="1:9" ht="28.5">
      <c r="A211" s="14"/>
      <c r="B211" s="9" t="s">
        <v>361</v>
      </c>
      <c r="C211" s="12" t="s">
        <v>362</v>
      </c>
      <c r="D211" s="12" t="s">
        <v>363</v>
      </c>
      <c r="E211" s="3">
        <f>1/100000</f>
        <v>1.0000000000000001E-5</v>
      </c>
      <c r="F211" s="3">
        <v>1</v>
      </c>
      <c r="G211" s="3">
        <f t="shared" si="12"/>
        <v>100000</v>
      </c>
      <c r="H211" s="3">
        <f t="shared" si="13"/>
        <v>180000</v>
      </c>
      <c r="I211" s="3">
        <f t="shared" si="14"/>
        <v>195600</v>
      </c>
    </row>
    <row r="212" spans="1:9" ht="71.25" customHeight="1">
      <c r="A212" s="14" t="s">
        <v>364</v>
      </c>
      <c r="B212" s="9" t="s">
        <v>365</v>
      </c>
      <c r="C212" s="12" t="s">
        <v>366</v>
      </c>
      <c r="D212" s="12" t="s">
        <v>367</v>
      </c>
      <c r="E212" s="3">
        <f>45/100</f>
        <v>0.45</v>
      </c>
      <c r="F212" s="3">
        <v>1</v>
      </c>
      <c r="G212" s="3">
        <f t="shared" si="12"/>
        <v>2.222</v>
      </c>
      <c r="H212" s="3">
        <f t="shared" si="13"/>
        <v>4</v>
      </c>
      <c r="I212" s="3">
        <f t="shared" si="14"/>
        <v>4.3460000000000001</v>
      </c>
    </row>
    <row r="213" spans="1:9" ht="71.25" customHeight="1">
      <c r="A213" s="14"/>
      <c r="B213" s="9" t="s">
        <v>368</v>
      </c>
      <c r="C213" s="12" t="s">
        <v>369</v>
      </c>
      <c r="D213" s="12" t="s">
        <v>370</v>
      </c>
      <c r="E213" s="3">
        <f>10/100</f>
        <v>0.1</v>
      </c>
      <c r="F213" s="3">
        <v>1</v>
      </c>
      <c r="G213" s="3">
        <f t="shared" si="12"/>
        <v>10</v>
      </c>
      <c r="H213" s="3">
        <f t="shared" si="13"/>
        <v>18</v>
      </c>
      <c r="I213" s="3">
        <f t="shared" si="14"/>
        <v>19.559999999999999</v>
      </c>
    </row>
    <row r="214" spans="1:9" ht="71.25" customHeight="1">
      <c r="A214" s="14"/>
      <c r="B214" s="9" t="s">
        <v>371</v>
      </c>
      <c r="C214" s="12" t="s">
        <v>372</v>
      </c>
      <c r="D214" s="12" t="s">
        <v>373</v>
      </c>
      <c r="E214" s="3">
        <f>10/100</f>
        <v>0.1</v>
      </c>
      <c r="F214" s="3">
        <v>1</v>
      </c>
      <c r="G214" s="3">
        <f t="shared" si="12"/>
        <v>10</v>
      </c>
      <c r="H214" s="3">
        <f t="shared" si="13"/>
        <v>18</v>
      </c>
      <c r="I214" s="3">
        <f t="shared" si="14"/>
        <v>19.559999999999999</v>
      </c>
    </row>
    <row r="215" spans="1:9" ht="71.25" customHeight="1">
      <c r="A215" s="14"/>
      <c r="B215" s="9" t="s">
        <v>374</v>
      </c>
      <c r="C215" s="12" t="s">
        <v>375</v>
      </c>
      <c r="D215" s="12" t="s">
        <v>376</v>
      </c>
      <c r="E215" s="3">
        <f>1/100</f>
        <v>0.01</v>
      </c>
      <c r="F215" s="3">
        <v>1</v>
      </c>
      <c r="G215" s="3">
        <f t="shared" si="12"/>
        <v>100</v>
      </c>
      <c r="H215" s="3">
        <f t="shared" si="13"/>
        <v>180</v>
      </c>
      <c r="I215" s="3">
        <f t="shared" si="14"/>
        <v>195.6</v>
      </c>
    </row>
    <row r="216" spans="1:9" ht="71.25" customHeight="1">
      <c r="A216" s="14"/>
      <c r="B216" s="9" t="s">
        <v>377</v>
      </c>
      <c r="C216" s="12" t="s">
        <v>394</v>
      </c>
      <c r="D216" s="12" t="s">
        <v>378</v>
      </c>
      <c r="E216" s="5">
        <f>20/100</f>
        <v>0.2</v>
      </c>
      <c r="F216" s="3">
        <v>1</v>
      </c>
      <c r="G216" s="3">
        <f t="shared" si="12"/>
        <v>5</v>
      </c>
      <c r="H216" s="3">
        <f t="shared" si="13"/>
        <v>9</v>
      </c>
      <c r="I216" s="3">
        <f t="shared" si="14"/>
        <v>9.7799999999999994</v>
      </c>
    </row>
    <row r="217" spans="1:9" ht="71.25" customHeight="1">
      <c r="A217" s="14"/>
      <c r="B217" s="9" t="s">
        <v>379</v>
      </c>
      <c r="C217" s="12" t="s">
        <v>395</v>
      </c>
      <c r="D217" s="12" t="s">
        <v>380</v>
      </c>
      <c r="E217" s="5">
        <f>6000/100000</f>
        <v>0.06</v>
      </c>
      <c r="F217" s="3">
        <v>1</v>
      </c>
      <c r="G217" s="3">
        <f t="shared" si="12"/>
        <v>16.667000000000002</v>
      </c>
      <c r="H217" s="3">
        <f t="shared" si="13"/>
        <v>30.001000000000001</v>
      </c>
      <c r="I217" s="3">
        <f t="shared" si="14"/>
        <v>32.600999999999999</v>
      </c>
    </row>
    <row r="218" spans="1:9" ht="47.25" customHeight="1">
      <c r="A218" s="14" t="s">
        <v>381</v>
      </c>
      <c r="B218" s="9" t="s">
        <v>374</v>
      </c>
      <c r="C218" s="15" t="s">
        <v>382</v>
      </c>
      <c r="D218" s="15" t="s">
        <v>383</v>
      </c>
      <c r="E218" s="3">
        <f>1000/100000</f>
        <v>0.01</v>
      </c>
      <c r="F218" s="3">
        <v>1</v>
      </c>
      <c r="G218" s="3">
        <f t="shared" si="12"/>
        <v>100</v>
      </c>
      <c r="H218" s="3">
        <f t="shared" si="13"/>
        <v>180</v>
      </c>
      <c r="I218" s="3">
        <f t="shared" si="14"/>
        <v>195.6</v>
      </c>
    </row>
    <row r="219" spans="1:9" ht="47.25" customHeight="1">
      <c r="A219" s="14"/>
      <c r="B219" s="9" t="s">
        <v>280</v>
      </c>
      <c r="C219" s="15"/>
      <c r="D219" s="15"/>
      <c r="E219" s="3">
        <f>6000/100000</f>
        <v>0.06</v>
      </c>
      <c r="F219" s="3">
        <v>1</v>
      </c>
      <c r="G219" s="3">
        <f t="shared" si="12"/>
        <v>16.667000000000002</v>
      </c>
      <c r="H219" s="3">
        <f t="shared" si="13"/>
        <v>30.001000000000001</v>
      </c>
      <c r="I219" s="3">
        <f t="shared" si="14"/>
        <v>32.600999999999999</v>
      </c>
    </row>
    <row r="220" spans="1:9" ht="47.25" customHeight="1">
      <c r="A220" s="14"/>
      <c r="B220" s="9" t="s">
        <v>371</v>
      </c>
      <c r="C220" s="15"/>
      <c r="D220" s="15"/>
      <c r="E220" s="3">
        <f>27000/100000</f>
        <v>0.27</v>
      </c>
      <c r="F220" s="3">
        <v>1</v>
      </c>
      <c r="G220" s="3">
        <f t="shared" si="12"/>
        <v>3.7040000000000002</v>
      </c>
      <c r="H220" s="3">
        <f t="shared" si="13"/>
        <v>6.6669999999999998</v>
      </c>
      <c r="I220" s="3">
        <f t="shared" si="14"/>
        <v>7.2450000000000001</v>
      </c>
    </row>
    <row r="221" spans="1:9" ht="47.25" customHeight="1">
      <c r="A221" s="14"/>
      <c r="B221" s="9" t="s">
        <v>384</v>
      </c>
      <c r="C221" s="15"/>
      <c r="D221" s="15"/>
      <c r="E221" s="3">
        <f>36000/100000</f>
        <v>0.36</v>
      </c>
      <c r="F221" s="3">
        <v>1</v>
      </c>
      <c r="G221" s="3">
        <f t="shared" si="12"/>
        <v>2.778</v>
      </c>
      <c r="H221" s="3">
        <f t="shared" si="13"/>
        <v>5</v>
      </c>
      <c r="I221" s="3">
        <f t="shared" si="14"/>
        <v>5.4340000000000002</v>
      </c>
    </row>
    <row r="222" spans="1:9" ht="47.25" customHeight="1">
      <c r="A222" s="14"/>
      <c r="B222" s="9" t="s">
        <v>385</v>
      </c>
      <c r="C222" s="15"/>
      <c r="D222" s="15"/>
      <c r="E222" s="5">
        <f>30000/100000</f>
        <v>0.3</v>
      </c>
      <c r="F222" s="3">
        <v>1</v>
      </c>
      <c r="G222" s="3">
        <f t="shared" si="12"/>
        <v>3.3330000000000002</v>
      </c>
      <c r="H222" s="3">
        <f t="shared" si="13"/>
        <v>5.9989999999999997</v>
      </c>
      <c r="I222" s="3">
        <f t="shared" si="14"/>
        <v>6.5190000000000001</v>
      </c>
    </row>
    <row r="223" spans="1:9" ht="85.5">
      <c r="A223" s="14" t="s">
        <v>386</v>
      </c>
      <c r="B223" s="9" t="s">
        <v>387</v>
      </c>
      <c r="C223" s="15" t="s">
        <v>388</v>
      </c>
      <c r="D223" s="12" t="s">
        <v>389</v>
      </c>
      <c r="E223" s="3">
        <f>240/1000</f>
        <v>0.24</v>
      </c>
      <c r="F223" s="3">
        <v>1</v>
      </c>
      <c r="G223" s="3">
        <f t="shared" si="12"/>
        <v>4.1669999999999998</v>
      </c>
      <c r="H223" s="3">
        <f t="shared" si="13"/>
        <v>7.5010000000000003</v>
      </c>
      <c r="I223" s="3">
        <f t="shared" si="14"/>
        <v>8.1509999999999998</v>
      </c>
    </row>
    <row r="224" spans="1:9" ht="85.5">
      <c r="A224" s="14"/>
      <c r="B224" s="9" t="s">
        <v>390</v>
      </c>
      <c r="C224" s="15"/>
      <c r="D224" s="12" t="s">
        <v>391</v>
      </c>
      <c r="E224" s="3">
        <f>190/1000</f>
        <v>0.19</v>
      </c>
      <c r="F224" s="3">
        <v>1</v>
      </c>
      <c r="G224" s="3">
        <f t="shared" si="12"/>
        <v>5.2629999999999999</v>
      </c>
      <c r="H224" s="3">
        <f t="shared" si="13"/>
        <v>9.4730000000000008</v>
      </c>
      <c r="I224" s="3">
        <f t="shared" si="14"/>
        <v>10.294</v>
      </c>
    </row>
    <row r="225" spans="1:9" ht="71.25">
      <c r="A225" s="14"/>
      <c r="B225" s="9" t="s">
        <v>392</v>
      </c>
      <c r="C225" s="15"/>
      <c r="D225" s="13" t="s">
        <v>393</v>
      </c>
      <c r="E225" s="5">
        <f>570/1000</f>
        <v>0.56999999999999995</v>
      </c>
      <c r="F225" s="3">
        <v>1</v>
      </c>
      <c r="G225" s="3">
        <f t="shared" si="12"/>
        <v>1.754</v>
      </c>
      <c r="H225" s="3">
        <f t="shared" si="13"/>
        <v>3.157</v>
      </c>
      <c r="I225" s="3">
        <f t="shared" si="14"/>
        <v>3.431</v>
      </c>
    </row>
  </sheetData>
  <mergeCells count="79">
    <mergeCell ref="A11:A16"/>
    <mergeCell ref="A1:A2"/>
    <mergeCell ref="B1:B2"/>
    <mergeCell ref="C1:C2"/>
    <mergeCell ref="D1:D2"/>
    <mergeCell ref="G1:G2"/>
    <mergeCell ref="A3:I3"/>
    <mergeCell ref="A4:A10"/>
    <mergeCell ref="C6:C10"/>
    <mergeCell ref="D6:D10"/>
    <mergeCell ref="E1:E2"/>
    <mergeCell ref="F1:F2"/>
    <mergeCell ref="H1:H2"/>
    <mergeCell ref="I1:I2"/>
    <mergeCell ref="A17:A22"/>
    <mergeCell ref="C19:C22"/>
    <mergeCell ref="D19:D22"/>
    <mergeCell ref="A23:A26"/>
    <mergeCell ref="A27:A42"/>
    <mergeCell ref="C29:C42"/>
    <mergeCell ref="D29:D42"/>
    <mergeCell ref="C142:C146"/>
    <mergeCell ref="A101:A108"/>
    <mergeCell ref="A43:A72"/>
    <mergeCell ref="C45:C70"/>
    <mergeCell ref="D45:D70"/>
    <mergeCell ref="C71:C72"/>
    <mergeCell ref="D71:D72"/>
    <mergeCell ref="A73:A84"/>
    <mergeCell ref="C75:C84"/>
    <mergeCell ref="D75:D84"/>
    <mergeCell ref="A85:A95"/>
    <mergeCell ref="C87:C95"/>
    <mergeCell ref="D87:D95"/>
    <mergeCell ref="A96:A100"/>
    <mergeCell ref="C96:C100"/>
    <mergeCell ref="C127:C131"/>
    <mergeCell ref="D127:D131"/>
    <mergeCell ref="C132:C135"/>
    <mergeCell ref="D132:D135"/>
    <mergeCell ref="C136:C141"/>
    <mergeCell ref="D136:D141"/>
    <mergeCell ref="D142:D146"/>
    <mergeCell ref="A151:A167"/>
    <mergeCell ref="C151:C167"/>
    <mergeCell ref="D151:D167"/>
    <mergeCell ref="A168:A175"/>
    <mergeCell ref="C168:C175"/>
    <mergeCell ref="D168:D175"/>
    <mergeCell ref="C147:C150"/>
    <mergeCell ref="D147:D150"/>
    <mergeCell ref="A109:A150"/>
    <mergeCell ref="C109:C113"/>
    <mergeCell ref="D109:D113"/>
    <mergeCell ref="C114:C118"/>
    <mergeCell ref="D114:D118"/>
    <mergeCell ref="C121:C126"/>
    <mergeCell ref="D121:D126"/>
    <mergeCell ref="A176:A179"/>
    <mergeCell ref="A180:A195"/>
    <mergeCell ref="C180:C189"/>
    <mergeCell ref="D180:D189"/>
    <mergeCell ref="C190:C195"/>
    <mergeCell ref="D190:D195"/>
    <mergeCell ref="A223:A225"/>
    <mergeCell ref="C223:C225"/>
    <mergeCell ref="A196:A198"/>
    <mergeCell ref="C197:C198"/>
    <mergeCell ref="D197:D198"/>
    <mergeCell ref="A200:A204"/>
    <mergeCell ref="C201:C202"/>
    <mergeCell ref="D201:D202"/>
    <mergeCell ref="C203:C204"/>
    <mergeCell ref="D203:D204"/>
    <mergeCell ref="A205:A211"/>
    <mergeCell ref="A212:A217"/>
    <mergeCell ref="A218:A222"/>
    <mergeCell ref="C218:C222"/>
    <mergeCell ref="D218:D2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Torin</dc:creator>
  <cp:lastModifiedBy>Torin</cp:lastModifiedBy>
  <dcterms:created xsi:type="dcterms:W3CDTF">2019-11-07T02:06:39Z</dcterms:created>
  <dcterms:modified xsi:type="dcterms:W3CDTF">2019-11-12T08:17:44Z</dcterms:modified>
</cp:coreProperties>
</file>