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BTR\Source\Extensibility\BTR.Extensibility.Excel\Resources\"/>
    </mc:Choice>
  </mc:AlternateContent>
  <bookViews>
    <workbookView xWindow="0" yWindow="105" windowWidth="4290" windowHeight="3825" tabRatio="897" firstSheet="3" activeTab="5"/>
  </bookViews>
  <sheets>
    <sheet name="Version History" sheetId="13" r:id="rId1"/>
    <sheet name="_HiddenBTR" sheetId="14" state="veryHidden" r:id="rId2"/>
    <sheet name="RBLInfo" sheetId="15" r:id="rId3"/>
    <sheet name="RBLInput" sheetId="16" r:id="rId4"/>
    <sheet name="RBLeMacro" sheetId="41" r:id="rId5"/>
    <sheet name="RBLResult" sheetId="24" r:id="rId6"/>
    <sheet name="RBLBenCalc" sheetId="18" r:id="rId7"/>
    <sheet name="RBLProjection" sheetId="17" r:id="rId8"/>
    <sheet name="RBLUpdate" sheetId="20" r:id="rId9"/>
    <sheet name="RBLReportLS_Sample" sheetId="43" r:id="rId10"/>
    <sheet name="RBLAdHoc" sheetId="34" r:id="rId11"/>
    <sheet name="HighCharts" sheetId="44" r:id="rId12"/>
    <sheet name="Docs - RBLe Macro" sheetId="39" r:id="rId13"/>
    <sheet name="Docs - Export Samples" sheetId="22" r:id="rId14"/>
    <sheet name="Web Service Field Mapping" sheetId="42" r:id="rId15"/>
    <sheet name="Xml Data Mapping" sheetId="36" r:id="rId16"/>
    <sheet name="Plan Info" sheetId="4" r:id="rId17"/>
    <sheet name="Flat Data" sheetId="5" r:id="rId18"/>
    <sheet name="Historical Data" sheetId="6" r:id="rId19"/>
    <sheet name="Reports" sheetId="10" r:id="rId20"/>
    <sheet name="Data Lookup Tables" sheetId="7" r:id="rId21"/>
    <sheet name="Framework Lookup Tables" sheetId="8" r:id="rId22"/>
    <sheet name="Calc Inputs" sheetId="9" r:id="rId23"/>
    <sheet name="Rate Tables" sheetId="25" r:id="rId24"/>
    <sheet name="Localization" sheetId="12" r:id="rId25"/>
    <sheet name="Site Access" sheetId="33" r:id="rId26"/>
    <sheet name="Site Settings - Template" sheetId="28" r:id="rId27"/>
    <sheet name="Site Settings - Modeling" sheetId="31" r:id="rId28"/>
    <sheet name="Site Settings - Administration" sheetId="32" r:id="rId29"/>
    <sheet name="Docs - Formula Helpers" sheetId="27" r:id="rId30"/>
  </sheets>
  <externalReferences>
    <externalReference r:id="rId31"/>
    <externalReference r:id="rId32"/>
  </externalReferences>
  <definedNames>
    <definedName name="a401a17">RBLInput!$D$97</definedName>
    <definedName name="a402g">RBLInput!$D$98</definedName>
    <definedName name="aAcctBalDate">RBLInput!$D$95</definedName>
    <definedName name="aBackSalRate">RBLInput!$D$100</definedName>
    <definedName name="aBackSalType">RBLInput!$D$99</definedName>
    <definedName name="aCCLawYear">RBLInput!$D$110</definedName>
    <definedName name="aCCProj">RBLInput!$D$111</definedName>
    <definedName name="aCurrDate">RBLInput!$D$102</definedName>
    <definedName name="aCurrentYear">RBLInput!$D$96</definedName>
    <definedName name="address1">RBLInput!$D$62</definedName>
    <definedName name="address2">RBLInput!$D$63</definedName>
    <definedName name="AdHoc" localSheetId="19">Reports!$A$34</definedName>
    <definedName name="aIntRate">RBLInput!$D$103</definedName>
    <definedName name="aMortTable">RBLInput!$D$104</definedName>
    <definedName name="ApplicationSettings" localSheetId="28">'Site Settings - Administration'!$A$13</definedName>
    <definedName name="ApplicationSettings" localSheetId="27">'Site Settings - Modeling'!$A$13</definedName>
    <definedName name="ApplicationSettings" localSheetId="26">'Site Settings - Template'!$A$81</definedName>
    <definedName name="aProjCPI">RBLInput!$D$109</definedName>
    <definedName name="aProjNAW">RBLInput!$D$108</definedName>
    <definedName name="aSSLawYear">RBLInput!$D$107</definedName>
    <definedName name="AuthIdElement" localSheetId="15">'Xml Data Mapping'!$A$6</definedName>
    <definedName name="AuthIDField" localSheetId="16">'Plan Info'!$B$44</definedName>
    <definedName name="BatchJobsExpiration" localSheetId="16">'Site Settings - Template'!$B$95</definedName>
    <definedName name="benfrz1">RBLInput!$D$56</definedName>
    <definedName name="benfrz2">RBLInput!$D$57</definedName>
    <definedName name="benfrz3">RBLInput!$D$58</definedName>
    <definedName name="benfrz4">RBLInput!$D$59</definedName>
    <definedName name="BridgedSiteSSOInformation" localSheetId="28">'Site Settings - Administration'!$A$79</definedName>
    <definedName name="BridgedSiteSSOInformation" localSheetId="26">'Site Settings - Template'!$A$211</definedName>
    <definedName name="calcresult" localSheetId="4">RBLeMacro!$K$24:$K$31</definedName>
    <definedName name="calcresult">'Docs - RBLe Macro'!$K$24:$K$31</definedName>
    <definedName name="CalculatedDataLoadExpiration" localSheetId="16">'Site Settings - Template'!$B$93</definedName>
    <definedName name="CalculationLayouts" localSheetId="22">'Calc Inputs'!$A$99</definedName>
    <definedName name="cBenInd">RBLInput!$D$101</definedName>
    <definedName name="cExecutionLog" localSheetId="4">RBLeMacro!$H$101</definedName>
    <definedName name="cExecutionLog">'Docs - RBLe Macro'!$H$101</definedName>
    <definedName name="city">RBLInput!$D$64</definedName>
    <definedName name="ClientInputDefinitions" localSheetId="22">'Calc Inputs'!$A$51</definedName>
    <definedName name="ClientName" localSheetId="16">'Plan Info'!$B$43</definedName>
    <definedName name="cLumpSum" localSheetId="9">RBLReportLS_Sample!#REF!</definedName>
    <definedName name="cLumpSum">RBLBenCalc!$B$64</definedName>
    <definedName name="company.name">RBLProjection!$B$3</definedName>
    <definedName name="contrib.replacement" localSheetId="5">RBLProjection!$B$12</definedName>
    <definedName name="cStatus" localSheetId="4">RBLeMacro!$E$99</definedName>
    <definedName name="cStatus">'Docs - RBLe Macro'!$E$99</definedName>
    <definedName name="CurrentVersion" localSheetId="16">'Plan Info'!$B$42</definedName>
    <definedName name="CurrentVersion" localSheetId="0">'Version History'!$B$3</definedName>
    <definedName name="Custom" localSheetId="19">Reports!$A$40</definedName>
    <definedName name="DataListings" localSheetId="19">Reports!$A$25</definedName>
    <definedName name="DataLoadExpiration" localSheetId="16">'Site Settings - Template'!$B$92</definedName>
    <definedName name="DataLoadGroupings" localSheetId="28">'Site Settings - Administration'!$A$43</definedName>
    <definedName name="DataLoadGroupings" localSheetId="26">'Site Settings - Template'!$A$114</definedName>
    <definedName name="datebirth">RBLInput!$D$53</definedName>
    <definedName name="datebirthben">RBLInput!$D$72</definedName>
    <definedName name="DateBirthField" localSheetId="16">'Plan Info'!$B$45</definedName>
    <definedName name="datedeath">RBLInput!$D$55</definedName>
    <definedName name="datehire">RBLInput!$D$54</definedName>
    <definedName name="DefaultCalcEngine" localSheetId="22">'Calc Inputs'!$B$4</definedName>
    <definedName name="DefaultInputTab" localSheetId="22">'Calc Inputs'!$B$6</definedName>
    <definedName name="DefaultListingColumnsPerPage" localSheetId="16">'Plan Info'!$B$46</definedName>
    <definedName name="DefaultListingEncodeBOM" localSheetId="16">'Plan Info'!$B$48</definedName>
    <definedName name="DefaultListingFields" localSheetId="16">'Plan Info'!$A$54</definedName>
    <definedName name="DefaultListingFixedColumns" localSheetId="16">'Plan Info'!$B$47</definedName>
    <definedName name="DefaultListings" localSheetId="16">'Plan Info'!$A$65</definedName>
    <definedName name="DefaultRateTables" localSheetId="22">'Calc Inputs'!$B$7</definedName>
    <definedName name="DefaultRenderVersion" localSheetId="22">'Calc Inputs'!$B$5</definedName>
    <definedName name="DisplayFormat" localSheetId="16">'Site Settings - Template'!$B$90</definedName>
    <definedName name="EmailConfirmationSettings" localSheetId="28">'Site Settings - Administration'!$A$64</definedName>
    <definedName name="EmailConfirmationSettings" localSheetId="27">'Site Settings - Modeling'!$A$48</definedName>
    <definedName name="EmailConfirmationSettings" localSheetId="26">'Site Settings - Template'!$A$178</definedName>
    <definedName name="fnGoalSeek" localSheetId="12">'Docs - RBLe Macro'!$C$112</definedName>
    <definedName name="fnGoalSeek" localSheetId="4">RBLeMacro!$C$112</definedName>
    <definedName name="fnLogStatus" localSheetId="12">'Docs - RBLe Macro'!$C$99</definedName>
    <definedName name="fnLogStatus" localSheetId="4">RBLeMacro!$C$99</definedName>
    <definedName name="FolderItemReplace" localSheetId="6">RBLBenCalc!$B$6</definedName>
    <definedName name="FolderItemReplace" localSheetId="9">RBLReportLS_Sample!$B$6</definedName>
    <definedName name="FolderItemReplace" localSheetId="5">RBLResult!$B$6</definedName>
    <definedName name="FolderItemType" localSheetId="6">RBLBenCalc!$B$5</definedName>
    <definedName name="FolderItemType" localSheetId="9">RBLReportLS_Sample!$B$5</definedName>
    <definedName name="FolderItemType" localSheetId="5">RBLResult!$B$5</definedName>
    <definedName name="FolderItemTypeReplace" localSheetId="6">RBLBenCalc!$B$6</definedName>
    <definedName name="FolderItemTypeReplace" localSheetId="9">RBLReportLS_Sample!$B$6</definedName>
    <definedName name="FormulaStepHelpers" localSheetId="22">'Calc Inputs'!$A$40</definedName>
    <definedName name="FrameworkInputs" localSheetId="3">RBLInput!$A$74</definedName>
    <definedName name="FTPPGP" localSheetId="19">Reports!$A$14</definedName>
    <definedName name="GeneralInformation" localSheetId="16">'Plan Info'!$A$41</definedName>
    <definedName name="HiddenBTR_ValidCalculationLayouts">_HiddenBTR!$B$2:$B$13</definedName>
    <definedName name="HiddenBTR_ValidFieldTypes">_HiddenBTR!$A$2:$A$32</definedName>
    <definedName name="iAccBenOver">RBLInput!$D$41</definedName>
    <definedName name="iAdditionalDates">RBLInput!$D$13</definedName>
    <definedName name="iAddress1">RBLInput!$D$33</definedName>
    <definedName name="iAddress2">RBLInput!$D$34</definedName>
    <definedName name="iAWSAdminAuthID">RBLInput!$D$84</definedName>
    <definedName name="iBenServiceOver">RBLInput!$D$40</definedName>
    <definedName name="iCity">RBLInput!$D$35</definedName>
    <definedName name="iCurHours">RBLInput!$D$23</definedName>
    <definedName name="iCurPay">RBLInput!$D$22</definedName>
    <definedName name="iCurrentUICulture">RBLInput!$D$82</definedName>
    <definedName name="iDateBenComm">RBLInput!$D$12</definedName>
    <definedName name="iDateBenComm2">RBLInput!$D$15</definedName>
    <definedName name="iDateBenComm3">RBLInput!$D$17</definedName>
    <definedName name="iDateBenComm4">RBLInput!$D$19</definedName>
    <definedName name="iDateBenComm5">RBLInput!$D$21</definedName>
    <definedName name="iDateDeath" localSheetId="6">RBLInput!$D$9</definedName>
    <definedName name="iDateDeath" localSheetId="9">RBLInput!$D$9</definedName>
    <definedName name="iDateDeath">RBLInput!$D$9</definedName>
    <definedName name="iDateDisability">RBLInput!$D$10</definedName>
    <definedName name="iDateTerm">RBLInput!$D$11</definedName>
    <definedName name="iDateTerm2">RBLInput!$D$14</definedName>
    <definedName name="iDateTerm3">RBLInput!$D$16</definedName>
    <definedName name="iDateTerm4">RBLInput!$D$18</definedName>
    <definedName name="iDateTerm5">RBLInput!$D$20</definedName>
    <definedName name="iDebugInputNames">RBLInput!$D$87</definedName>
    <definedName name="iFAPOver">RBLInput!$D$38</definedName>
    <definedName name="iFinalHours">RBLInput!$D$25</definedName>
    <definedName name="iFinalPay">RBLInput!$D$24</definedName>
    <definedName name="iGoal">RBLInput!$D$46</definedName>
    <definedName name="iGoalVariable">RBLInput!$D$45</definedName>
    <definedName name="iIsAdHocConfig">RBLInput!$D$81</definedName>
    <definedName name="iIsMiniBatch">RBLInput!$D$85</definedName>
    <definedName name="iIsTestSE">RBLInput!$D$80</definedName>
    <definedName name="iJobToken">RBLInput!$D$86</definedName>
    <definedName name="iMHABatchType">RBLInput!$D$79</definedName>
    <definedName name="iMHACalcType">RBLInput!$D$75</definedName>
    <definedName name="iMHAFinalCalculation">RBLInput!$D$76</definedName>
    <definedName name="iMHAUpdateType">RBLInput!$D$78</definedName>
    <definedName name="iMHCalcType">RBLInput!$D$77</definedName>
    <definedName name="iNameFirstBen">RBLInput!$D$30</definedName>
    <definedName name="iNameLastBen">RBLInput!$D$31</definedName>
    <definedName name="IndexValueSubstitutions" localSheetId="16">'Plan Info'!$A$72</definedName>
    <definedName name="iPaymentForm">RBLInput!$D$42</definedName>
    <definedName name="iRetAge">RBLInput!$D$43</definedName>
    <definedName name="iRetType">[1]RBLInput!$E$108</definedName>
    <definedName name="iReturn">RBLInput!$D$28</definedName>
    <definedName name="IsAdminSite" localSheetId="28">'Site Settings - Administration'!$B$21</definedName>
    <definedName name="IsAdminSite" localSheetId="27">'Site Settings - Modeling'!$B$21</definedName>
    <definedName name="iSalScale">RBLInput!$D$26</definedName>
    <definedName name="iSaveBal">RBLInput!$D$27</definedName>
    <definedName name="iSaveRate">RBLInput!$D$29</definedName>
    <definedName name="iSaveRateVary">RBLInput!$B$29</definedName>
    <definedName name="isDeminimus" localSheetId="6">RBLBenCalc!$AP$60</definedName>
    <definedName name="isDeminimus" localSheetId="9">RBLReportLS_Sample!#REF!</definedName>
    <definedName name="isMidLS" localSheetId="6">RBLBenCalc!$AP$63</definedName>
    <definedName name="isMidLS" localSheetId="9">RBLReportLS_Sample!#REF!</definedName>
    <definedName name="iSpouseDOB" localSheetId="6">RBLInput!$D$32</definedName>
    <definedName name="iSpouseDOB" localSheetId="9">RBLInput!$D$32</definedName>
    <definedName name="iSpouseDOB">RBLInput!$D$32</definedName>
    <definedName name="isRetorEst" localSheetId="6">RBLBenCalc!$AP$31</definedName>
    <definedName name="isRetorEst" localSheetId="9">RBLReportLS_Sample!#REF!</definedName>
    <definedName name="iState">RBLInput!$D$36</definedName>
    <definedName name="isTV" localSheetId="6">RBLBenCalc!$AP$75</definedName>
    <definedName name="isTV" localSheetId="9">RBLReportLS_Sample!#REF!</definedName>
    <definedName name="iVariable">RBLInput!$D$44</definedName>
    <definedName name="iVestServiceOver">RBLInput!$D$39</definedName>
    <definedName name="iZip">RBLInput!$D$37</definedName>
    <definedName name="LinksControlledByData" localSheetId="28">'Site Settings - Administration'!$A$75</definedName>
    <definedName name="LinksControlledByData" localSheetId="27">'Site Settings - Modeling'!$A$59</definedName>
    <definedName name="LinksControlledByData" localSheetId="26">'Site Settings - Template'!$A$207</definedName>
    <definedName name="LockoutEmailSettings" localSheetId="28">'Site Settings - Administration'!$A$68</definedName>
    <definedName name="LockoutEmailSettings" localSheetId="27">'Site Settings - Modeling'!$A$52</definedName>
    <definedName name="LockoutEmailSettings" localSheetId="26">'Site Settings - Template'!$A$190</definedName>
    <definedName name="LongFix1" localSheetId="5">RBLResult!$AB$78</definedName>
    <definedName name="LongFix2" localSheetId="5">RBLResult!$DA$69</definedName>
    <definedName name="ManualEditNotification" localSheetId="16">'Site Settings - Template'!#REF!</definedName>
    <definedName name="ManualEditNotifications" localSheetId="28">'Site Settings - Administration'!$A$83</definedName>
    <definedName name="ManualEditNotifications" localSheetId="26">'Site Settings - Template'!$A$215</definedName>
    <definedName name="MappingLayouts" localSheetId="15">'Xml Data Mapping'!$A$9</definedName>
    <definedName name="MembershipErrorMessages" localSheetId="28">'Site Settings - Administration'!$A$60</definedName>
    <definedName name="MembershipErrorMessages" localSheetId="27">'Site Settings - Modeling'!$A$44</definedName>
    <definedName name="MembershipErrorMessages" localSheetId="26">'Site Settings - Template'!$A$156</definedName>
    <definedName name="MembershipInputs" localSheetId="28">'Site Settings - Administration'!$A$56</definedName>
    <definedName name="MembershipInputs" localSheetId="27">'Site Settings - Modeling'!$A$40</definedName>
    <definedName name="MembershipInputs" localSheetId="26">'Site Settings - Template'!$A$146</definedName>
    <definedName name="MembershipSettings" localSheetId="28">'Site Settings - Administration'!$A$52</definedName>
    <definedName name="MembershipSettings" localSheetId="27">'Site Settings - Modeling'!$A$36</definedName>
    <definedName name="MembershipSettings" localSheetId="26">'Site Settings - Template'!$A$123</definedName>
    <definedName name="MembershipSettingsAdminToParticipant" localSheetId="28">'Site Settings - Administration'!$A$38</definedName>
    <definedName name="MembershipSettingsAdminToParticipant" localSheetId="26">'Site Settings - Template'!$A$109</definedName>
    <definedName name="MHABatchCalc">RBLInput!$D$93</definedName>
    <definedName name="MHACalc">RBLInput!$D$92</definedName>
    <definedName name="MonthlyAnnuity" localSheetId="7">RBLProjection!$B$10</definedName>
    <definedName name="MonthlyAnnuity" localSheetId="5">RBLProjection!$B$10</definedName>
    <definedName name="namefirst">RBLInput!$D$51</definedName>
    <definedName name="namefirstben">RBLInput!$D$68</definedName>
    <definedName name="namelast">RBLInput!$D$50</definedName>
    <definedName name="namelastben">RBLInput!$D$67</definedName>
    <definedName name="namemiben">RBLInput!$D$69</definedName>
    <definedName name="OriginalGoalVariable">RBLProjection!$B$11</definedName>
    <definedName name="PathToProfileElement" localSheetId="15">'Xml Data Mapping'!$A$7</definedName>
    <definedName name="PlanningGraphsAgeStart" localSheetId="5">RBLResult!#REF!</definedName>
    <definedName name="ProfileLoadGroup" localSheetId="3">RBLInput!$B$4</definedName>
    <definedName name="ProjectionAge1Col1" localSheetId="7">RBLProjection!$D$36</definedName>
    <definedName name="ProjectionAge1DOR" localSheetId="7">RBLProjection!$C$36</definedName>
    <definedName name="ProjectionAge1DOT" localSheetId="7">RBLProjection!$B$36</definedName>
    <definedName name="ProjectionAgeInputDOR" localSheetId="7">RBLProjection!$C$47</definedName>
    <definedName name="ProjectionAgeInputDOT" localSheetId="7">RBLProjection!$B$47</definedName>
    <definedName name="ProjectionAgesToProject" localSheetId="7">RBLProjection!$B$28</definedName>
    <definedName name="ProjectionCol1" localSheetId="7">RBLProjection!$D$35</definedName>
    <definedName name="ProjectionDOR" localSheetId="7">RBLProjection!$C$35</definedName>
    <definedName name="ProjectionDORInput">RBLInput!$B$12</definedName>
    <definedName name="ProjectionDORStorage">RBLInput!$F$12</definedName>
    <definedName name="ProjectionDOT" localSheetId="7">RBLProjection!$B$35</definedName>
    <definedName name="ProjectionDOTInput">RBLInput!$B$11</definedName>
    <definedName name="ProjectionDOTStorage">RBLInput!$F$11</definedName>
    <definedName name="ProjectionInputCol1" localSheetId="7">RBLProjection!$D$47</definedName>
    <definedName name="RBLeMacro" localSheetId="4">RBLeMacro!$C$18</definedName>
    <definedName name="ResourceTable" localSheetId="24">Localization!$A$18</definedName>
    <definedName name="resulttable" localSheetId="4">RBLeMacro!$Q$20:$X$28</definedName>
    <definedName name="resulttable">'Docs - RBLe Macro'!$Q$20:$X$28</definedName>
    <definedName name="SampleLives" localSheetId="28">'Site Settings - Administration'!$A$30</definedName>
    <definedName name="SampleLives" localSheetId="27">'Site Settings - Modeling'!$A$24</definedName>
    <definedName name="SampleLives" localSheetId="26">'Site Settings - Template'!$A$100</definedName>
    <definedName name="SecretQuestions" localSheetId="28">'Site Settings - Administration'!$A$71</definedName>
    <definedName name="SecretQuestions" localSheetId="27">'Site Settings - Modeling'!$A$55</definedName>
    <definedName name="SecretQuestions" localSheetId="26">'Site Settings - Template'!$A$195</definedName>
    <definedName name="SelectedProfileHeaderDisplayExpression" localSheetId="16">'Site Settings - Template'!$B$91</definedName>
    <definedName name="sex">RBLInput!$D$52</definedName>
    <definedName name="sexben">RBLInput!$D$70</definedName>
    <definedName name="SheetType" localSheetId="22">'Calc Inputs'!$B$3</definedName>
    <definedName name="SheetType" localSheetId="20">'Data Lookup Tables'!$B$3</definedName>
    <definedName name="SheetType" localSheetId="17">'Flat Data'!$B$3</definedName>
    <definedName name="SheetType" localSheetId="21">'Framework Lookup Tables'!$B$3</definedName>
    <definedName name="SheetType" localSheetId="18">'Historical Data'!$B$3</definedName>
    <definedName name="SheetType" localSheetId="24">Localization!$B$3</definedName>
    <definedName name="SheetType" localSheetId="16">'Plan Info'!$B$3</definedName>
    <definedName name="SheetType" localSheetId="23">'Rate Tables'!$B$3</definedName>
    <definedName name="SheetType" localSheetId="10">RBLAdHoc!$B$4</definedName>
    <definedName name="SheetType" localSheetId="6">RBLBenCalc!$B$4</definedName>
    <definedName name="SheetType" localSheetId="2">RBLInfo!$B$3</definedName>
    <definedName name="SheetType" localSheetId="3">RBLInput!$B$5</definedName>
    <definedName name="SheetType" localSheetId="9">RBLReportLS_Sample!$B$4</definedName>
    <definedName name="SheetType" localSheetId="5">RBLResult!$B$4</definedName>
    <definedName name="SheetType" localSheetId="8">RBLUpdate!$B$4</definedName>
    <definedName name="SheetType" localSheetId="19">Reports!$B$3</definedName>
    <definedName name="SheetType" localSheetId="25">'Site Access'!$B$6</definedName>
    <definedName name="SheetType" localSheetId="28">'Site Settings - Administration'!$B$3</definedName>
    <definedName name="SheetType" localSheetId="27">'Site Settings - Modeling'!$B$3</definedName>
    <definedName name="SheetVersion" localSheetId="22">'Calc Inputs'!$B$2</definedName>
    <definedName name="SheetVersion" localSheetId="20">'Data Lookup Tables'!$B$2</definedName>
    <definedName name="SheetVersion" localSheetId="17">'Flat Data'!$B$2</definedName>
    <definedName name="SheetVersion" localSheetId="21">'Framework Lookup Tables'!$B$2</definedName>
    <definedName name="SheetVersion" localSheetId="18">'Historical Data'!$B$2</definedName>
    <definedName name="SheetVersion" localSheetId="24">Localization!$B$2</definedName>
    <definedName name="SheetVersion" localSheetId="16">'Plan Info'!$B$2</definedName>
    <definedName name="SheetVersion" localSheetId="23">'Rate Tables'!$B$2</definedName>
    <definedName name="SheetVersion" localSheetId="10">RBLAdHoc!$B$3</definedName>
    <definedName name="SheetVersion" localSheetId="6">RBLBenCalc!$B$3</definedName>
    <definedName name="SheetVersion" localSheetId="3">RBLInput!$B$3</definedName>
    <definedName name="SheetVersion" localSheetId="9">RBLReportLS_Sample!$B$3</definedName>
    <definedName name="SheetVersion" localSheetId="5">RBLResult!$B$3</definedName>
    <definedName name="SheetVersion" localSheetId="8">RBLUpdate!$B$3</definedName>
    <definedName name="SheetVersion" localSheetId="19">Reports!$B$2</definedName>
    <definedName name="SheetVersion" localSheetId="25">'Site Access'!$B$5</definedName>
    <definedName name="SheetVersion" localSheetId="28">'Site Settings - Administration'!$B$2</definedName>
    <definedName name="SheetVersion" localSheetId="27">'Site Settings - Modeling'!$B$2</definedName>
    <definedName name="SiteArea" localSheetId="28">'Site Settings - Administration'!$B$15</definedName>
    <definedName name="SiteArea" localSheetId="27">'Site Settings - Modeling'!$B$15</definedName>
    <definedName name="SiteArea" localSheetId="26">'Site Settings - Template'!$B$83</definedName>
    <definedName name="ssn">RBLInput!$D$49</definedName>
    <definedName name="ssnben">RBLInput!$D$71</definedName>
    <definedName name="SSOInformation" localSheetId="28">'Site Settings - Administration'!$A$34</definedName>
    <definedName name="SSOInformation" localSheetId="27">'Site Settings - Modeling'!$A$28</definedName>
    <definedName name="SSOInformation" localSheetId="26">'Site Settings - Template'!$A$104</definedName>
    <definedName name="StartData" localSheetId="17">'Flat Data'!$A$17</definedName>
    <definedName name="StartData" localSheetId="10">RBLAdHoc!$A$36</definedName>
    <definedName name="StartData" localSheetId="6">RBLBenCalc!$A$26</definedName>
    <definedName name="StartData" localSheetId="3">RBLInput!$A$8</definedName>
    <definedName name="StartData" localSheetId="9">RBLReportLS_Sample!$A$16</definedName>
    <definedName name="StartData" localSheetId="5">RBLResult!$A$62</definedName>
    <definedName name="StartData" localSheetId="8">RBLUpdate!$A$17</definedName>
    <definedName name="StartTables" localSheetId="10">RBLAdHoc!$A$37</definedName>
    <definedName name="StartTables" localSheetId="6">RBLBenCalc!$A$27</definedName>
    <definedName name="StartTables" localSheetId="3">RBLInput!$A$113</definedName>
    <definedName name="StartTables" localSheetId="9">RBLReportLS_Sample!$A$17</definedName>
    <definedName name="StartTables" localSheetId="5">RBLResult!$A$66</definedName>
    <definedName name="StartTables" localSheetId="8">RBLUpdate!$A$18</definedName>
    <definedName name="state">RBLInput!$D$65</definedName>
    <definedName name="SummaryCounts" localSheetId="19">Reports!$A$18</definedName>
    <definedName name="svcben">RBLInput!$D$60</definedName>
    <definedName name="svcvest">RBLInput!$D$61</definedName>
    <definedName name="TableConfigurations" localSheetId="18">'Historical Data'!$A$47</definedName>
    <definedName name="TableStartAddress" localSheetId="20">'Data Lookup Tables'!$B$4</definedName>
    <definedName name="TableStartAddress" localSheetId="21">'Framework Lookup Tables'!$B$4</definedName>
    <definedName name="TableStartAddress" localSheetId="23">'Rate Tables'!$B$4</definedName>
    <definedName name="tDCCatchUp" localSheetId="7">RBLProjection!#REF!</definedName>
    <definedName name="TotalSavings" localSheetId="7">RBLProjection!$B$13</definedName>
    <definedName name="TotalSavings" localSheetId="5">RBLProjection!$B$13</definedName>
    <definedName name="tWorkResults" localSheetId="7">RBLProjection!$D$35:$G$35</definedName>
    <definedName name="UTCOffset" localSheetId="16">'Plan Info'!$B$49</definedName>
    <definedName name="varPlan" localSheetId="6">RBLBenCalc!$B$49</definedName>
    <definedName name="varPlan" localSheetId="9">RBLReportLS_Sample!#REF!</definedName>
    <definedName name="Version">RBLInfo!$B$4</definedName>
    <definedName name="VersionHistory" localSheetId="16">'Plan Info'!$A$77</definedName>
    <definedName name="VersionHistory" localSheetId="2">RBLInfo!$A$9</definedName>
    <definedName name="VersionHistory" localSheetId="0">'Version History'!$A$5</definedName>
    <definedName name="ViewDataWarnings" localSheetId="28">'Site Settings - Administration'!$A$48</definedName>
    <definedName name="ViewDataWarnings" localSheetId="27">'Site Settings - Modeling'!$A$32</definedName>
    <definedName name="ViewDataWarnings" localSheetId="26">'Site Settings - Template'!$A$119</definedName>
    <definedName name="xDSDataFields">RBLInput!$A$48</definedName>
    <definedName name="zip">RBLInput!$D$66</definedName>
  </definedNames>
  <calcPr calcId="152511"/>
</workbook>
</file>

<file path=xl/calcChain.xml><?xml version="1.0" encoding="utf-8"?>
<calcChain xmlns="http://schemas.openxmlformats.org/spreadsheetml/2006/main">
  <c r="BS13" i="44" l="1"/>
  <c r="BR13" i="44"/>
  <c r="BQ13" i="44"/>
  <c r="BP13" i="44"/>
  <c r="BO13" i="44"/>
  <c r="BN13" i="44"/>
  <c r="BM13" i="44"/>
  <c r="BL13" i="44"/>
  <c r="BK13" i="44"/>
  <c r="BJ13" i="44"/>
  <c r="BH103" i="44"/>
  <c r="BH102" i="44"/>
  <c r="BH101" i="44"/>
  <c r="BH100" i="44"/>
  <c r="BH99" i="44"/>
  <c r="BH98" i="44"/>
  <c r="BH97" i="44"/>
  <c r="BH96" i="44"/>
  <c r="BH95" i="44"/>
  <c r="BH94" i="44"/>
  <c r="BH93" i="44"/>
  <c r="BH92" i="44"/>
  <c r="BH91" i="44"/>
  <c r="BH90" i="44"/>
  <c r="BH89" i="44"/>
  <c r="BH88" i="44"/>
  <c r="BH87" i="44"/>
  <c r="BH86" i="44"/>
  <c r="BH85" i="44"/>
  <c r="BH84" i="44"/>
  <c r="BH83" i="44"/>
  <c r="BH82" i="44"/>
  <c r="BH81" i="44"/>
  <c r="BH80" i="44"/>
  <c r="BH79" i="44"/>
  <c r="BH78" i="44"/>
  <c r="BH77" i="44"/>
  <c r="BH76" i="44"/>
  <c r="BH75" i="44"/>
  <c r="BH74" i="44"/>
  <c r="BH73" i="44"/>
  <c r="BH72" i="44"/>
  <c r="BH71" i="44"/>
  <c r="BH70" i="44"/>
  <c r="BH69" i="44"/>
  <c r="BH68" i="44"/>
  <c r="BH67" i="44"/>
  <c r="BH66" i="44"/>
  <c r="BH65" i="44"/>
  <c r="BH64" i="44"/>
  <c r="BH63" i="44"/>
  <c r="BH62" i="44"/>
  <c r="BH61" i="44"/>
  <c r="BH60" i="44"/>
  <c r="BH59" i="44"/>
  <c r="BH58" i="44"/>
  <c r="BH57" i="44"/>
  <c r="BH56" i="44"/>
  <c r="BH55" i="44"/>
  <c r="BH54" i="44"/>
  <c r="BH53" i="44"/>
  <c r="BH52" i="44"/>
  <c r="BH51" i="44"/>
  <c r="BH50" i="44"/>
  <c r="BH49" i="44"/>
  <c r="BH48" i="44"/>
  <c r="BH47" i="44"/>
  <c r="BH46" i="44"/>
  <c r="BH45" i="44"/>
  <c r="BH44" i="44"/>
  <c r="BH43" i="44"/>
  <c r="BH42" i="44"/>
  <c r="BH41" i="44"/>
  <c r="BH40" i="44"/>
  <c r="BH39" i="44"/>
  <c r="BH38" i="44"/>
  <c r="BH37" i="44"/>
  <c r="BH36" i="44"/>
  <c r="BH35" i="44"/>
  <c r="BH34" i="44"/>
  <c r="BH33" i="44"/>
  <c r="BH32" i="44"/>
  <c r="BH31" i="44"/>
  <c r="BH30" i="44"/>
  <c r="BH29" i="44"/>
  <c r="BH28" i="44"/>
  <c r="BH27" i="44"/>
  <c r="BH26" i="44"/>
  <c r="BH25" i="44"/>
  <c r="BH24" i="44"/>
  <c r="BH23" i="44"/>
  <c r="BH22" i="44"/>
  <c r="BH21" i="44"/>
  <c r="BH20" i="44"/>
  <c r="BH19" i="44"/>
  <c r="BH18" i="44"/>
  <c r="BH17" i="44"/>
  <c r="BH16" i="44"/>
  <c r="BH15" i="44"/>
  <c r="BH14" i="44"/>
  <c r="AZ10" i="44"/>
  <c r="AY10" i="44"/>
  <c r="AX10" i="44"/>
  <c r="AW10" i="44"/>
  <c r="AU100" i="44"/>
  <c r="AU99" i="44"/>
  <c r="AU98" i="44"/>
  <c r="AU97" i="44"/>
  <c r="AU96" i="44"/>
  <c r="AU95" i="44"/>
  <c r="AU94" i="44"/>
  <c r="AU93" i="44"/>
  <c r="AU92" i="44"/>
  <c r="AU91" i="44"/>
  <c r="AU90" i="44"/>
  <c r="AU89" i="44"/>
  <c r="AU88" i="44"/>
  <c r="AU87" i="44"/>
  <c r="AU86" i="44"/>
  <c r="AU85" i="44"/>
  <c r="AU84" i="44"/>
  <c r="AU83" i="44"/>
  <c r="AU82" i="44"/>
  <c r="AU81" i="44"/>
  <c r="AU80" i="44"/>
  <c r="AU79" i="44"/>
  <c r="AU78" i="44"/>
  <c r="AU77" i="44"/>
  <c r="AU76" i="44"/>
  <c r="AU75" i="44"/>
  <c r="AU74" i="44"/>
  <c r="AU73" i="44"/>
  <c r="AU72" i="44"/>
  <c r="AU71" i="44"/>
  <c r="AU70" i="44"/>
  <c r="AU69" i="44"/>
  <c r="AU68" i="44"/>
  <c r="AU67" i="44"/>
  <c r="AU66" i="44"/>
  <c r="AU65" i="44"/>
  <c r="AU64" i="44"/>
  <c r="AU63" i="44"/>
  <c r="AU62" i="44"/>
  <c r="AU61" i="44"/>
  <c r="AU60" i="44"/>
  <c r="AU59" i="44"/>
  <c r="AU58" i="44"/>
  <c r="AU57" i="44"/>
  <c r="AU56" i="44"/>
  <c r="AU55" i="44"/>
  <c r="AU54" i="44"/>
  <c r="AU53" i="44"/>
  <c r="AU52" i="44"/>
  <c r="AU51" i="44"/>
  <c r="AU50" i="44"/>
  <c r="AU49" i="44"/>
  <c r="AU48" i="44"/>
  <c r="AU47" i="44"/>
  <c r="AU46" i="44"/>
  <c r="AU45" i="44"/>
  <c r="AU44" i="44"/>
  <c r="AU43" i="44"/>
  <c r="AU42" i="44"/>
  <c r="AU41" i="44"/>
  <c r="AU40" i="44"/>
  <c r="AU39" i="44"/>
  <c r="AU38" i="44"/>
  <c r="AU37" i="44"/>
  <c r="AU36" i="44"/>
  <c r="AU35" i="44"/>
  <c r="AU34" i="44"/>
  <c r="AU33" i="44"/>
  <c r="AU32" i="44"/>
  <c r="AU31" i="44"/>
  <c r="AU30" i="44"/>
  <c r="AU29" i="44"/>
  <c r="AU28" i="44"/>
  <c r="AU27" i="44"/>
  <c r="AU26" i="44"/>
  <c r="AU25" i="44"/>
  <c r="AU24" i="44"/>
  <c r="AU23" i="44"/>
  <c r="AU22" i="44"/>
  <c r="AU21" i="44"/>
  <c r="AU20" i="44"/>
  <c r="AU19" i="44"/>
  <c r="AU18" i="44"/>
  <c r="AU17" i="44"/>
  <c r="AU16" i="44"/>
  <c r="AU15" i="44"/>
  <c r="AU14" i="44"/>
  <c r="AU13" i="44"/>
  <c r="AU12" i="44"/>
  <c r="AU11" i="44"/>
  <c r="AO11" i="44"/>
  <c r="AN11" i="44"/>
  <c r="AM11" i="44"/>
  <c r="AL11" i="44"/>
  <c r="AK11" i="44"/>
  <c r="AI27" i="44"/>
  <c r="AI26" i="44"/>
  <c r="AI25" i="44"/>
  <c r="AI24" i="44"/>
  <c r="AI23" i="44"/>
  <c r="AI22" i="44"/>
  <c r="AI21" i="44"/>
  <c r="AI20" i="44"/>
  <c r="AI19" i="44"/>
  <c r="AI18" i="44"/>
  <c r="AI17" i="44"/>
  <c r="AI16" i="44"/>
  <c r="AI15" i="44"/>
  <c r="AI14" i="44"/>
  <c r="AI13" i="44"/>
  <c r="AI12" i="44"/>
  <c r="AA27" i="44"/>
  <c r="AA26" i="44"/>
  <c r="AA25" i="44"/>
  <c r="AA24" i="44"/>
  <c r="AA23" i="44"/>
  <c r="AA22" i="44"/>
  <c r="AA21" i="44"/>
  <c r="AA20" i="44"/>
  <c r="AA19" i="44"/>
  <c r="AA18" i="44"/>
  <c r="AA17" i="44"/>
  <c r="AA16" i="44"/>
  <c r="AA15" i="44"/>
  <c r="AA14" i="44"/>
  <c r="AA13" i="44"/>
  <c r="AA12" i="44"/>
  <c r="AC11" i="44"/>
  <c r="N13" i="44"/>
  <c r="N12" i="44"/>
  <c r="N11" i="44"/>
  <c r="N10" i="44"/>
  <c r="BH13" i="44" l="1"/>
  <c r="BH12" i="44"/>
  <c r="BH11" i="44"/>
  <c r="BH10" i="44"/>
  <c r="BH9" i="44"/>
  <c r="BH8" i="44"/>
  <c r="BD33" i="44"/>
  <c r="BD32" i="44"/>
  <c r="BD31" i="44"/>
  <c r="BD30" i="44"/>
  <c r="BD29" i="44"/>
  <c r="BD28" i="44"/>
  <c r="BD27" i="44"/>
  <c r="BD26" i="44"/>
  <c r="BD25" i="44"/>
  <c r="BD24" i="44"/>
  <c r="BD23" i="44"/>
  <c r="BD22" i="44"/>
  <c r="BD21" i="44"/>
  <c r="BD20" i="44"/>
  <c r="BD19" i="44"/>
  <c r="BD18" i="44"/>
  <c r="BD17" i="44"/>
  <c r="BD16" i="44"/>
  <c r="BD15" i="44"/>
  <c r="BD14" i="44"/>
  <c r="BD13" i="44"/>
  <c r="BD12" i="44"/>
  <c r="BD10" i="44"/>
  <c r="BD9" i="44"/>
  <c r="BD8" i="44"/>
  <c r="AU10" i="44"/>
  <c r="AU9" i="44"/>
  <c r="AU8" i="44"/>
  <c r="AQ35" i="44"/>
  <c r="AQ34" i="44"/>
  <c r="AQ33" i="44"/>
  <c r="AQ32" i="44"/>
  <c r="AQ31" i="44"/>
  <c r="AQ30" i="44"/>
  <c r="AQ29" i="44"/>
  <c r="AQ28" i="44"/>
  <c r="AQ27" i="44"/>
  <c r="AQ26" i="44"/>
  <c r="AQ25" i="44"/>
  <c r="AQ24" i="44"/>
  <c r="AQ23" i="44"/>
  <c r="AQ22" i="44"/>
  <c r="AQ21" i="44"/>
  <c r="AQ20" i="44"/>
  <c r="AQ19" i="44"/>
  <c r="AQ18" i="44"/>
  <c r="AQ17" i="44"/>
  <c r="AQ16" i="44"/>
  <c r="AQ15" i="44"/>
  <c r="AQ14" i="44"/>
  <c r="AQ12" i="44"/>
  <c r="AQ11" i="44"/>
  <c r="AQ10" i="44"/>
  <c r="AQ9" i="44"/>
  <c r="AQ8" i="44"/>
  <c r="AI11" i="44"/>
  <c r="AI10" i="44"/>
  <c r="AI9" i="44"/>
  <c r="AI8" i="44"/>
  <c r="AE28" i="44"/>
  <c r="AE27" i="44"/>
  <c r="AE26" i="44"/>
  <c r="AE25" i="44"/>
  <c r="AE24" i="44"/>
  <c r="AE23" i="44"/>
  <c r="AE22" i="44"/>
  <c r="AE21" i="44"/>
  <c r="AE20" i="44"/>
  <c r="AE19" i="44"/>
  <c r="AE18" i="44"/>
  <c r="AE17" i="44"/>
  <c r="AE16" i="44"/>
  <c r="AE15" i="44"/>
  <c r="AE14" i="44"/>
  <c r="AE13" i="44"/>
  <c r="AE12" i="44"/>
  <c r="AE10" i="44"/>
  <c r="AE9" i="44"/>
  <c r="AE8" i="44"/>
  <c r="AA11" i="44"/>
  <c r="AA10" i="44"/>
  <c r="AA9" i="44"/>
  <c r="AA8" i="44"/>
  <c r="W24" i="44"/>
  <c r="W23" i="44"/>
  <c r="W22" i="44"/>
  <c r="W21" i="44"/>
  <c r="W20" i="44"/>
  <c r="W19" i="44"/>
  <c r="W18" i="44"/>
  <c r="W17" i="44"/>
  <c r="W16" i="44"/>
  <c r="W15" i="44"/>
  <c r="W14" i="44"/>
  <c r="W13" i="44"/>
  <c r="W12" i="44"/>
  <c r="W11" i="44"/>
  <c r="W9" i="44"/>
  <c r="W8" i="44"/>
  <c r="N9" i="44"/>
  <c r="N8" i="44"/>
  <c r="J27" i="44"/>
  <c r="J26" i="44"/>
  <c r="J25" i="44"/>
  <c r="J24" i="44"/>
  <c r="J23" i="44"/>
  <c r="J22" i="44"/>
  <c r="J21" i="44"/>
  <c r="J20" i="44"/>
  <c r="J19" i="44"/>
  <c r="J18" i="44"/>
  <c r="J17" i="44"/>
  <c r="J16" i="44"/>
  <c r="J15" i="44"/>
  <c r="J14" i="44"/>
  <c r="J13" i="44"/>
  <c r="J12" i="44"/>
  <c r="J10" i="44"/>
  <c r="J9" i="44"/>
  <c r="J8" i="44"/>
  <c r="CK20" i="43" l="1"/>
  <c r="CI20" i="43"/>
  <c r="B5" i="43"/>
  <c r="CH20" i="43"/>
  <c r="M44" i="42"/>
  <c r="B44" i="42"/>
  <c r="M43" i="42"/>
  <c r="B43" i="42"/>
  <c r="M42" i="42"/>
  <c r="B42" i="42"/>
  <c r="M41" i="42"/>
  <c r="B41" i="42"/>
  <c r="M40" i="42"/>
  <c r="B40" i="42"/>
  <c r="M39" i="42"/>
  <c r="B39" i="42"/>
  <c r="M38" i="42"/>
  <c r="B38" i="42"/>
  <c r="M37" i="42"/>
  <c r="B37" i="42"/>
  <c r="M36" i="42"/>
  <c r="B36" i="42"/>
  <c r="M35" i="42"/>
  <c r="B35" i="42"/>
  <c r="M34" i="42"/>
  <c r="B34" i="42"/>
  <c r="M33" i="42"/>
  <c r="B33" i="42"/>
  <c r="M32" i="42"/>
  <c r="B32" i="42"/>
  <c r="M31" i="42"/>
  <c r="B31" i="42"/>
  <c r="M30" i="42"/>
  <c r="I30" i="42"/>
  <c r="B30" i="42"/>
  <c r="I29" i="42"/>
  <c r="B29" i="42"/>
  <c r="M29" i="42" s="1"/>
  <c r="M28" i="42"/>
  <c r="B28" i="42"/>
  <c r="M27" i="42"/>
  <c r="B27" i="42"/>
  <c r="M26" i="42"/>
  <c r="B26" i="42"/>
  <c r="M25" i="42"/>
  <c r="B25" i="42"/>
  <c r="M24" i="42"/>
  <c r="B24" i="42"/>
  <c r="M23" i="42"/>
  <c r="B23" i="42"/>
  <c r="M22" i="42"/>
  <c r="B22" i="42"/>
  <c r="M21" i="42"/>
  <c r="B21" i="42"/>
  <c r="M20" i="42"/>
  <c r="B20" i="42"/>
  <c r="M19" i="42"/>
  <c r="B19" i="42"/>
  <c r="M18" i="42"/>
  <c r="B18" i="42"/>
  <c r="M17" i="42"/>
  <c r="J17" i="42"/>
  <c r="B17" i="42"/>
  <c r="B16" i="42"/>
  <c r="M16" i="42" s="1"/>
  <c r="B15" i="42"/>
  <c r="M15" i="42" s="1"/>
  <c r="B14" i="42"/>
  <c r="M14" i="42" s="1"/>
  <c r="I13" i="42"/>
  <c r="M13" i="42" s="1"/>
  <c r="B13" i="42"/>
  <c r="M12" i="42"/>
  <c r="I12" i="42"/>
  <c r="B12" i="42"/>
  <c r="B11" i="42"/>
  <c r="M11" i="42" s="1"/>
  <c r="I10" i="42"/>
  <c r="M10" i="42" s="1"/>
  <c r="B10" i="42"/>
  <c r="M9" i="42"/>
  <c r="B9" i="42"/>
  <c r="AD72" i="24" l="1"/>
  <c r="AC72" i="24"/>
  <c r="AB72" i="24"/>
  <c r="AA72" i="24"/>
  <c r="BE78" i="24"/>
  <c r="E19" i="39"/>
  <c r="E140" i="39"/>
  <c r="E139" i="39"/>
  <c r="D139" i="39"/>
  <c r="D138" i="39"/>
  <c r="F137" i="39"/>
  <c r="D137" i="39"/>
  <c r="D134" i="39"/>
  <c r="E133" i="39"/>
  <c r="D133" i="39"/>
  <c r="D136" i="39"/>
  <c r="D140" i="39" s="1"/>
  <c r="D131" i="39"/>
  <c r="D128" i="39"/>
  <c r="D125" i="39"/>
  <c r="D123" i="39"/>
  <c r="D126" i="39"/>
  <c r="E122" i="39"/>
  <c r="E125" i="39"/>
  <c r="D122" i="39"/>
  <c r="D102" i="39"/>
  <c r="D100" i="39"/>
  <c r="D95" i="39"/>
  <c r="I92" i="39"/>
  <c r="I95" i="39"/>
  <c r="D86" i="39"/>
  <c r="D77" i="39"/>
  <c r="D69" i="39"/>
  <c r="M65" i="39"/>
  <c r="J65" i="39"/>
  <c r="M64" i="39"/>
  <c r="J64" i="39"/>
  <c r="M63" i="39"/>
  <c r="J63" i="39"/>
  <c r="M62" i="39"/>
  <c r="J62" i="39"/>
  <c r="M61" i="39"/>
  <c r="J61" i="39"/>
  <c r="D61" i="39"/>
  <c r="M60" i="39"/>
  <c r="J60" i="39"/>
  <c r="M59" i="39"/>
  <c r="J59" i="39"/>
  <c r="M58" i="39"/>
  <c r="J58" i="39"/>
  <c r="H58" i="39"/>
  <c r="H59" i="39"/>
  <c r="H60" i="39"/>
  <c r="H61" i="39"/>
  <c r="H62" i="39"/>
  <c r="H63" i="39"/>
  <c r="H64" i="39"/>
  <c r="H65" i="39"/>
  <c r="M57" i="39"/>
  <c r="J57" i="39"/>
  <c r="I49" i="39"/>
  <c r="I44" i="39"/>
  <c r="I46" i="39"/>
  <c r="D83" i="39"/>
  <c r="F42" i="39"/>
  <c r="D41" i="39"/>
  <c r="D37" i="39"/>
  <c r="D35" i="39"/>
  <c r="D34" i="39"/>
  <c r="D33" i="39"/>
  <c r="D31" i="39"/>
  <c r="K27" i="39"/>
  <c r="K28" i="39"/>
  <c r="K29" i="39"/>
  <c r="K30" i="39"/>
  <c r="K31" i="39"/>
  <c r="D22" i="39"/>
  <c r="K24" i="39"/>
  <c r="K25" i="39"/>
  <c r="K26" i="39"/>
  <c r="A10" i="17"/>
  <c r="A9" i="17"/>
  <c r="CF74" i="24"/>
  <c r="BW73" i="24"/>
  <c r="BW69" i="24" s="1"/>
  <c r="D24" i="16"/>
  <c r="D25" i="16"/>
  <c r="D29" i="16"/>
  <c r="BF83" i="24" s="1"/>
  <c r="D28" i="16"/>
  <c r="D26" i="16"/>
  <c r="BF81" i="24"/>
  <c r="C87" i="16"/>
  <c r="D87" i="16" s="1"/>
  <c r="C86" i="16"/>
  <c r="D86" i="16"/>
  <c r="C70" i="24" s="1"/>
  <c r="C84" i="16"/>
  <c r="D84" i="16"/>
  <c r="C83" i="16"/>
  <c r="D83" i="16" s="1"/>
  <c r="D85" i="16"/>
  <c r="D81" i="16"/>
  <c r="N51" i="34" s="1"/>
  <c r="D80" i="16"/>
  <c r="D82" i="16"/>
  <c r="AM70" i="24" s="1"/>
  <c r="D79" i="16"/>
  <c r="D78" i="16"/>
  <c r="D77" i="16"/>
  <c r="C73" i="24" s="1"/>
  <c r="D76" i="16"/>
  <c r="D75" i="16"/>
  <c r="AP31" i="18" s="1"/>
  <c r="D72" i="16"/>
  <c r="C32" i="16"/>
  <c r="D32" i="16" s="1"/>
  <c r="D101" i="16" s="1"/>
  <c r="D71" i="16"/>
  <c r="W57" i="18" s="1"/>
  <c r="D70" i="16"/>
  <c r="W56" i="18"/>
  <c r="D69" i="16"/>
  <c r="W55" i="18" s="1"/>
  <c r="D68" i="16"/>
  <c r="W54" i="18"/>
  <c r="D67" i="16"/>
  <c r="W53" i="18" s="1"/>
  <c r="D66" i="16"/>
  <c r="W51" i="18"/>
  <c r="S51" i="18"/>
  <c r="D65" i="16"/>
  <c r="W50" i="18" s="1"/>
  <c r="D64" i="16"/>
  <c r="C35" i="16" s="1"/>
  <c r="D35" i="16" s="1"/>
  <c r="D63" i="16"/>
  <c r="C34" i="16" s="1"/>
  <c r="D34" i="16" s="1"/>
  <c r="D62" i="16"/>
  <c r="W47" i="18"/>
  <c r="S47" i="18"/>
  <c r="D61" i="16"/>
  <c r="W46" i="18" s="1"/>
  <c r="S46" i="18" s="1"/>
  <c r="D60" i="16"/>
  <c r="W45" i="18" s="1"/>
  <c r="S45" i="18" s="1"/>
  <c r="D59" i="16"/>
  <c r="W44" i="18"/>
  <c r="S44" i="18" s="1"/>
  <c r="D58" i="16"/>
  <c r="W43" i="18"/>
  <c r="S43" i="18"/>
  <c r="D57" i="16"/>
  <c r="W42" i="18" s="1"/>
  <c r="S42" i="18" s="1"/>
  <c r="D56" i="16"/>
  <c r="W41" i="18" s="1"/>
  <c r="S41" i="18" s="1"/>
  <c r="D55" i="16"/>
  <c r="W40" i="18"/>
  <c r="S40" i="18" s="1"/>
  <c r="D54" i="16"/>
  <c r="W39" i="18"/>
  <c r="S39" i="18"/>
  <c r="D53" i="16"/>
  <c r="AT33" i="18" s="1"/>
  <c r="AR33" i="18" s="1"/>
  <c r="B23" i="17"/>
  <c r="D52" i="16"/>
  <c r="W37" i="18" s="1"/>
  <c r="S37" i="18" s="1"/>
  <c r="D51" i="16"/>
  <c r="B36" i="18" s="1"/>
  <c r="W36" i="18"/>
  <c r="S36" i="18" s="1"/>
  <c r="D50" i="16"/>
  <c r="B37" i="18"/>
  <c r="D49" i="16"/>
  <c r="W34" i="18" s="1"/>
  <c r="S34" i="18" s="1"/>
  <c r="D45" i="16"/>
  <c r="C46" i="16" s="1"/>
  <c r="D46" i="16" s="1"/>
  <c r="D44" i="16"/>
  <c r="D16" i="17" s="1"/>
  <c r="D43" i="16"/>
  <c r="D42" i="16"/>
  <c r="D41" i="16"/>
  <c r="D40" i="16"/>
  <c r="D39" i="16"/>
  <c r="D38" i="16"/>
  <c r="D27" i="16"/>
  <c r="BF84" i="24"/>
  <c r="D23" i="16"/>
  <c r="D22" i="16"/>
  <c r="BF78" i="24"/>
  <c r="D13" i="16"/>
  <c r="D18" i="16" s="1"/>
  <c r="D12" i="16"/>
  <c r="B27" i="17" s="1"/>
  <c r="C47" i="17" s="1"/>
  <c r="D11" i="16"/>
  <c r="C10" i="16"/>
  <c r="D10" i="16" s="1"/>
  <c r="C9" i="16"/>
  <c r="D9" i="16" s="1"/>
  <c r="AT37" i="18" s="1"/>
  <c r="AR37" i="18" s="1"/>
  <c r="CF72" i="24"/>
  <c r="CA72" i="24"/>
  <c r="B82" i="28"/>
  <c r="D57" i="36"/>
  <c r="B89" i="28"/>
  <c r="D110" i="28"/>
  <c r="A115" i="28"/>
  <c r="C180" i="28"/>
  <c r="F179" i="9"/>
  <c r="F158" i="9"/>
  <c r="F159" i="9"/>
  <c r="F160" i="9"/>
  <c r="F167" i="9"/>
  <c r="F173" i="9"/>
  <c r="E36" i="10"/>
  <c r="C391" i="12"/>
  <c r="C36" i="10"/>
  <c r="C378" i="12"/>
  <c r="C379" i="12"/>
  <c r="A36" i="10"/>
  <c r="C365" i="12"/>
  <c r="U48" i="34"/>
  <c r="T55" i="34"/>
  <c r="T54" i="34"/>
  <c r="T56" i="34"/>
  <c r="B17" i="31"/>
  <c r="AY34" i="18"/>
  <c r="AY33" i="18"/>
  <c r="AY32" i="18"/>
  <c r="AY31" i="18"/>
  <c r="AY30" i="18"/>
  <c r="Y70" i="24"/>
  <c r="Y69" i="24"/>
  <c r="Y73" i="24" s="1"/>
  <c r="L30" i="18"/>
  <c r="L31" i="18"/>
  <c r="F34" i="18"/>
  <c r="F32" i="18"/>
  <c r="L32" i="18"/>
  <c r="L34" i="18"/>
  <c r="S45" i="5"/>
  <c r="S44" i="5"/>
  <c r="S43" i="5"/>
  <c r="S42" i="5"/>
  <c r="S41" i="5"/>
  <c r="S40" i="5"/>
  <c r="C39" i="5"/>
  <c r="I20" i="10"/>
  <c r="I21" i="10"/>
  <c r="G21" i="10"/>
  <c r="G20" i="10"/>
  <c r="G19" i="10"/>
  <c r="C49" i="32"/>
  <c r="C406" i="12"/>
  <c r="AD25" i="8"/>
  <c r="AD24" i="8"/>
  <c r="AD23" i="8"/>
  <c r="AD22" i="8"/>
  <c r="AD21" i="8"/>
  <c r="AC25" i="8"/>
  <c r="U24" i="8"/>
  <c r="U23" i="8"/>
  <c r="U22" i="8"/>
  <c r="U21" i="8"/>
  <c r="T24" i="8"/>
  <c r="C405" i="12"/>
  <c r="C199" i="12"/>
  <c r="D41" i="8"/>
  <c r="E31" i="18"/>
  <c r="E32" i="18"/>
  <c r="E33" i="18"/>
  <c r="E34" i="18"/>
  <c r="E35" i="18"/>
  <c r="E36" i="18"/>
  <c r="E37" i="18"/>
  <c r="E38" i="18"/>
  <c r="C68" i="4"/>
  <c r="C67" i="4"/>
  <c r="C66" i="4"/>
  <c r="A68" i="4"/>
  <c r="A67" i="4"/>
  <c r="A66" i="4"/>
  <c r="U69" i="9"/>
  <c r="C303" i="12"/>
  <c r="U79" i="9"/>
  <c r="N38" i="5"/>
  <c r="C40" i="12"/>
  <c r="C20" i="5"/>
  <c r="A44" i="32"/>
  <c r="B14" i="32"/>
  <c r="B14" i="31"/>
  <c r="C404" i="12"/>
  <c r="C403" i="12"/>
  <c r="B21" i="31"/>
  <c r="C218" i="12"/>
  <c r="F224" i="9"/>
  <c r="C355" i="12"/>
  <c r="C354" i="12"/>
  <c r="F87" i="9"/>
  <c r="C296" i="12"/>
  <c r="C394" i="12"/>
  <c r="C393" i="12"/>
  <c r="C392" i="12"/>
  <c r="E35" i="10"/>
  <c r="C390" i="12"/>
  <c r="E29" i="10"/>
  <c r="C385" i="12"/>
  <c r="E30" i="10"/>
  <c r="E27" i="10"/>
  <c r="C381" i="12"/>
  <c r="C389" i="12"/>
  <c r="C368" i="12"/>
  <c r="C48" i="5"/>
  <c r="C35" i="10"/>
  <c r="C30" i="10"/>
  <c r="C377" i="12"/>
  <c r="A35" i="10"/>
  <c r="A30" i="10"/>
  <c r="C364" i="12"/>
  <c r="X48" i="5"/>
  <c r="A29" i="10"/>
  <c r="A28" i="10"/>
  <c r="A27" i="10"/>
  <c r="A26" i="10"/>
  <c r="A21" i="10"/>
  <c r="A20" i="10"/>
  <c r="A19" i="10"/>
  <c r="C29" i="10"/>
  <c r="C362" i="12"/>
  <c r="C375" i="12"/>
  <c r="F93" i="9"/>
  <c r="F92" i="9"/>
  <c r="C302" i="12"/>
  <c r="C301" i="12"/>
  <c r="W93" i="9"/>
  <c r="W92" i="9"/>
  <c r="F91" i="9"/>
  <c r="C300" i="12"/>
  <c r="F90" i="9"/>
  <c r="C299" i="12"/>
  <c r="W89" i="9"/>
  <c r="F89" i="9"/>
  <c r="C402" i="12"/>
  <c r="A62" i="4"/>
  <c r="A61" i="4"/>
  <c r="A60" i="4"/>
  <c r="A59" i="4"/>
  <c r="A58" i="4"/>
  <c r="A57" i="4"/>
  <c r="A56" i="4"/>
  <c r="C28" i="10"/>
  <c r="C27" i="10"/>
  <c r="C26" i="10"/>
  <c r="C21" i="10"/>
  <c r="C20" i="10"/>
  <c r="C19" i="10"/>
  <c r="C352" i="12"/>
  <c r="C350" i="12"/>
  <c r="F133" i="9"/>
  <c r="F124" i="9"/>
  <c r="F279" i="9"/>
  <c r="F103" i="9"/>
  <c r="F111" i="9"/>
  <c r="C345" i="12"/>
  <c r="W85" i="9"/>
  <c r="W84" i="9"/>
  <c r="W83" i="9"/>
  <c r="W82" i="9"/>
  <c r="W81" i="9"/>
  <c r="W80" i="9"/>
  <c r="W79" i="9"/>
  <c r="W78" i="9"/>
  <c r="W77" i="9"/>
  <c r="W76" i="9"/>
  <c r="W75" i="9"/>
  <c r="W74" i="9"/>
  <c r="W73" i="9"/>
  <c r="W72" i="9"/>
  <c r="W71" i="9"/>
  <c r="W70" i="9"/>
  <c r="W69" i="9"/>
  <c r="W68" i="9"/>
  <c r="W67" i="9"/>
  <c r="W66" i="9"/>
  <c r="W65" i="9"/>
  <c r="W64" i="9"/>
  <c r="W62" i="9"/>
  <c r="W61" i="9"/>
  <c r="W60" i="9"/>
  <c r="W59" i="9"/>
  <c r="W57" i="9"/>
  <c r="W56" i="9"/>
  <c r="W55" i="9"/>
  <c r="W54" i="9"/>
  <c r="W53" i="9"/>
  <c r="F88"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BO21" i="8"/>
  <c r="BL32" i="8"/>
  <c r="BL31" i="8"/>
  <c r="BL30" i="8"/>
  <c r="BL29" i="8"/>
  <c r="BL28" i="8"/>
  <c r="BL27" i="8"/>
  <c r="BL26" i="8"/>
  <c r="BL25" i="8"/>
  <c r="BL24" i="8"/>
  <c r="BL23" i="8"/>
  <c r="BL22" i="8"/>
  <c r="BL21" i="8"/>
  <c r="AC24" i="8"/>
  <c r="AC23" i="8"/>
  <c r="AC22" i="8"/>
  <c r="AC21" i="8"/>
  <c r="T23" i="8"/>
  <c r="T22" i="8"/>
  <c r="T21" i="8"/>
  <c r="BR22" i="8"/>
  <c r="BR21" i="8"/>
  <c r="AQ21" i="8"/>
  <c r="AI21" i="8"/>
  <c r="O21" i="8"/>
  <c r="O24" i="8"/>
  <c r="O23" i="8"/>
  <c r="O22" i="8"/>
  <c r="N21" i="8"/>
  <c r="N24" i="8"/>
  <c r="N23" i="8"/>
  <c r="N22" i="8"/>
  <c r="J21" i="8"/>
  <c r="H21" i="8"/>
  <c r="H23" i="8"/>
  <c r="H22" i="8"/>
  <c r="H24" i="8"/>
  <c r="I24" i="8"/>
  <c r="C40" i="8"/>
  <c r="C204" i="12"/>
  <c r="C203" i="12"/>
  <c r="J24" i="8"/>
  <c r="C41" i="8"/>
  <c r="C197" i="12"/>
  <c r="C198" i="12"/>
  <c r="C196" i="12"/>
  <c r="C195" i="12"/>
  <c r="C28" i="8"/>
  <c r="E28" i="8"/>
  <c r="B28" i="8"/>
  <c r="B34" i="8"/>
  <c r="B33" i="8"/>
  <c r="B32" i="8"/>
  <c r="B31" i="8"/>
  <c r="B30" i="8"/>
  <c r="B29" i="8"/>
  <c r="B27" i="8"/>
  <c r="B26" i="8"/>
  <c r="B25" i="8"/>
  <c r="B24" i="8"/>
  <c r="B23" i="8"/>
  <c r="B22" i="8"/>
  <c r="B21" i="8"/>
  <c r="S32" i="7"/>
  <c r="C178" i="12"/>
  <c r="P49" i="7"/>
  <c r="P48" i="7"/>
  <c r="P47" i="7"/>
  <c r="P46" i="7"/>
  <c r="P45" i="7"/>
  <c r="P44" i="7"/>
  <c r="P43" i="7"/>
  <c r="P42" i="7"/>
  <c r="P41" i="7"/>
  <c r="P40" i="7"/>
  <c r="P39" i="7"/>
  <c r="P38" i="7"/>
  <c r="P37" i="7"/>
  <c r="P36" i="7"/>
  <c r="P35" i="7"/>
  <c r="P34" i="7"/>
  <c r="P33" i="7"/>
  <c r="P32" i="7"/>
  <c r="J32" i="7"/>
  <c r="J33" i="7"/>
  <c r="M32" i="7"/>
  <c r="M33" i="7"/>
  <c r="F32" i="7"/>
  <c r="C177" i="12"/>
  <c r="C176" i="12"/>
  <c r="C175" i="12"/>
  <c r="C174" i="12"/>
  <c r="C173" i="12"/>
  <c r="C172" i="12"/>
  <c r="C171" i="12"/>
  <c r="C170" i="12"/>
  <c r="C169" i="12"/>
  <c r="C168" i="12"/>
  <c r="C167" i="12"/>
  <c r="C166" i="12"/>
  <c r="C165" i="12"/>
  <c r="C164" i="12"/>
  <c r="C163" i="12"/>
  <c r="C162" i="12"/>
  <c r="C161" i="12"/>
  <c r="C160" i="12"/>
  <c r="C159" i="12"/>
  <c r="C158" i="12"/>
  <c r="C157" i="12"/>
  <c r="C156" i="12"/>
  <c r="F60" i="7"/>
  <c r="F59" i="7"/>
  <c r="F58" i="7"/>
  <c r="F57" i="7"/>
  <c r="F56" i="7"/>
  <c r="F55" i="7"/>
  <c r="F54" i="7"/>
  <c r="F53" i="7"/>
  <c r="F52" i="7"/>
  <c r="F51" i="7"/>
  <c r="F50" i="7"/>
  <c r="F49" i="7"/>
  <c r="F48" i="7"/>
  <c r="F47" i="7"/>
  <c r="F46" i="7"/>
  <c r="F45" i="7"/>
  <c r="F44" i="7"/>
  <c r="F43" i="7"/>
  <c r="F42" i="7"/>
  <c r="F41" i="7"/>
  <c r="F40" i="7"/>
  <c r="F39" i="7"/>
  <c r="F38" i="7"/>
  <c r="F37" i="7"/>
  <c r="F36" i="7"/>
  <c r="F35" i="7"/>
  <c r="F34" i="7"/>
  <c r="F33" i="7"/>
  <c r="B32" i="7"/>
  <c r="B49" i="7"/>
  <c r="B48" i="7"/>
  <c r="B47" i="7"/>
  <c r="B46" i="7"/>
  <c r="B45" i="7"/>
  <c r="B44" i="7"/>
  <c r="B43" i="7"/>
  <c r="B42" i="7"/>
  <c r="B41" i="7"/>
  <c r="B40" i="7"/>
  <c r="B39" i="7"/>
  <c r="B38" i="7"/>
  <c r="B37" i="7"/>
  <c r="B36" i="7"/>
  <c r="B35" i="7"/>
  <c r="B34" i="7"/>
  <c r="B33" i="7"/>
  <c r="P65" i="6"/>
  <c r="C108" i="12"/>
  <c r="C98" i="6"/>
  <c r="C97" i="6"/>
  <c r="C96" i="6"/>
  <c r="C95" i="6"/>
  <c r="C91" i="6"/>
  <c r="C90" i="6"/>
  <c r="C89" i="6"/>
  <c r="C88" i="6"/>
  <c r="C87" i="6"/>
  <c r="C86" i="6"/>
  <c r="C82" i="6"/>
  <c r="C81" i="6"/>
  <c r="C80" i="6"/>
  <c r="C79" i="6"/>
  <c r="C78" i="6"/>
  <c r="C77" i="6"/>
  <c r="C76" i="6"/>
  <c r="C75" i="6"/>
  <c r="C71" i="6"/>
  <c r="C70" i="6"/>
  <c r="C66" i="6"/>
  <c r="C65" i="6"/>
  <c r="C64" i="6"/>
  <c r="C60" i="6"/>
  <c r="C59" i="6"/>
  <c r="C107" i="12"/>
  <c r="C106" i="12"/>
  <c r="C105" i="12"/>
  <c r="C104" i="12"/>
  <c r="C103" i="12"/>
  <c r="C102" i="12"/>
  <c r="C101" i="12"/>
  <c r="C100" i="12"/>
  <c r="C99" i="12"/>
  <c r="C98" i="12"/>
  <c r="C97" i="12"/>
  <c r="C96" i="12"/>
  <c r="C95" i="12"/>
  <c r="C94" i="12"/>
  <c r="C93" i="12"/>
  <c r="C92" i="12"/>
  <c r="C91" i="12"/>
  <c r="C90" i="12"/>
  <c r="C89" i="12"/>
  <c r="C88" i="12"/>
  <c r="C87" i="12"/>
  <c r="C86" i="12"/>
  <c r="C85" i="12"/>
  <c r="C84" i="12"/>
  <c r="C54" i="6"/>
  <c r="C53" i="6"/>
  <c r="C52" i="6"/>
  <c r="C51" i="6"/>
  <c r="C50" i="6"/>
  <c r="C49" i="6"/>
  <c r="C48" i="6"/>
  <c r="C82" i="12"/>
  <c r="C81" i="12"/>
  <c r="AC38" i="5"/>
  <c r="AC37" i="5"/>
  <c r="AC36" i="5"/>
  <c r="AC35" i="5"/>
  <c r="AC34" i="5"/>
  <c r="AC22" i="5"/>
  <c r="AC21" i="5"/>
  <c r="AC20" i="5"/>
  <c r="P70" i="5"/>
  <c r="P69" i="5"/>
  <c r="P68" i="5"/>
  <c r="P67" i="5"/>
  <c r="P66" i="5"/>
  <c r="C75" i="12"/>
  <c r="C70" i="5"/>
  <c r="C69" i="5"/>
  <c r="C68" i="5"/>
  <c r="C67" i="5"/>
  <c r="C66" i="5"/>
  <c r="C65" i="5"/>
  <c r="C64" i="5"/>
  <c r="C63" i="5"/>
  <c r="C62" i="5"/>
  <c r="C61" i="5"/>
  <c r="C60" i="5"/>
  <c r="C59" i="5"/>
  <c r="C58" i="5"/>
  <c r="C57" i="5"/>
  <c r="C56" i="5"/>
  <c r="C55" i="5"/>
  <c r="C54" i="5"/>
  <c r="C53" i="5"/>
  <c r="C52" i="5"/>
  <c r="C51" i="5"/>
  <c r="C50" i="5"/>
  <c r="C49" i="5"/>
  <c r="C47" i="5"/>
  <c r="C46" i="5"/>
  <c r="C45" i="5"/>
  <c r="C44" i="5"/>
  <c r="C43" i="5"/>
  <c r="C42" i="5"/>
  <c r="C41" i="5"/>
  <c r="C40" i="5"/>
  <c r="C38" i="5"/>
  <c r="C37" i="5"/>
  <c r="C36" i="5"/>
  <c r="C35" i="5"/>
  <c r="C34" i="5"/>
  <c r="C33" i="5"/>
  <c r="C32" i="5"/>
  <c r="C31" i="5"/>
  <c r="C30" i="5"/>
  <c r="C29" i="5"/>
  <c r="C28" i="5"/>
  <c r="C27" i="5"/>
  <c r="C26" i="5"/>
  <c r="C25" i="5"/>
  <c r="C24" i="5"/>
  <c r="C23" i="5"/>
  <c r="C22" i="5"/>
  <c r="C21" i="5"/>
  <c r="C19" i="5"/>
  <c r="C18" i="5"/>
  <c r="C74" i="12"/>
  <c r="C73" i="12"/>
  <c r="C72" i="12"/>
  <c r="C71" i="12"/>
  <c r="C70" i="12"/>
  <c r="C69" i="12"/>
  <c r="C68" i="12"/>
  <c r="C67" i="12"/>
  <c r="C66" i="12"/>
  <c r="C65" i="12"/>
  <c r="C64" i="12"/>
  <c r="C63" i="12"/>
  <c r="C62" i="12"/>
  <c r="C61" i="12"/>
  <c r="C60" i="12"/>
  <c r="C59" i="12"/>
  <c r="C58" i="12"/>
  <c r="C57" i="12"/>
  <c r="C56" i="12"/>
  <c r="C55" i="12"/>
  <c r="C54" i="12"/>
  <c r="C53" i="12"/>
  <c r="C52" i="12"/>
  <c r="C51" i="12"/>
  <c r="C50" i="12"/>
  <c r="C49" i="12"/>
  <c r="C48" i="12"/>
  <c r="C47" i="12"/>
  <c r="C46" i="12"/>
  <c r="C45" i="12"/>
  <c r="C44" i="12"/>
  <c r="C43" i="12"/>
  <c r="C42" i="12"/>
  <c r="C41" i="12"/>
  <c r="C39" i="12"/>
  <c r="C38" i="12"/>
  <c r="C37" i="12"/>
  <c r="C36" i="12"/>
  <c r="C35" i="12"/>
  <c r="C34" i="12"/>
  <c r="C33" i="12"/>
  <c r="C32" i="12"/>
  <c r="C31" i="12"/>
  <c r="C30" i="12"/>
  <c r="C29" i="12"/>
  <c r="C28" i="12"/>
  <c r="C27" i="12"/>
  <c r="C26" i="12"/>
  <c r="C25" i="12"/>
  <c r="C24" i="12"/>
  <c r="C23" i="12"/>
  <c r="C22" i="12"/>
  <c r="C21" i="12"/>
  <c r="C20" i="12"/>
  <c r="G61" i="9"/>
  <c r="X49" i="5"/>
  <c r="X47" i="5"/>
  <c r="E25" i="8"/>
  <c r="D27" i="8"/>
  <c r="D93" i="16"/>
  <c r="D92" i="16"/>
  <c r="D19" i="41" s="1"/>
  <c r="A36" i="17"/>
  <c r="B28" i="17"/>
  <c r="D95" i="16"/>
  <c r="AO38" i="18"/>
  <c r="BN76" i="24"/>
  <c r="BL76" i="24"/>
  <c r="AM38" i="18"/>
  <c r="BM76" i="24"/>
  <c r="BK76" i="24"/>
  <c r="BT76" i="24"/>
  <c r="AO37" i="18"/>
  <c r="BO75" i="24"/>
  <c r="BN75" i="24"/>
  <c r="AM37" i="18"/>
  <c r="BM75" i="24"/>
  <c r="BK75" i="24"/>
  <c r="BT75" i="24"/>
  <c r="AO36" i="18"/>
  <c r="BO74" i="24"/>
  <c r="BN74" i="24"/>
  <c r="AM36" i="18"/>
  <c r="BM74" i="24"/>
  <c r="BK74" i="24"/>
  <c r="BT74" i="24"/>
  <c r="BO73" i="24"/>
  <c r="BN73" i="24"/>
  <c r="BM73" i="24"/>
  <c r="BK73" i="24"/>
  <c r="BT73" i="24"/>
  <c r="BO72" i="24"/>
  <c r="BN72" i="24"/>
  <c r="BM72" i="24"/>
  <c r="BK72" i="24"/>
  <c r="BT72" i="24"/>
  <c r="BE84" i="24"/>
  <c r="BE83" i="24"/>
  <c r="BE82" i="24"/>
  <c r="BE81" i="24"/>
  <c r="BE80" i="24"/>
  <c r="BE79" i="24"/>
  <c r="BQ76" i="24"/>
  <c r="BQ75" i="24"/>
  <c r="BQ74" i="24"/>
  <c r="BQ73" i="24"/>
  <c r="CS72" i="24"/>
  <c r="BQ72" i="24"/>
  <c r="H69" i="24"/>
  <c r="CS69" i="24"/>
  <c r="T69" i="24"/>
  <c r="W110" i="18"/>
  <c r="V110" i="18"/>
  <c r="V109" i="18"/>
  <c r="W108" i="18"/>
  <c r="V108" i="18"/>
  <c r="W107" i="18"/>
  <c r="V107" i="18"/>
  <c r="V106" i="18"/>
  <c r="W105" i="18"/>
  <c r="V105" i="18"/>
  <c r="W104" i="18"/>
  <c r="V104" i="18"/>
  <c r="W103" i="18"/>
  <c r="V103" i="18"/>
  <c r="W102" i="18"/>
  <c r="V102" i="18"/>
  <c r="V101" i="18"/>
  <c r="V100" i="18"/>
  <c r="W99" i="18"/>
  <c r="V99" i="18"/>
  <c r="W98" i="18"/>
  <c r="V98" i="18"/>
  <c r="W97" i="18"/>
  <c r="V97" i="18"/>
  <c r="W96" i="18"/>
  <c r="V96" i="18"/>
  <c r="V95" i="18"/>
  <c r="V94" i="18"/>
  <c r="W89" i="18"/>
  <c r="S89" i="18" s="1"/>
  <c r="V89" i="18"/>
  <c r="W88" i="18"/>
  <c r="S88" i="18" s="1"/>
  <c r="V88" i="18"/>
  <c r="W87" i="18"/>
  <c r="S87" i="18"/>
  <c r="V87" i="18"/>
  <c r="W86" i="18"/>
  <c r="S86" i="18"/>
  <c r="V86" i="18"/>
  <c r="W85" i="18"/>
  <c r="S85" i="18" s="1"/>
  <c r="V85" i="18"/>
  <c r="W84" i="18"/>
  <c r="S84" i="18" s="1"/>
  <c r="V84" i="18"/>
  <c r="W83" i="18"/>
  <c r="S83" i="18"/>
  <c r="V83" i="18"/>
  <c r="W82" i="18"/>
  <c r="S82" i="18"/>
  <c r="V82" i="18"/>
  <c r="W81" i="18"/>
  <c r="S81" i="18" s="1"/>
  <c r="V81" i="18"/>
  <c r="W80" i="18"/>
  <c r="S80" i="18" s="1"/>
  <c r="V80" i="18"/>
  <c r="W79" i="18"/>
  <c r="S79" i="18"/>
  <c r="V79" i="18"/>
  <c r="W78" i="18"/>
  <c r="S78" i="18"/>
  <c r="V78" i="18"/>
  <c r="W77" i="18"/>
  <c r="S77" i="18" s="1"/>
  <c r="V77" i="18"/>
  <c r="W76" i="18"/>
  <c r="S76" i="18" s="1"/>
  <c r="V76" i="18"/>
  <c r="W75" i="18"/>
  <c r="S75" i="18"/>
  <c r="V75" i="18"/>
  <c r="W74" i="18"/>
  <c r="S74" i="18"/>
  <c r="V74" i="18"/>
  <c r="W73" i="18"/>
  <c r="S73" i="18" s="1"/>
  <c r="V73" i="18"/>
  <c r="W72" i="18"/>
  <c r="S72" i="18" s="1"/>
  <c r="V72" i="18"/>
  <c r="W71" i="18"/>
  <c r="S71" i="18"/>
  <c r="V71" i="18"/>
  <c r="W70" i="18"/>
  <c r="S70" i="18"/>
  <c r="V70" i="18"/>
  <c r="W69" i="18"/>
  <c r="S69" i="18" s="1"/>
  <c r="V69" i="18"/>
  <c r="W68" i="18"/>
  <c r="S68" i="18" s="1"/>
  <c r="V68" i="18"/>
  <c r="W67" i="18"/>
  <c r="S67" i="18"/>
  <c r="V67" i="18"/>
  <c r="W66" i="18"/>
  <c r="S66" i="18"/>
  <c r="V66" i="18"/>
  <c r="W65" i="18"/>
  <c r="S65" i="18" s="1"/>
  <c r="V65" i="18"/>
  <c r="W64" i="18"/>
  <c r="S64" i="18" s="1"/>
  <c r="V64" i="18"/>
  <c r="W63" i="18"/>
  <c r="S63" i="18"/>
  <c r="V63" i="18"/>
  <c r="W62" i="18"/>
  <c r="S62" i="18"/>
  <c r="V62" i="18"/>
  <c r="W61" i="18"/>
  <c r="S61" i="18" s="1"/>
  <c r="V61" i="18"/>
  <c r="W60" i="18"/>
  <c r="S60" i="18" s="1"/>
  <c r="S59" i="18" s="1"/>
  <c r="V60" i="18"/>
  <c r="D35" i="17"/>
  <c r="G26" i="5"/>
  <c r="B22" i="20"/>
  <c r="AK32" i="18"/>
  <c r="AT32" i="18"/>
  <c r="AR32" i="18" s="1"/>
  <c r="BJ34" i="18"/>
  <c r="BM36" i="18"/>
  <c r="B42" i="18"/>
  <c r="AM39" i="18"/>
  <c r="AO39" i="18"/>
  <c r="AR41" i="18"/>
  <c r="AM40" i="18"/>
  <c r="AO40" i="18"/>
  <c r="AR42" i="18"/>
  <c r="AM41" i="18"/>
  <c r="AO41" i="18"/>
  <c r="AR43" i="18"/>
  <c r="AI42" i="18"/>
  <c r="AK42" i="18"/>
  <c r="AT44" i="18"/>
  <c r="AI43" i="18"/>
  <c r="AK43" i="18"/>
  <c r="AI44" i="18"/>
  <c r="AK44" i="18"/>
  <c r="AI45" i="18"/>
  <c r="AK45" i="18"/>
  <c r="AI46" i="18"/>
  <c r="AK46" i="18"/>
  <c r="AI47" i="18"/>
  <c r="AK47" i="18"/>
  <c r="AI48" i="18"/>
  <c r="AK48" i="18"/>
  <c r="AI49" i="18"/>
  <c r="AK49" i="18"/>
  <c r="AK50" i="18"/>
  <c r="AO54" i="18"/>
  <c r="AM54" i="18"/>
  <c r="AO55" i="18"/>
  <c r="AM55" i="18"/>
  <c r="AO56" i="18"/>
  <c r="AM56" i="18"/>
  <c r="AM57" i="18"/>
  <c r="AO57" i="18"/>
  <c r="AM58" i="18"/>
  <c r="AO58" i="18"/>
  <c r="AM59" i="18"/>
  <c r="AO59" i="18"/>
  <c r="AJ64" i="18"/>
  <c r="AK64" i="18"/>
  <c r="AJ65" i="18"/>
  <c r="AJ66" i="18"/>
  <c r="AO66" i="18"/>
  <c r="AJ67" i="18"/>
  <c r="AO67" i="18"/>
  <c r="AJ68" i="18"/>
  <c r="AO68" i="18"/>
  <c r="AJ69" i="18"/>
  <c r="AK69" i="18"/>
  <c r="V92" i="18"/>
  <c r="S93" i="18"/>
  <c r="AO72" i="18"/>
  <c r="AO73" i="18"/>
  <c r="AO74" i="18"/>
  <c r="AK76" i="18"/>
  <c r="AO78" i="18"/>
  <c r="B2" i="15"/>
  <c r="G31" i="5"/>
  <c r="G32" i="5"/>
  <c r="G52" i="5"/>
  <c r="G53" i="5"/>
  <c r="G54" i="5"/>
  <c r="G55" i="5"/>
  <c r="G59" i="6"/>
  <c r="G64" i="6"/>
  <c r="G70" i="6"/>
  <c r="G71" i="6"/>
  <c r="G96" i="6"/>
  <c r="E21" i="8"/>
  <c r="E22" i="8"/>
  <c r="E23" i="8"/>
  <c r="E24" i="8"/>
  <c r="E26" i="8"/>
  <c r="E27" i="8"/>
  <c r="E29" i="8"/>
  <c r="E30" i="8"/>
  <c r="E31" i="8"/>
  <c r="E32" i="8"/>
  <c r="E33" i="8"/>
  <c r="E34" i="8"/>
  <c r="H59" i="9"/>
  <c r="O69" i="9"/>
  <c r="C80" i="9"/>
  <c r="C88" i="9"/>
  <c r="C107" i="9"/>
  <c r="C120" i="9"/>
  <c r="B136" i="9"/>
  <c r="C137" i="9"/>
  <c r="C140" i="9"/>
  <c r="C144" i="9"/>
  <c r="C148" i="9"/>
  <c r="C76" i="12"/>
  <c r="C77" i="12"/>
  <c r="C78" i="12"/>
  <c r="C79" i="12"/>
  <c r="C80" i="12"/>
  <c r="C83" i="12"/>
  <c r="C109" i="12"/>
  <c r="C110" i="12"/>
  <c r="C111" i="12"/>
  <c r="C112" i="12"/>
  <c r="C113" i="12"/>
  <c r="C114" i="12"/>
  <c r="C115" i="12"/>
  <c r="C116" i="12"/>
  <c r="C117" i="12"/>
  <c r="C118" i="12"/>
  <c r="C119" i="12"/>
  <c r="C120" i="12"/>
  <c r="C121" i="12"/>
  <c r="C122" i="12"/>
  <c r="C123" i="12"/>
  <c r="C124" i="12"/>
  <c r="C125" i="12"/>
  <c r="C126" i="12"/>
  <c r="C127" i="12"/>
  <c r="C128" i="12"/>
  <c r="C129" i="12"/>
  <c r="C130" i="12"/>
  <c r="C131" i="12"/>
  <c r="C132" i="12"/>
  <c r="C133" i="12"/>
  <c r="C134" i="12"/>
  <c r="C135" i="12"/>
  <c r="C136" i="12"/>
  <c r="C137" i="12"/>
  <c r="C138" i="12"/>
  <c r="C139" i="12"/>
  <c r="C140" i="12"/>
  <c r="C141" i="12"/>
  <c r="C142" i="12"/>
  <c r="C143" i="12"/>
  <c r="C144" i="12"/>
  <c r="C145" i="12"/>
  <c r="C146" i="12"/>
  <c r="C147" i="12"/>
  <c r="C148" i="12"/>
  <c r="C149" i="12"/>
  <c r="C150" i="12"/>
  <c r="C151" i="12"/>
  <c r="C152" i="12"/>
  <c r="C153" i="12"/>
  <c r="C154" i="12"/>
  <c r="C155" i="12"/>
  <c r="C179" i="12"/>
  <c r="C180" i="12"/>
  <c r="C181" i="12"/>
  <c r="C182" i="12"/>
  <c r="C183" i="12"/>
  <c r="C184" i="12"/>
  <c r="C185" i="12"/>
  <c r="C186" i="12"/>
  <c r="C187" i="12"/>
  <c r="C188" i="12"/>
  <c r="C189" i="12"/>
  <c r="C190" i="12"/>
  <c r="C191" i="12"/>
  <c r="C192" i="12"/>
  <c r="C193" i="12"/>
  <c r="C194" i="12"/>
  <c r="C200" i="12"/>
  <c r="C201" i="12"/>
  <c r="C205" i="12"/>
  <c r="C206" i="12"/>
  <c r="C207" i="12"/>
  <c r="C208" i="12"/>
  <c r="C209" i="12"/>
  <c r="C210" i="12"/>
  <c r="C211" i="12"/>
  <c r="C212" i="12"/>
  <c r="C213" i="12"/>
  <c r="C214" i="12"/>
  <c r="C215" i="12"/>
  <c r="C216" i="12"/>
  <c r="C217" i="12"/>
  <c r="C219" i="12"/>
  <c r="C238" i="12"/>
  <c r="C239" i="12"/>
  <c r="C240" i="12"/>
  <c r="C254" i="12"/>
  <c r="C255" i="12"/>
  <c r="C256" i="12"/>
  <c r="C257" i="12"/>
  <c r="C258" i="12"/>
  <c r="C259" i="12"/>
  <c r="C260" i="12"/>
  <c r="C261" i="12"/>
  <c r="C262" i="12"/>
  <c r="C263" i="12"/>
  <c r="C264" i="12"/>
  <c r="C265" i="12"/>
  <c r="C266" i="12"/>
  <c r="C267" i="12"/>
  <c r="C268" i="12"/>
  <c r="C269" i="12"/>
  <c r="C270" i="12"/>
  <c r="C271" i="12"/>
  <c r="C272" i="12"/>
  <c r="C273" i="12"/>
  <c r="C274" i="12"/>
  <c r="C275" i="12"/>
  <c r="C276" i="12"/>
  <c r="C277" i="12"/>
  <c r="C278" i="12"/>
  <c r="C279" i="12"/>
  <c r="C280" i="12"/>
  <c r="C281" i="12"/>
  <c r="C282" i="12"/>
  <c r="C283" i="12"/>
  <c r="C284" i="12"/>
  <c r="C285" i="12"/>
  <c r="C286" i="12"/>
  <c r="C287" i="12"/>
  <c r="C288" i="12"/>
  <c r="C289" i="12"/>
  <c r="C290" i="12"/>
  <c r="C291" i="12"/>
  <c r="C292" i="12"/>
  <c r="C293" i="12"/>
  <c r="C294" i="12"/>
  <c r="C295" i="12"/>
  <c r="C297" i="12"/>
  <c r="C298" i="12"/>
  <c r="C304" i="12"/>
  <c r="C305" i="12"/>
  <c r="C306" i="12"/>
  <c r="C307" i="12"/>
  <c r="C308" i="12"/>
  <c r="C309" i="12"/>
  <c r="C310" i="12"/>
  <c r="C311" i="12"/>
  <c r="C312" i="12"/>
  <c r="C313" i="12"/>
  <c r="C314" i="12"/>
  <c r="C315" i="12"/>
  <c r="C316" i="12"/>
  <c r="C317" i="12"/>
  <c r="C318" i="12"/>
  <c r="C319" i="12"/>
  <c r="C320" i="12"/>
  <c r="C321" i="12"/>
  <c r="C322" i="12"/>
  <c r="C323" i="12"/>
  <c r="C324" i="12"/>
  <c r="C325" i="12"/>
  <c r="C326" i="12"/>
  <c r="C327" i="12"/>
  <c r="C328" i="12"/>
  <c r="C329" i="12"/>
  <c r="C330" i="12"/>
  <c r="C331" i="12"/>
  <c r="C332" i="12"/>
  <c r="C333" i="12"/>
  <c r="C334" i="12"/>
  <c r="C335" i="12"/>
  <c r="C336" i="12"/>
  <c r="C337" i="12"/>
  <c r="C338" i="12"/>
  <c r="C339" i="12"/>
  <c r="C340" i="12"/>
  <c r="C341" i="12"/>
  <c r="C342" i="12"/>
  <c r="C343" i="12"/>
  <c r="C344" i="12"/>
  <c r="C346" i="12"/>
  <c r="C347" i="12"/>
  <c r="C348" i="12"/>
  <c r="C349" i="12"/>
  <c r="C351" i="12"/>
  <c r="C353" i="12"/>
  <c r="C356" i="12"/>
  <c r="C357" i="12"/>
  <c r="C358" i="12"/>
  <c r="C359" i="12"/>
  <c r="C360" i="12"/>
  <c r="C361" i="12"/>
  <c r="C363" i="12"/>
  <c r="C366" i="12"/>
  <c r="C367" i="12"/>
  <c r="C369" i="12"/>
  <c r="C370" i="12"/>
  <c r="C371" i="12"/>
  <c r="C372" i="12"/>
  <c r="C373" i="12"/>
  <c r="C374" i="12"/>
  <c r="C376" i="12"/>
  <c r="C380" i="12"/>
  <c r="C382" i="12"/>
  <c r="C383" i="12"/>
  <c r="C384" i="12"/>
  <c r="C386" i="12"/>
  <c r="C387" i="12"/>
  <c r="C388" i="12"/>
  <c r="C395" i="12"/>
  <c r="C396" i="12"/>
  <c r="C397" i="12"/>
  <c r="C398" i="12"/>
  <c r="C399" i="12"/>
  <c r="C400" i="12"/>
  <c r="C401" i="12"/>
  <c r="C19" i="12"/>
  <c r="BO76" i="24"/>
  <c r="AR44" i="18"/>
  <c r="W92" i="18"/>
  <c r="S92" i="18"/>
  <c r="L33" i="18"/>
  <c r="L35" i="18"/>
  <c r="F31" i="18"/>
  <c r="F33" i="18"/>
  <c r="F38" i="18"/>
  <c r="CA74" i="24"/>
  <c r="E46" i="34"/>
  <c r="V70" i="24"/>
  <c r="N50" i="34"/>
  <c r="N40" i="34"/>
  <c r="C37" i="16"/>
  <c r="D37" i="16" s="1"/>
  <c r="AL53" i="18"/>
  <c r="B38" i="18"/>
  <c r="C33" i="16"/>
  <c r="D33" i="16" s="1"/>
  <c r="BU76" i="24"/>
  <c r="BX76" i="24"/>
  <c r="BU72" i="24"/>
  <c r="BU75" i="24"/>
  <c r="BX75" i="24"/>
  <c r="W35" i="18"/>
  <c r="S35" i="18"/>
  <c r="N41" i="34"/>
  <c r="E43" i="34"/>
  <c r="N44" i="34"/>
  <c r="N48" i="34"/>
  <c r="N60" i="34"/>
  <c r="N65" i="34"/>
  <c r="E45" i="34"/>
  <c r="A41" i="34"/>
  <c r="N49" i="34"/>
  <c r="N66" i="34"/>
  <c r="N56" i="34"/>
  <c r="E42" i="34"/>
  <c r="N52" i="34"/>
  <c r="N59" i="34"/>
  <c r="N64" i="34"/>
  <c r="N47" i="34"/>
  <c r="N58" i="34"/>
  <c r="E44" i="34"/>
  <c r="AL39" i="18"/>
  <c r="B44" i="18"/>
  <c r="B45" i="18" s="1"/>
  <c r="AL68" i="18"/>
  <c r="D17" i="16"/>
  <c r="S70" i="24"/>
  <c r="C76" i="24"/>
  <c r="D14" i="16"/>
  <c r="W38" i="18"/>
  <c r="C36" i="16"/>
  <c r="D36" i="16" s="1"/>
  <c r="BU73" i="24"/>
  <c r="AP63" i="18"/>
  <c r="AJ74" i="18" s="1"/>
  <c r="D19" i="16"/>
  <c r="C30" i="16"/>
  <c r="D30" i="16" s="1"/>
  <c r="BF82" i="24"/>
  <c r="B5" i="24"/>
  <c r="AL55" i="18"/>
  <c r="C69" i="24"/>
  <c r="V69" i="24"/>
  <c r="S69" i="24"/>
  <c r="R70" i="24"/>
  <c r="R71" i="24" s="1"/>
  <c r="R72" i="24" s="1"/>
  <c r="AL58" i="18"/>
  <c r="F37" i="18"/>
  <c r="F36" i="18"/>
  <c r="AL78" i="18"/>
  <c r="N43" i="34"/>
  <c r="N61" i="34"/>
  <c r="N57" i="34"/>
  <c r="E40" i="34"/>
  <c r="N45" i="34"/>
  <c r="N42" i="34"/>
  <c r="A40" i="34"/>
  <c r="N53" i="34"/>
  <c r="W49" i="18"/>
  <c r="S49" i="18" s="1"/>
  <c r="B40" i="18"/>
  <c r="AJ72" i="18"/>
  <c r="I93" i="39"/>
  <c r="D96" i="39" s="1"/>
  <c r="I94" i="39"/>
  <c r="B36" i="17"/>
  <c r="C36" i="17" s="1"/>
  <c r="C138" i="9"/>
  <c r="D13" i="17"/>
  <c r="A37" i="17"/>
  <c r="BU74" i="24"/>
  <c r="BX74" i="24"/>
  <c r="F35" i="18"/>
  <c r="W58" i="18"/>
  <c r="C31" i="16"/>
  <c r="D31" i="16" s="1"/>
  <c r="Y71" i="24"/>
  <c r="Y72" i="24" s="1"/>
  <c r="AJ70" i="18"/>
  <c r="A38" i="17"/>
  <c r="B37" i="17"/>
  <c r="C37" i="17" s="1"/>
  <c r="S52" i="18"/>
  <c r="S58" i="18"/>
  <c r="S55" i="18"/>
  <c r="AR34" i="18"/>
  <c r="W100" i="18"/>
  <c r="A39" i="17"/>
  <c r="B38" i="17"/>
  <c r="C38" i="17" s="1"/>
  <c r="B39" i="17"/>
  <c r="C39" i="17" s="1"/>
  <c r="A40" i="17"/>
  <c r="B40" i="17"/>
  <c r="C40" i="17" s="1"/>
  <c r="A41" i="17"/>
  <c r="B41" i="17" s="1"/>
  <c r="C41" i="17" s="1"/>
  <c r="A42" i="17"/>
  <c r="B42" i="17" s="1"/>
  <c r="C42" i="17" s="1"/>
  <c r="B60" i="4"/>
  <c r="D58" i="36"/>
  <c r="X68" i="5"/>
  <c r="B59" i="4"/>
  <c r="F153" i="9"/>
  <c r="F144" i="9"/>
  <c r="D61" i="9"/>
  <c r="A46" i="9"/>
  <c r="F244" i="9"/>
  <c r="F199" i="9"/>
  <c r="B62" i="4"/>
  <c r="X67" i="5"/>
  <c r="F209" i="9"/>
  <c r="G81" i="6"/>
  <c r="B39" i="32"/>
  <c r="G79" i="6"/>
  <c r="F19" i="10"/>
  <c r="D72" i="9"/>
  <c r="H159" i="9"/>
  <c r="F284" i="9"/>
  <c r="F163" i="9"/>
  <c r="F238" i="9"/>
  <c r="A43" i="9"/>
  <c r="F218" i="9"/>
  <c r="O67" i="5"/>
  <c r="O65" i="6"/>
  <c r="G80" i="6"/>
  <c r="F79" i="6"/>
  <c r="F39" i="32"/>
  <c r="G59" i="9"/>
  <c r="F110" i="28"/>
  <c r="C110" i="28"/>
  <c r="F212" i="9"/>
  <c r="E110" i="28"/>
  <c r="D64" i="9"/>
  <c r="E214" i="9"/>
  <c r="B47" i="9"/>
  <c r="F250" i="9"/>
  <c r="D30" i="39"/>
  <c r="D32" i="39"/>
  <c r="E35" i="39"/>
  <c r="E91" i="39"/>
  <c r="E102" i="39"/>
  <c r="E44" i="39"/>
  <c r="D74" i="39"/>
  <c r="D121" i="39"/>
  <c r="E73" i="39"/>
  <c r="E95" i="39"/>
  <c r="E123" i="39"/>
  <c r="B66" i="4"/>
  <c r="H80" i="9"/>
  <c r="O68" i="5"/>
  <c r="F255" i="9"/>
  <c r="E195" i="9"/>
  <c r="F81" i="6"/>
  <c r="A42" i="9"/>
  <c r="E198" i="9"/>
  <c r="E268" i="9"/>
  <c r="F185" i="9"/>
  <c r="I29" i="10"/>
  <c r="F208" i="9"/>
  <c r="E263" i="9"/>
  <c r="H60" i="9"/>
  <c r="E166" i="9"/>
  <c r="B61" i="4"/>
  <c r="F193" i="9"/>
  <c r="D73" i="9"/>
  <c r="E267" i="9"/>
  <c r="E168" i="9"/>
  <c r="F80" i="6"/>
  <c r="D63" i="36"/>
  <c r="F229" i="9"/>
  <c r="D74" i="9"/>
  <c r="B22" i="32"/>
  <c r="A48" i="9"/>
  <c r="J95" i="6"/>
  <c r="A44" i="9"/>
  <c r="E241" i="9"/>
  <c r="I30" i="10"/>
  <c r="A45" i="9"/>
  <c r="O69" i="5"/>
  <c r="E170" i="9"/>
  <c r="B110" i="28"/>
  <c r="E190" i="9"/>
  <c r="E216" i="9"/>
  <c r="D75" i="9"/>
  <c r="E240" i="9"/>
  <c r="D78" i="9"/>
  <c r="F20" i="10"/>
  <c r="H74" i="9"/>
  <c r="E93" i="39"/>
  <c r="E54" i="39"/>
  <c r="D58" i="39"/>
  <c r="D68" i="39"/>
  <c r="E26" i="39"/>
  <c r="D101" i="39"/>
  <c r="E46" i="39"/>
  <c r="D132" i="39"/>
  <c r="E31" i="39"/>
  <c r="G25" i="5"/>
  <c r="E69" i="39"/>
  <c r="E84" i="39"/>
  <c r="D46" i="39"/>
  <c r="E27" i="39"/>
  <c r="E24" i="39"/>
  <c r="E26" i="10"/>
  <c r="G91" i="6"/>
  <c r="E33" i="39"/>
  <c r="H61" i="9"/>
  <c r="G53" i="9"/>
  <c r="D49" i="39"/>
  <c r="E82" i="39"/>
  <c r="I209" i="9"/>
  <c r="E213" i="9"/>
  <c r="D79" i="9"/>
  <c r="X58" i="5"/>
  <c r="B68" i="4"/>
  <c r="X66" i="5"/>
  <c r="F231" i="9"/>
  <c r="F257" i="9"/>
  <c r="B58" i="4"/>
  <c r="E236" i="9"/>
  <c r="E164" i="9"/>
  <c r="F128" i="9"/>
  <c r="E243" i="9"/>
  <c r="O70" i="5"/>
  <c r="H20" i="10"/>
  <c r="F189" i="9"/>
  <c r="F186" i="9"/>
  <c r="E261" i="9"/>
  <c r="B91" i="28"/>
  <c r="H186" i="9"/>
  <c r="F260" i="9"/>
  <c r="F270" i="9"/>
  <c r="E266" i="9"/>
  <c r="B46" i="9"/>
  <c r="B56" i="4"/>
  <c r="A47" i="9"/>
  <c r="F292" i="9"/>
  <c r="D70" i="36"/>
  <c r="I185" i="9"/>
  <c r="F140" i="9"/>
  <c r="E215" i="9"/>
  <c r="E262" i="9"/>
  <c r="E192" i="9"/>
  <c r="E197" i="9"/>
  <c r="B115" i="28"/>
  <c r="E265" i="9"/>
  <c r="E235" i="9"/>
  <c r="X70" i="5"/>
  <c r="D75" i="36"/>
  <c r="E90" i="39"/>
  <c r="E120" i="39"/>
  <c r="G62" i="9"/>
  <c r="E134" i="39"/>
  <c r="E101" i="39"/>
  <c r="G80" i="9"/>
  <c r="E34" i="39"/>
  <c r="D67" i="39"/>
  <c r="D80" i="39"/>
  <c r="E47" i="39"/>
  <c r="E30" i="39"/>
  <c r="D107" i="39"/>
  <c r="E55" i="39"/>
  <c r="D94" i="39"/>
  <c r="E25" i="39"/>
  <c r="H53" i="9"/>
  <c r="B67" i="4"/>
  <c r="E131" i="39"/>
  <c r="E28" i="10"/>
  <c r="E94" i="39"/>
  <c r="F264" i="9"/>
  <c r="BS23" i="8"/>
  <c r="B23" i="32"/>
  <c r="E39" i="32"/>
  <c r="D81" i="36"/>
  <c r="E165" i="9"/>
  <c r="D19" i="36"/>
  <c r="B44" i="32"/>
  <c r="E169" i="9"/>
  <c r="E172" i="9"/>
  <c r="E194" i="9"/>
  <c r="H209" i="9"/>
  <c r="D24" i="36"/>
  <c r="E237" i="9"/>
  <c r="E269" i="9"/>
  <c r="E191" i="9"/>
  <c r="D76" i="9"/>
  <c r="E242" i="9"/>
  <c r="E239" i="9"/>
  <c r="F21" i="10"/>
  <c r="A49" i="32"/>
  <c r="E171" i="9"/>
  <c r="E217" i="9"/>
  <c r="F184" i="9"/>
  <c r="D65" i="9"/>
  <c r="B57" i="4"/>
  <c r="G60" i="9"/>
  <c r="O66" i="5"/>
  <c r="F234" i="9"/>
  <c r="F148" i="9"/>
  <c r="E196" i="9"/>
  <c r="H185" i="9"/>
  <c r="D77" i="9"/>
  <c r="F116" i="9"/>
  <c r="C39" i="32"/>
  <c r="X69" i="5"/>
  <c r="H21" i="10"/>
  <c r="D37" i="36"/>
  <c r="B90" i="28"/>
  <c r="E43" i="39"/>
  <c r="H88" i="9"/>
  <c r="E138" i="39"/>
  <c r="E48" i="39"/>
  <c r="E136" i="39"/>
  <c r="D45" i="39"/>
  <c r="H62" i="9"/>
  <c r="G45" i="5"/>
  <c r="E86" i="39"/>
  <c r="E49" i="39"/>
  <c r="E61" i="39"/>
  <c r="G56" i="5"/>
  <c r="G88" i="9"/>
  <c r="D79" i="39"/>
  <c r="D50" i="39"/>
  <c r="E45" i="39"/>
  <c r="E57" i="39"/>
  <c r="E129" i="39"/>
  <c r="E126" i="39"/>
  <c r="AJ50" i="18" l="1"/>
  <c r="AJ35" i="18"/>
  <c r="AJ43" i="18" s="1"/>
  <c r="AJ56" i="18"/>
  <c r="AJ55" i="18"/>
  <c r="AJ32" i="18"/>
  <c r="AJ51" i="18"/>
  <c r="AJ38" i="18"/>
  <c r="AJ46" i="18" s="1"/>
  <c r="AJ41" i="18"/>
  <c r="AJ49" i="18" s="1"/>
  <c r="AJ39" i="18"/>
  <c r="AJ47" i="18" s="1"/>
  <c r="AJ36" i="18"/>
  <c r="AJ44" i="18" s="1"/>
  <c r="AJ53" i="18"/>
  <c r="AV33" i="18"/>
  <c r="D16" i="16"/>
  <c r="AP60" i="18"/>
  <c r="AJ73" i="18"/>
  <c r="D21" i="16"/>
  <c r="W48" i="18"/>
  <c r="S48" i="18" s="1"/>
  <c r="D20" i="16"/>
  <c r="D70" i="24"/>
  <c r="AJ71" i="18"/>
  <c r="B34" i="18"/>
  <c r="B39" i="18"/>
  <c r="D15" i="16"/>
  <c r="B31" i="18"/>
  <c r="B5" i="18"/>
  <c r="N62" i="34"/>
  <c r="N54" i="34"/>
  <c r="N63" i="34"/>
  <c r="N55" i="34"/>
  <c r="E41" i="34"/>
  <c r="N46" i="34"/>
  <c r="A43" i="17"/>
  <c r="Y75" i="24"/>
  <c r="Y78" i="24"/>
  <c r="Y76" i="24"/>
  <c r="AT36" i="18"/>
  <c r="AR36" i="18" s="1"/>
  <c r="BL73" i="24"/>
  <c r="AA76" i="24"/>
  <c r="AL57" i="18"/>
  <c r="S71" i="24"/>
  <c r="AT38" i="18"/>
  <c r="AR38" i="18" s="1"/>
  <c r="AL72" i="18"/>
  <c r="W91" i="18"/>
  <c r="S91" i="18" s="1"/>
  <c r="AL67" i="18"/>
  <c r="AL54" i="18"/>
  <c r="AL74" i="18"/>
  <c r="BL75" i="24"/>
  <c r="S72" i="24"/>
  <c r="D74" i="24" s="1"/>
  <c r="AL38" i="18"/>
  <c r="AL71" i="18"/>
  <c r="Y80" i="24"/>
  <c r="BL74" i="24"/>
  <c r="BL72" i="24"/>
  <c r="AL73" i="18"/>
  <c r="AL35" i="18"/>
  <c r="T70" i="24"/>
  <c r="AL34" i="18"/>
  <c r="BF80" i="24"/>
  <c r="AL62" i="18"/>
  <c r="AL66" i="18"/>
  <c r="AL41" i="18"/>
  <c r="Y74" i="24"/>
  <c r="AL37" i="18"/>
  <c r="Y77" i="24"/>
  <c r="Y79" i="24"/>
  <c r="AL59" i="18"/>
  <c r="AL40" i="18"/>
  <c r="AL56" i="18"/>
  <c r="AL36" i="18"/>
  <c r="AL52" i="18"/>
  <c r="B26" i="17"/>
  <c r="B47" i="17" s="1"/>
  <c r="AT35" i="18"/>
  <c r="AR35" i="18" s="1"/>
  <c r="AB77" i="24"/>
  <c r="B43" i="18"/>
  <c r="BF79" i="24"/>
  <c r="AB76" i="24"/>
  <c r="D10" i="17"/>
  <c r="D15" i="17"/>
  <c r="AJ58" i="18"/>
  <c r="AJ59" i="18"/>
  <c r="AJ37" i="18"/>
  <c r="AJ45" i="18" s="1"/>
  <c r="AJ33" i="18"/>
  <c r="AJ57" i="18"/>
  <c r="AJ34" i="18"/>
  <c r="AJ42" i="18" s="1"/>
  <c r="AJ40" i="18"/>
  <c r="AJ48" i="18" s="1"/>
  <c r="AJ52" i="18"/>
  <c r="AJ54" i="18"/>
  <c r="AT34" i="18"/>
  <c r="S54" i="18"/>
  <c r="AR39" i="18"/>
  <c r="S53" i="18"/>
  <c r="AT39" i="18"/>
  <c r="S56" i="18"/>
  <c r="W94" i="18"/>
  <c r="I97" i="39"/>
  <c r="D93" i="39" s="1"/>
  <c r="E63" i="39"/>
  <c r="D64" i="39"/>
  <c r="E66" i="39"/>
  <c r="D70" i="39"/>
  <c r="E67" i="39"/>
  <c r="D82" i="39"/>
  <c r="E65" i="39"/>
  <c r="D87" i="39"/>
  <c r="E64" i="39"/>
  <c r="D63" i="39"/>
  <c r="E62" i="39"/>
  <c r="E77" i="39"/>
  <c r="F60" i="39"/>
  <c r="D66" i="39"/>
  <c r="D102" i="16"/>
  <c r="D110" i="16"/>
  <c r="W109" i="18" s="1"/>
  <c r="D107" i="16"/>
  <c r="D96" i="16"/>
  <c r="H231" i="9"/>
  <c r="H160" i="9"/>
  <c r="I159" i="9"/>
  <c r="E108" i="39"/>
  <c r="H257" i="9"/>
  <c r="I186" i="9"/>
  <c r="AV34" i="18" l="1"/>
  <c r="AV32" i="18"/>
  <c r="AJ61" i="18"/>
  <c r="AV31" i="18"/>
  <c r="AJ62" i="18"/>
  <c r="AV30" i="18"/>
  <c r="AP75" i="18"/>
  <c r="S50" i="18"/>
  <c r="C74" i="24"/>
  <c r="A44" i="17"/>
  <c r="B43" i="17"/>
  <c r="C43" i="17" s="1"/>
  <c r="I98" i="39"/>
  <c r="W106" i="18"/>
  <c r="C18" i="16"/>
  <c r="C19" i="16" s="1"/>
  <c r="W95" i="18"/>
  <c r="C14" i="16"/>
  <c r="C15" i="16" s="1"/>
  <c r="C20" i="16"/>
  <c r="C21" i="16" s="1"/>
  <c r="C11" i="16"/>
  <c r="C12" i="16" s="1"/>
  <c r="C16" i="16"/>
  <c r="C17" i="16" s="1"/>
  <c r="W101" i="18"/>
  <c r="B24" i="17"/>
  <c r="B25" i="17" s="1"/>
  <c r="I231" i="9"/>
  <c r="I160" i="9"/>
  <c r="I257" i="9"/>
  <c r="AJ77" i="18" l="1"/>
  <c r="AJ78" i="18"/>
  <c r="AJ76" i="18"/>
  <c r="A45" i="17"/>
  <c r="B44" i="17"/>
  <c r="C44" i="17" s="1"/>
  <c r="CF76" i="24"/>
  <c r="E35" i="17"/>
  <c r="A46" i="17" l="1"/>
  <c r="B46" i="17" s="1"/>
  <c r="C46" i="17" s="1"/>
  <c r="B45" i="17"/>
  <c r="C45" i="17" s="1"/>
  <c r="CG74" i="24"/>
  <c r="B9" i="17"/>
  <c r="CG76" i="24"/>
  <c r="CG72" i="24"/>
  <c r="CF73" i="24" l="1"/>
  <c r="CE73" i="24"/>
  <c r="B13" i="17" l="1"/>
  <c r="BV72" i="24"/>
  <c r="BX72" i="24" s="1"/>
  <c r="CF75" i="24"/>
  <c r="CA73" i="24"/>
  <c r="CG73" i="24"/>
  <c r="BV73" i="24"/>
  <c r="BX73" i="24" s="1"/>
  <c r="B15" i="17" l="1"/>
  <c r="B16" i="17" s="1"/>
  <c r="G10" i="17"/>
  <c r="AB73" i="24" s="1"/>
  <c r="B10" i="17"/>
  <c r="CG75" i="24"/>
  <c r="B18" i="17" l="1"/>
  <c r="B19" i="17" s="1"/>
  <c r="B12" i="17"/>
</calcChain>
</file>

<file path=xl/comments1.xml><?xml version="1.0" encoding="utf-8"?>
<comments xmlns="http://schemas.openxmlformats.org/spreadsheetml/2006/main">
  <authors>
    <author>Terry C Aney</author>
    <author>Terry C. Aney</author>
  </authors>
  <commentList>
    <comment ref="AE68" authorId="0" shapeId="0">
      <text>
        <r>
          <rPr>
            <b/>
            <sz val="9"/>
            <color indexed="81"/>
            <rFont val="Tahoma"/>
            <family val="2"/>
          </rPr>
          <t>BTR:</t>
        </r>
        <r>
          <rPr>
            <sz val="9"/>
            <color indexed="81"/>
            <rFont val="Tahoma"/>
            <family val="2"/>
          </rPr>
          <t xml:space="preserve">
If rendering a table in a client side/ajax RBLe calculation, you need to provide a jQuery selector to render to.  If not provided, the table will default to rendering to .{item} where {item} is name of table.</t>
        </r>
      </text>
    </comment>
    <comment ref="AY69" authorId="1"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 ref="AY70" authorId="1" shapeId="0">
      <text>
        <r>
          <rPr>
            <b/>
            <sz val="8"/>
            <color indexed="81"/>
            <rFont val="Tahoma"/>
            <family val="2"/>
          </rPr>
          <t>BTR:</t>
        </r>
        <r>
          <rPr>
            <sz val="8"/>
            <color indexed="81"/>
            <rFont val="Tahoma"/>
            <family val="2"/>
          </rPr>
          <t xml:space="preserve">
This row is optional, but if you want to control the look of a column with HTML 'class' styles, you can specify them here.  Using the class row will probably involve coordination with BTR.</t>
        </r>
      </text>
    </comment>
    <comment ref="AY71" authorId="1" shapeId="0">
      <text>
        <r>
          <rPr>
            <b/>
            <sz val="8"/>
            <color indexed="81"/>
            <rFont val="Tahoma"/>
            <family val="2"/>
          </rPr>
          <t>BTR:</t>
        </r>
        <r>
          <rPr>
            <sz val="8"/>
            <color indexed="81"/>
            <rFont val="Tahoma"/>
            <family val="2"/>
          </rPr>
          <t xml:space="preserve">
If you want to have fine grain control over the width of the columns you can use a 'width row' and control the width from within the SpreadEngine.</t>
        </r>
      </text>
    </comment>
  </commentList>
</comments>
</file>

<file path=xl/comments10.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 ref="B47" authorId="0" shapeId="0">
      <text>
        <r>
          <rPr>
            <b/>
            <sz val="8"/>
            <color indexed="81"/>
            <rFont val="Tahoma"/>
            <family val="2"/>
          </rPr>
          <t>BTR:</t>
        </r>
        <r>
          <rPr>
            <sz val="8"/>
            <color indexed="81"/>
            <rFont val="Tahoma"/>
            <family val="2"/>
          </rPr>
          <t xml:space="preserve">
Lists the name of the table layout (layouts are defined below this configuration table) to use.
If you have two types of tables that use the same exact fields, you can specify that two tables uses one layout configuration (i.e. more than one row configured to use same layout).
</t>
        </r>
        <r>
          <rPr>
            <b/>
            <sz val="8"/>
            <color indexed="81"/>
            <rFont val="Tahoma"/>
            <family val="2"/>
          </rPr>
          <t>Note:</t>
        </r>
        <r>
          <rPr>
            <sz val="8"/>
            <color indexed="81"/>
            <rFont val="Tahoma"/>
            <family val="2"/>
          </rPr>
          <t xml:space="preserve"> If this cell is blank, then the table will not be included in the Data Layout.</t>
        </r>
      </text>
    </comment>
    <comment ref="C47" authorId="0" shapeId="0">
      <text>
        <r>
          <rPr>
            <b/>
            <sz val="8"/>
            <color indexed="81"/>
            <rFont val="Tahoma"/>
            <family val="2"/>
          </rPr>
          <t>BTR:</t>
        </r>
        <r>
          <rPr>
            <sz val="8"/>
            <color indexed="81"/>
            <rFont val="Tahoma"/>
            <family val="2"/>
          </rPr>
          <t xml:space="preserve">
Specifies the label to display on Profile View/Personal Info screens.</t>
        </r>
      </text>
    </comment>
    <comment ref="D47" authorId="0" shapeId="0">
      <text>
        <r>
          <rPr>
            <b/>
            <sz val="9"/>
            <color indexed="81"/>
            <rFont val="Tahoma"/>
            <family val="2"/>
          </rPr>
          <t>BTR:</t>
        </r>
        <r>
          <rPr>
            <sz val="9"/>
            <color indexed="81"/>
            <rFont val="Tahoma"/>
            <family val="2"/>
          </rPr>
          <t xml:space="preserve">
Controls the default sorting of historical rows when rendering in view or edit.</t>
        </r>
      </text>
    </comment>
    <comment ref="E47" authorId="0" shapeId="0">
      <text>
        <r>
          <rPr>
            <b/>
            <sz val="9"/>
            <color indexed="81"/>
            <rFont val="Tahoma"/>
            <family val="2"/>
          </rPr>
          <t>BTR:</t>
        </r>
        <r>
          <rPr>
            <sz val="9"/>
            <color indexed="81"/>
            <rFont val="Tahoma"/>
            <family val="2"/>
          </rPr>
          <t xml:space="preserve">
The maximum number of columns of data to show on listing grids before inserting a column paging mechanism.</t>
        </r>
      </text>
    </comment>
    <comment ref="F47" authorId="0" shapeId="0">
      <text>
        <r>
          <rPr>
            <b/>
            <sz val="9"/>
            <color indexed="81"/>
            <rFont val="Tahoma"/>
            <family val="2"/>
          </rPr>
          <t>BTR:</t>
        </r>
        <r>
          <rPr>
            <sz val="9"/>
            <color indexed="81"/>
            <rFont val="Tahoma"/>
            <family val="2"/>
          </rPr>
          <t xml:space="preserve">
When column paging is enabled due to the total column count, this value determines how many of the columns to fix (always display).  Normally the value is 1 (to lock the index).</t>
        </r>
      </text>
    </comment>
    <comment ref="J58" authorId="0" shapeId="0">
      <text>
        <r>
          <rPr>
            <b/>
            <sz val="9"/>
            <color indexed="81"/>
            <rFont val="Tahoma"/>
            <family val="2"/>
          </rPr>
          <t>BTR:</t>
        </r>
        <r>
          <rPr>
            <sz val="9"/>
            <color indexed="81"/>
            <rFont val="Tahoma"/>
            <family val="2"/>
          </rPr>
          <t xml:space="preserve">
If this formula is provided, the  field will not be displayed in the edit mode for the profile.
You can use GetProfileXXX functions or simply reference a field on this sheet by pointing formula to the field name (column a).  If you are returning a value on the same 'model' (i.e. flat field from another flat calculated field, or history field from another history field in that same history row) reference field by Excel address.</t>
        </r>
      </text>
    </comment>
    <comment ref="A59" authorId="0" shapeId="0">
      <text>
        <r>
          <rPr>
            <b/>
            <sz val="8"/>
            <color indexed="81"/>
            <rFont val="Tahoma"/>
            <family val="2"/>
          </rPr>
          <t>BTR:</t>
        </r>
        <r>
          <rPr>
            <sz val="8"/>
            <color indexed="81"/>
            <rFont val="Tahoma"/>
            <family val="2"/>
          </rPr>
          <t xml:space="preserve">
You can append on two switches to the Data Field names to control configuration.
/viewonly - this  indicates that the field is there for viewing purposes only and shouldn't be 'validated'.  The purpose of this is if you have a table with several fields and you group them into 'two tables' on this config sheet.  You would put the /viewonly on the second tables </t>
        </r>
        <r>
          <rPr>
            <i/>
            <sz val="8"/>
            <color indexed="81"/>
            <rFont val="Tahoma"/>
            <family val="2"/>
          </rPr>
          <t>index</t>
        </r>
        <r>
          <rPr>
            <sz val="8"/>
            <color indexed="81"/>
            <rFont val="Tahoma"/>
            <family val="2"/>
          </rPr>
          <t xml:space="preserve"> column so it wasn't validated twice.
/hide - this indicates that the field should </t>
        </r>
        <r>
          <rPr>
            <i/>
            <sz val="8"/>
            <color indexed="81"/>
            <rFont val="Tahoma"/>
            <family val="2"/>
          </rPr>
          <t>not</t>
        </r>
        <r>
          <rPr>
            <sz val="8"/>
            <color indexed="81"/>
            <rFont val="Tahoma"/>
            <family val="2"/>
          </rPr>
          <t xml:space="preserve"> be displayed when viewing/editing the data, but we want it imported so that it can be used in 'backend processes'.</t>
        </r>
      </text>
    </comment>
  </commentList>
</comments>
</file>

<file path=xl/comments11.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 ref="B14" authorId="0" shapeId="0">
      <text>
        <r>
          <rPr>
            <b/>
            <sz val="9"/>
            <color indexed="81"/>
            <rFont val="Tahoma"/>
            <family val="2"/>
          </rPr>
          <t>BTR:</t>
        </r>
        <r>
          <rPr>
            <sz val="9"/>
            <color indexed="81"/>
            <rFont val="Tahoma"/>
            <family val="2"/>
          </rPr>
          <t xml:space="preserve">
If the report should be FTP'ed after execution, specify the address here (i.e. ftp://ftp.client.com/folder/path)</t>
        </r>
      </text>
    </comment>
    <comment ref="E14" authorId="0" shapeId="0">
      <text>
        <r>
          <rPr>
            <b/>
            <sz val="9"/>
            <color indexed="81"/>
            <rFont val="Tahoma"/>
            <family val="2"/>
          </rPr>
          <t>BTR:</t>
        </r>
        <r>
          <rPr>
            <sz val="9"/>
            <color indexed="81"/>
            <rFont val="Tahoma"/>
            <family val="2"/>
          </rPr>
          <t xml:space="preserve">
Provide Y or N about whether or not to use FTP Passive Mode.  If using BTR FTP servers, normally set to N.</t>
        </r>
      </text>
    </comment>
    <comment ref="F14" authorId="0" shapeId="0">
      <text>
        <r>
          <rPr>
            <b/>
            <sz val="9"/>
            <color indexed="81"/>
            <rFont val="Tahoma"/>
            <family val="2"/>
          </rPr>
          <t>BTR:</t>
        </r>
        <r>
          <rPr>
            <sz val="9"/>
            <color indexed="81"/>
            <rFont val="Tahoma"/>
            <family val="2"/>
          </rPr>
          <t xml:space="preserve">
Provide Y or N if you wish to use ftp enabled over an SSL connection.  Default is normally blank or N.</t>
        </r>
      </text>
    </comment>
    <comment ref="G14" authorId="0" shapeId="0">
      <text>
        <r>
          <rPr>
            <b/>
            <sz val="9"/>
            <color indexed="81"/>
            <rFont val="Tahoma"/>
            <family val="2"/>
          </rPr>
          <t>BTR:</t>
        </r>
        <r>
          <rPr>
            <sz val="9"/>
            <color indexed="81"/>
            <rFont val="Tahoma"/>
            <family val="2"/>
          </rPr>
          <t xml:space="preserve">
Semi-colon delimitted list of emails to notify upon report completion.
Normally in the format of:
Buck FTP Support &lt;ftp.support@buckconsultants.com&gt;;Buck AE &lt;buck.ae@buckconsultants.com&gt;</t>
        </r>
      </text>
    </comment>
    <comment ref="H14" authorId="0" shapeId="0">
      <text>
        <r>
          <rPr>
            <b/>
            <sz val="9"/>
            <color indexed="81"/>
            <rFont val="Tahoma"/>
            <family val="2"/>
          </rPr>
          <t>BTR:</t>
        </r>
        <r>
          <rPr>
            <sz val="9"/>
            <color indexed="81"/>
            <rFont val="Tahoma"/>
            <family val="2"/>
          </rPr>
          <t xml:space="preserve">
Semi-colon delimitted list of PGP recipients to send information to.
Normally in the format of:
Acme, Inc. &lt;pgp@acme.com&gt;;BTR Backups &lt;backups@benefittech.com&gt;</t>
        </r>
      </text>
    </comment>
    <comment ref="I14" authorId="0" shapeId="0">
      <text>
        <r>
          <rPr>
            <b/>
            <sz val="9"/>
            <color indexed="81"/>
            <rFont val="Tahoma"/>
            <family val="2"/>
          </rPr>
          <t>BTR:</t>
        </r>
        <r>
          <rPr>
            <sz val="9"/>
            <color indexed="81"/>
            <rFont val="Tahoma"/>
            <family val="2"/>
          </rPr>
          <t xml:space="preserve">
When encrypting a report to FTP the results, provide the PGP signature key (usually an email address like BTR Reports &lt;reports@benefittech.com&gt;).</t>
        </r>
      </text>
    </comment>
    <comment ref="D18" authorId="0" shapeId="0">
      <text>
        <r>
          <rPr>
            <b/>
            <sz val="8"/>
            <color indexed="81"/>
            <rFont val="Tahoma"/>
            <family val="2"/>
          </rPr>
          <t>BTR:</t>
        </r>
        <r>
          <rPr>
            <sz val="8"/>
            <color indexed="81"/>
            <rFont val="Tahoma"/>
            <family val="2"/>
          </rPr>
          <t xml:space="preserve">
If the current report is a 'generic' listing of data built from Flat Data and/or Historical Data (i.e. not custom coded by BTR), provide a unique ID that is used by matching the Listing:{ID} configuration column.  All configured columns will be generated as a report for either on screen presentation and/or *.csv download.
Note: If no columns in the </t>
        </r>
        <r>
          <rPr>
            <i/>
            <sz val="8"/>
            <color indexed="81"/>
            <rFont val="Tahoma"/>
            <family val="2"/>
          </rPr>
          <t>Flat Data</t>
        </r>
        <r>
          <rPr>
            <sz val="8"/>
            <color indexed="81"/>
            <rFont val="Tahoma"/>
            <family val="2"/>
          </rPr>
          <t xml:space="preserve"> or </t>
        </r>
        <r>
          <rPr>
            <i/>
            <sz val="8"/>
            <color indexed="81"/>
            <rFont val="Tahoma"/>
            <family val="2"/>
          </rPr>
          <t>Historical Data</t>
        </r>
        <r>
          <rPr>
            <sz val="8"/>
            <color indexed="81"/>
            <rFont val="Tahoma"/>
            <family val="2"/>
          </rPr>
          <t xml:space="preserve"> are configured to work with this ID, then the </t>
        </r>
        <r>
          <rPr>
            <i/>
            <sz val="8"/>
            <color indexed="81"/>
            <rFont val="Tahoma"/>
            <family val="2"/>
          </rPr>
          <t>Default Listing Fields</t>
        </r>
        <r>
          <rPr>
            <sz val="8"/>
            <color indexed="81"/>
            <rFont val="Tahoma"/>
            <family val="2"/>
          </rPr>
          <t xml:space="preserve"> on </t>
        </r>
        <r>
          <rPr>
            <i/>
            <sz val="8"/>
            <color indexed="81"/>
            <rFont val="Tahoma"/>
            <family val="2"/>
          </rPr>
          <t>Plan Info</t>
        </r>
        <r>
          <rPr>
            <sz val="8"/>
            <color indexed="81"/>
            <rFont val="Tahoma"/>
            <family val="2"/>
          </rPr>
          <t xml:space="preserve"> will be the fields displayed and/or exported.</t>
        </r>
      </text>
    </comment>
    <comment ref="F18" authorId="0" shapeId="0">
      <text>
        <r>
          <rPr>
            <b/>
            <sz val="8"/>
            <color indexed="81"/>
            <rFont val="Tahoma"/>
            <family val="2"/>
          </rPr>
          <t>BTR:</t>
        </r>
        <r>
          <rPr>
            <sz val="8"/>
            <color indexed="81"/>
            <rFont val="Tahoma"/>
            <family val="2"/>
          </rPr>
          <t xml:space="preserve">
Summary Count reports count up records grouped by specified fields.  Use GetDataConfig(field, historyType, historyIndex, historyPosition) function to specify how the field(s) that the report should be grouped by.</t>
        </r>
      </text>
    </comment>
    <comment ref="K18" authorId="0" shapeId="0">
      <text>
        <r>
          <rPr>
            <b/>
            <sz val="9"/>
            <color indexed="81"/>
            <rFont val="Tahoma"/>
            <family val="2"/>
          </rPr>
          <t>BTR:</t>
        </r>
        <r>
          <rPr>
            <sz val="9"/>
            <color indexed="81"/>
            <rFont val="Tahoma"/>
            <family val="2"/>
          </rPr>
          <t xml:space="preserve">
The maximum number of columns of data to show on listing grids before inserting a column paging mechanism.</t>
        </r>
      </text>
    </comment>
    <comment ref="D25" authorId="0" shapeId="0">
      <text>
        <r>
          <rPr>
            <b/>
            <sz val="8"/>
            <color indexed="81"/>
            <rFont val="Tahoma"/>
            <family val="2"/>
          </rPr>
          <t>BTR:</t>
        </r>
        <r>
          <rPr>
            <sz val="8"/>
            <color indexed="81"/>
            <rFont val="Tahoma"/>
            <family val="2"/>
          </rPr>
          <t xml:space="preserve">
If the current report is a 'generic' listing of data built from Flat Data and/or Historical Data (i.e. not custom coded by BTR), provide a unique ID that is used by matching the Listing:{ID} configuration column.  All configured columns will be generated as a report for either on screen presentation and/or *.csv download.
Note: If no columns in the </t>
        </r>
        <r>
          <rPr>
            <i/>
            <sz val="8"/>
            <color indexed="81"/>
            <rFont val="Tahoma"/>
            <family val="2"/>
          </rPr>
          <t>Flat Data</t>
        </r>
        <r>
          <rPr>
            <sz val="8"/>
            <color indexed="81"/>
            <rFont val="Tahoma"/>
            <family val="2"/>
          </rPr>
          <t xml:space="preserve"> or </t>
        </r>
        <r>
          <rPr>
            <i/>
            <sz val="8"/>
            <color indexed="81"/>
            <rFont val="Tahoma"/>
            <family val="2"/>
          </rPr>
          <t>Historical Data</t>
        </r>
        <r>
          <rPr>
            <sz val="8"/>
            <color indexed="81"/>
            <rFont val="Tahoma"/>
            <family val="2"/>
          </rPr>
          <t xml:space="preserve"> are configured to work with this ID, then the </t>
        </r>
        <r>
          <rPr>
            <i/>
            <sz val="8"/>
            <color indexed="81"/>
            <rFont val="Tahoma"/>
            <family val="2"/>
          </rPr>
          <t>Default Listing Fields</t>
        </r>
        <r>
          <rPr>
            <sz val="8"/>
            <color indexed="81"/>
            <rFont val="Tahoma"/>
            <family val="2"/>
          </rPr>
          <t xml:space="preserve"> on </t>
        </r>
        <r>
          <rPr>
            <i/>
            <sz val="8"/>
            <color indexed="81"/>
            <rFont val="Tahoma"/>
            <family val="2"/>
          </rPr>
          <t>Plan Info</t>
        </r>
        <r>
          <rPr>
            <sz val="8"/>
            <color indexed="81"/>
            <rFont val="Tahoma"/>
            <family val="2"/>
          </rPr>
          <t xml:space="preserve"> will be the fields displayed and/or exported.</t>
        </r>
      </text>
    </comment>
    <comment ref="F25" authorId="0" shapeId="0">
      <text>
        <r>
          <rPr>
            <b/>
            <sz val="8"/>
            <color indexed="81"/>
            <rFont val="Tahoma"/>
            <family val="2"/>
          </rPr>
          <t>BTR:</t>
        </r>
        <r>
          <rPr>
            <sz val="8"/>
            <color indexed="81"/>
            <rFont val="Tahoma"/>
            <family val="2"/>
          </rPr>
          <t xml:space="preserve">
If the exported csv file should not export the default 'Title and date created' as first line, place an </t>
        </r>
        <r>
          <rPr>
            <b/>
            <sz val="8"/>
            <color indexed="81"/>
            <rFont val="Tahoma"/>
            <family val="2"/>
          </rPr>
          <t>N</t>
        </r>
        <r>
          <rPr>
            <sz val="8"/>
            <color indexed="81"/>
            <rFont val="Tahoma"/>
            <family val="2"/>
          </rPr>
          <t xml:space="preserve"> in this column.</t>
        </r>
      </text>
    </comment>
    <comment ref="G25" authorId="0" shapeId="0">
      <text>
        <r>
          <rPr>
            <b/>
            <sz val="8"/>
            <color indexed="81"/>
            <rFont val="Tahoma"/>
            <family val="2"/>
          </rPr>
          <t>BTR:</t>
        </r>
        <r>
          <rPr>
            <sz val="8"/>
            <color indexed="81"/>
            <rFont val="Tahoma"/>
            <family val="2"/>
          </rPr>
          <t xml:space="preserve">
If the exported csv file should not column headers, but instead start first line with actual data, place an </t>
        </r>
        <r>
          <rPr>
            <b/>
            <sz val="8"/>
            <color indexed="81"/>
            <rFont val="Tahoma"/>
            <family val="2"/>
          </rPr>
          <t>N</t>
        </r>
        <r>
          <rPr>
            <sz val="8"/>
            <color indexed="81"/>
            <rFont val="Tahoma"/>
            <family val="2"/>
          </rPr>
          <t xml:space="preserve"> in this column.</t>
        </r>
      </text>
    </comment>
    <comment ref="H25" authorId="0" shapeId="0">
      <text>
        <r>
          <rPr>
            <b/>
            <sz val="8"/>
            <color indexed="81"/>
            <rFont val="Tahoma"/>
            <family val="2"/>
          </rPr>
          <t>BTR:</t>
        </r>
        <r>
          <rPr>
            <sz val="8"/>
            <color indexed="81"/>
            <rFont val="Tahoma"/>
            <family val="2"/>
          </rPr>
          <t xml:space="preserve">
If the row should be a historical dump of the history table specified in the configuration (meaning AuthID values would duplicate across rows, only unique via history indexes), provide a </t>
        </r>
        <r>
          <rPr>
            <b/>
            <sz val="8"/>
            <color indexed="81"/>
            <rFont val="Tahoma"/>
            <family val="2"/>
          </rPr>
          <t>Y</t>
        </r>
        <r>
          <rPr>
            <sz val="8"/>
            <color indexed="81"/>
            <rFont val="Tahoma"/>
            <family val="2"/>
          </rPr>
          <t xml:space="preserve"> in this column.
</t>
        </r>
        <r>
          <rPr>
            <b/>
            <sz val="8"/>
            <color indexed="81"/>
            <rFont val="Tahoma"/>
            <family val="2"/>
          </rPr>
          <t>Note:</t>
        </r>
        <r>
          <rPr>
            <sz val="8"/>
            <color indexed="81"/>
            <rFont val="Tahoma"/>
            <family val="2"/>
          </rPr>
          <t xml:space="preserve">  If a Y is provided, the configuration can only include fields from Flat Data and </t>
        </r>
        <r>
          <rPr>
            <b/>
            <sz val="8"/>
            <color indexed="81"/>
            <rFont val="Tahoma"/>
            <family val="2"/>
          </rPr>
          <t>one</t>
        </r>
        <r>
          <rPr>
            <sz val="8"/>
            <color indexed="81"/>
            <rFont val="Tahoma"/>
            <family val="2"/>
          </rPr>
          <t xml:space="preserve"> historical data table.</t>
        </r>
      </text>
    </comment>
    <comment ref="K25" authorId="0" shapeId="0">
      <text>
        <r>
          <rPr>
            <b/>
            <sz val="9"/>
            <color indexed="81"/>
            <rFont val="Tahoma"/>
            <family val="2"/>
          </rPr>
          <t>BTR:</t>
        </r>
        <r>
          <rPr>
            <sz val="9"/>
            <color indexed="81"/>
            <rFont val="Tahoma"/>
            <family val="2"/>
          </rPr>
          <t xml:space="preserve">
When column paging is enabled due to the total column count, this value determines how many of the columns to fix (always display).  Normally the value is 1 (to lock the index).</t>
        </r>
      </text>
    </comment>
    <comment ref="L25" authorId="0" shapeId="0">
      <text>
        <r>
          <rPr>
            <b/>
            <sz val="9"/>
            <color indexed="81"/>
            <rFont val="Tahoma"/>
            <family val="2"/>
          </rPr>
          <t>BTR:</t>
        </r>
        <r>
          <rPr>
            <sz val="9"/>
            <color indexed="81"/>
            <rFont val="Tahoma"/>
            <family val="2"/>
          </rPr>
          <t xml:space="preserve">
Whether or not to encode the Byte Order Mark (BOM) on CSV download.  Default is true, but can control via Y/N value in this column if you need to turn it off.</t>
        </r>
      </text>
    </comment>
    <comment ref="D34" authorId="0" shapeId="0">
      <text>
        <r>
          <rPr>
            <b/>
            <sz val="8"/>
            <color indexed="81"/>
            <rFont val="Tahoma"/>
            <family val="2"/>
          </rPr>
          <t>BTR:</t>
        </r>
        <r>
          <rPr>
            <sz val="8"/>
            <color indexed="81"/>
            <rFont val="Tahoma"/>
            <family val="2"/>
          </rPr>
          <t xml:space="preserve">
If the current report is a 'generic' listing of data built from Flat Data and/or Historical Data (i.e. not custom coded by BTR), provide a unique ID that is used by matching the Listing:{ID} configuration column.  All configured columns will be generated as a report for either on screen presentation and/or *.csv download.
Note: If no columns in the </t>
        </r>
        <r>
          <rPr>
            <i/>
            <sz val="8"/>
            <color indexed="81"/>
            <rFont val="Tahoma"/>
            <family val="2"/>
          </rPr>
          <t>Flat Data</t>
        </r>
        <r>
          <rPr>
            <sz val="8"/>
            <color indexed="81"/>
            <rFont val="Tahoma"/>
            <family val="2"/>
          </rPr>
          <t xml:space="preserve"> or </t>
        </r>
        <r>
          <rPr>
            <i/>
            <sz val="8"/>
            <color indexed="81"/>
            <rFont val="Tahoma"/>
            <family val="2"/>
          </rPr>
          <t>Historical Data</t>
        </r>
        <r>
          <rPr>
            <sz val="8"/>
            <color indexed="81"/>
            <rFont val="Tahoma"/>
            <family val="2"/>
          </rPr>
          <t xml:space="preserve"> are configured to work with this ID, then the </t>
        </r>
        <r>
          <rPr>
            <i/>
            <sz val="8"/>
            <color indexed="81"/>
            <rFont val="Tahoma"/>
            <family val="2"/>
          </rPr>
          <t>Default Listing Fields</t>
        </r>
        <r>
          <rPr>
            <sz val="8"/>
            <color indexed="81"/>
            <rFont val="Tahoma"/>
            <family val="2"/>
          </rPr>
          <t xml:space="preserve"> on </t>
        </r>
        <r>
          <rPr>
            <i/>
            <sz val="8"/>
            <color indexed="81"/>
            <rFont val="Tahoma"/>
            <family val="2"/>
          </rPr>
          <t>Plan Info</t>
        </r>
        <r>
          <rPr>
            <sz val="8"/>
            <color indexed="81"/>
            <rFont val="Tahoma"/>
            <family val="2"/>
          </rPr>
          <t xml:space="preserve"> will be the fields displayed and/or exported.</t>
        </r>
      </text>
    </comment>
    <comment ref="F34" authorId="0" shapeId="0">
      <text>
        <r>
          <rPr>
            <b/>
            <sz val="8"/>
            <color indexed="81"/>
            <rFont val="Tahoma"/>
            <family val="2"/>
          </rPr>
          <t>BTR:</t>
        </r>
        <r>
          <rPr>
            <sz val="8"/>
            <color indexed="81"/>
            <rFont val="Tahoma"/>
            <family val="2"/>
          </rPr>
          <t xml:space="preserve">
If the exported csv file should not export the default 'Title and date created' as first line, place an </t>
        </r>
        <r>
          <rPr>
            <b/>
            <sz val="8"/>
            <color indexed="81"/>
            <rFont val="Tahoma"/>
            <family val="2"/>
          </rPr>
          <t>N</t>
        </r>
        <r>
          <rPr>
            <sz val="8"/>
            <color indexed="81"/>
            <rFont val="Tahoma"/>
            <family val="2"/>
          </rPr>
          <t xml:space="preserve"> in this column.</t>
        </r>
      </text>
    </comment>
    <comment ref="J34" authorId="0" shapeId="0">
      <text>
        <r>
          <rPr>
            <b/>
            <sz val="9"/>
            <color indexed="81"/>
            <rFont val="Tahoma"/>
            <family val="2"/>
          </rPr>
          <t>BTR:</t>
        </r>
        <r>
          <rPr>
            <sz val="9"/>
            <color indexed="81"/>
            <rFont val="Tahoma"/>
            <family val="2"/>
          </rPr>
          <t xml:space="preserve">
Comma by default.</t>
        </r>
      </text>
    </comment>
    <comment ref="K34" authorId="0" shapeId="0">
      <text>
        <r>
          <rPr>
            <b/>
            <sz val="9"/>
            <color indexed="81"/>
            <rFont val="Tahoma"/>
            <family val="2"/>
          </rPr>
          <t>BTR:</t>
        </r>
        <r>
          <rPr>
            <sz val="9"/>
            <color indexed="81"/>
            <rFont val="Tahoma"/>
            <family val="2"/>
          </rPr>
          <t xml:space="preserve">
Whether or not to encode the Byte Order Mark (BOM) on CSV download.  Default is true, but can control via Y/N value in this column if you need to turn it off.</t>
        </r>
      </text>
    </comment>
    <comment ref="D40" authorId="0" shapeId="0">
      <text>
        <r>
          <rPr>
            <b/>
            <sz val="8"/>
            <color indexed="81"/>
            <rFont val="Tahoma"/>
            <family val="2"/>
          </rPr>
          <t>BTR:</t>
        </r>
        <r>
          <rPr>
            <sz val="8"/>
            <color indexed="81"/>
            <rFont val="Tahoma"/>
            <family val="2"/>
          </rPr>
          <t xml:space="preserve">
If the current report is a 'generic' listing of data built from Flat Data and/or Historical Data (i.e. not custom coded by BTR), provide a unique ID that is used by matching the Listing:{ID} configuration column.  All configured columns will be generated as a report for either on screen presentation and/or *.csv download.
Note: If no columns in the </t>
        </r>
        <r>
          <rPr>
            <i/>
            <sz val="8"/>
            <color indexed="81"/>
            <rFont val="Tahoma"/>
            <family val="2"/>
          </rPr>
          <t>Flat Data</t>
        </r>
        <r>
          <rPr>
            <sz val="8"/>
            <color indexed="81"/>
            <rFont val="Tahoma"/>
            <family val="2"/>
          </rPr>
          <t xml:space="preserve"> or </t>
        </r>
        <r>
          <rPr>
            <i/>
            <sz val="8"/>
            <color indexed="81"/>
            <rFont val="Tahoma"/>
            <family val="2"/>
          </rPr>
          <t>Historical Data</t>
        </r>
        <r>
          <rPr>
            <sz val="8"/>
            <color indexed="81"/>
            <rFont val="Tahoma"/>
            <family val="2"/>
          </rPr>
          <t xml:space="preserve"> are configured to work with this ID, then the </t>
        </r>
        <r>
          <rPr>
            <i/>
            <sz val="8"/>
            <color indexed="81"/>
            <rFont val="Tahoma"/>
            <family val="2"/>
          </rPr>
          <t>Default Listing Fields</t>
        </r>
        <r>
          <rPr>
            <sz val="8"/>
            <color indexed="81"/>
            <rFont val="Tahoma"/>
            <family val="2"/>
          </rPr>
          <t xml:space="preserve"> on </t>
        </r>
        <r>
          <rPr>
            <i/>
            <sz val="8"/>
            <color indexed="81"/>
            <rFont val="Tahoma"/>
            <family val="2"/>
          </rPr>
          <t>Plan Info</t>
        </r>
        <r>
          <rPr>
            <sz val="8"/>
            <color indexed="81"/>
            <rFont val="Tahoma"/>
            <family val="2"/>
          </rPr>
          <t xml:space="preserve"> will be the fields displayed and/or exported.</t>
        </r>
      </text>
    </comment>
  </commentList>
</comments>
</file>

<file path=xl/comments12.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List>
</comments>
</file>

<file path=xl/comments13.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 ref="B19" authorId="0" shapeId="0">
      <text>
        <r>
          <rPr>
            <b/>
            <sz val="8"/>
            <color indexed="81"/>
            <rFont val="Tahoma"/>
            <family val="2"/>
          </rPr>
          <t>BTR:</t>
        </r>
        <r>
          <rPr>
            <sz val="8"/>
            <color indexed="81"/>
            <rFont val="Tahoma"/>
            <family val="2"/>
          </rPr>
          <t xml:space="preserve">
This table describes the Plan variables used throughout the MHA site (i.e. in letter downloads, plan information display, etc.).
Additional information on the variable use can be found in comments provided on the Key column.</t>
        </r>
      </text>
    </comment>
    <comment ref="H19" authorId="0" shapeId="0">
      <text>
        <r>
          <rPr>
            <b/>
            <sz val="8"/>
            <color indexed="81"/>
            <rFont val="Tahoma"/>
            <family val="2"/>
          </rPr>
          <t>BTR:</t>
        </r>
        <r>
          <rPr>
            <sz val="8"/>
            <color indexed="81"/>
            <rFont val="Tahoma"/>
            <family val="2"/>
          </rPr>
          <t xml:space="preserve">
This table lists any documents or websites to be displayed on plan resources pages.
The Url location of the document can be provided by following:
</t>
        </r>
        <r>
          <rPr>
            <b/>
            <i/>
            <sz val="8"/>
            <color indexed="81"/>
            <rFont val="Tahoma"/>
            <family val="2"/>
          </rPr>
          <t>Site Url</t>
        </r>
        <r>
          <rPr>
            <sz val="8"/>
            <color indexed="81"/>
            <rFont val="Tahoma"/>
            <family val="2"/>
          </rPr>
          <t xml:space="preserve">: external site starting with http(s):// or temporary dialog starting with javascript:alert('[Content]');
</t>
        </r>
        <r>
          <rPr>
            <b/>
            <i/>
            <sz val="8"/>
            <color indexed="81"/>
            <rFont val="Tahoma"/>
            <family val="2"/>
          </rPr>
          <t>Relative File Path</t>
        </r>
        <r>
          <rPr>
            <sz val="8"/>
            <color indexed="81"/>
            <rFont val="Tahoma"/>
            <family val="2"/>
          </rPr>
          <t>: Simply the path and name of a file provided to BTR (by default the file will be placed in a Documents sub folder and a proper Url will be created automatically).  For example Documents/File.pdf</t>
        </r>
      </text>
    </comment>
    <comment ref="N19" authorId="0" shapeId="0">
      <text>
        <r>
          <rPr>
            <b/>
            <sz val="8"/>
            <color indexed="81"/>
            <rFont val="Tahoma"/>
            <family val="2"/>
          </rPr>
          <t>BTR:</t>
        </r>
        <r>
          <rPr>
            <sz val="8"/>
            <color indexed="81"/>
            <rFont val="Tahoma"/>
            <family val="2"/>
          </rPr>
          <t xml:space="preserve">
This table lists any Plan Provisions to be displayed in a simple 'name/value' pair on a 'Plan Provisions' type page.
</t>
        </r>
      </text>
    </comment>
    <comment ref="S19" authorId="0" shapeId="0">
      <text>
        <r>
          <rPr>
            <b/>
            <sz val="8"/>
            <color indexed="81"/>
            <rFont val="Tahoma"/>
            <family val="2"/>
          </rPr>
          <t>BTR:</t>
        </r>
        <r>
          <rPr>
            <sz val="8"/>
            <color indexed="81"/>
            <rFont val="Tahoma"/>
            <family val="2"/>
          </rPr>
          <t xml:space="preserve">
Describes the different types of Calculation Types possible in a Employee Self Service (ESS) site.
If the CalcEngine's result is configured to save to a FolderItem, then it is assumed </t>
        </r>
        <r>
          <rPr>
            <i/>
            <sz val="8"/>
            <color indexed="81"/>
            <rFont val="Tahoma"/>
            <family val="2"/>
          </rPr>
          <t>mh-</t>
        </r>
        <r>
          <rPr>
            <sz val="8"/>
            <color indexed="81"/>
            <rFont val="Tahoma"/>
            <family val="2"/>
          </rPr>
          <t xml:space="preserve"> will be prepended to the </t>
        </r>
        <r>
          <rPr>
            <i/>
            <sz val="8"/>
            <color indexed="81"/>
            <rFont val="Tahoma"/>
            <family val="2"/>
          </rPr>
          <t>Type</t>
        </r>
        <r>
          <rPr>
            <sz val="8"/>
            <color indexed="81"/>
            <rFont val="Tahoma"/>
            <family val="2"/>
          </rPr>
          <t xml:space="preserve"> value specified via the FolderItem Type setting on CalcEngine's RBLResult tab.
The value in the Key column is what is passed into </t>
        </r>
        <r>
          <rPr>
            <i/>
            <sz val="8"/>
            <color indexed="81"/>
            <rFont val="Tahoma"/>
            <family val="2"/>
          </rPr>
          <t>iMHCalcType</t>
        </r>
        <r>
          <rPr>
            <sz val="8"/>
            <color indexed="81"/>
            <rFont val="Tahoma"/>
            <family val="2"/>
          </rPr>
          <t xml:space="preserve"> parameter for RBL jobs.
By default, the calculation will use the default CalcEngine Name, Input Tab name and Render Version found in the header of Calc Inputs tab, but you can override them by including columns CalcEngine, InputTab, and RenderVersion respectively.
You can also add the optional columns
- EmailNotifications: a comma delimitted list of email addresses to notify when a calculation is done.
- RBLServerKey: A name of a configuration key determining where the job should be submitted including considerations for server load and fall back servers.</t>
        </r>
      </text>
    </comment>
    <comment ref="AB19" authorId="0" shapeId="0">
      <text>
        <r>
          <rPr>
            <b/>
            <sz val="8"/>
            <color indexed="81"/>
            <rFont val="Tahoma"/>
            <family val="2"/>
          </rPr>
          <t>BTR:</t>
        </r>
        <r>
          <rPr>
            <sz val="8"/>
            <color indexed="81"/>
            <rFont val="Tahoma"/>
            <family val="2"/>
          </rPr>
          <t xml:space="preserve">
Describes the different types of Calculation Types possible in an administration site.
It is assumed that the FolderItem Type setting on CalcEngine's RBLBenCalc tab will match the </t>
        </r>
        <r>
          <rPr>
            <i/>
            <sz val="8"/>
            <color indexed="81"/>
            <rFont val="Tahoma"/>
            <family val="2"/>
          </rPr>
          <t>Type</t>
        </r>
        <r>
          <rPr>
            <sz val="8"/>
            <color indexed="81"/>
            <rFont val="Tahoma"/>
            <family val="2"/>
          </rPr>
          <t xml:space="preserve"> value.
The value in the Key column is what is passed into </t>
        </r>
        <r>
          <rPr>
            <i/>
            <sz val="8"/>
            <color indexed="81"/>
            <rFont val="Tahoma"/>
            <family val="2"/>
          </rPr>
          <t>iMHACalcType</t>
        </r>
        <r>
          <rPr>
            <sz val="8"/>
            <color indexed="81"/>
            <rFont val="Tahoma"/>
            <family val="2"/>
          </rPr>
          <t xml:space="preserve"> parameter for RBL jobs.
You can also add a column called EmailNotifications that is a comma delimitted list of email addresses to notify when a calculation is done.</t>
        </r>
      </text>
    </comment>
    <comment ref="AI19" authorId="0" shapeId="0">
      <text>
        <r>
          <rPr>
            <b/>
            <sz val="8"/>
            <color indexed="81"/>
            <rFont val="Tahoma"/>
            <family val="2"/>
          </rPr>
          <t>BTR:</t>
        </r>
        <r>
          <rPr>
            <sz val="8"/>
            <color indexed="81"/>
            <rFont val="Tahoma"/>
            <family val="2"/>
          </rPr>
          <t xml:space="preserve">
This table describes the different types of Data Admin - Calculated Data data load processes.</t>
        </r>
      </text>
    </comment>
    <comment ref="AQ19" authorId="0" shapeId="0">
      <text>
        <r>
          <rPr>
            <b/>
            <sz val="8"/>
            <color indexed="81"/>
            <rFont val="Tahoma"/>
            <family val="2"/>
          </rPr>
          <t>BTR:</t>
        </r>
        <r>
          <rPr>
            <sz val="8"/>
            <color indexed="81"/>
            <rFont val="Tahoma"/>
            <family val="2"/>
          </rPr>
          <t xml:space="preserve">
This table describes the different types of Data Admin - Jobs processes (these processes only </t>
        </r>
        <r>
          <rPr>
            <b/>
            <i/>
            <sz val="8"/>
            <color indexed="81"/>
            <rFont val="Tahoma"/>
            <family val="2"/>
          </rPr>
          <t>generate FolderItems, Calculations, or ReportCalculatedData</t>
        </r>
        <r>
          <rPr>
            <sz val="8"/>
            <color indexed="81"/>
            <rFont val="Tahoma"/>
            <family val="2"/>
          </rPr>
          <t xml:space="preserve"> for a batch of Profiles, they </t>
        </r>
        <r>
          <rPr>
            <i/>
            <sz val="8"/>
            <color indexed="81"/>
            <rFont val="Tahoma"/>
            <family val="2"/>
          </rPr>
          <t>do not</t>
        </r>
        <r>
          <rPr>
            <sz val="8"/>
            <color indexed="81"/>
            <rFont val="Tahoma"/>
            <family val="2"/>
          </rPr>
          <t xml:space="preserve"> update data).</t>
        </r>
      </text>
    </comment>
    <comment ref="AX19" authorId="0" shapeId="0">
      <text>
        <r>
          <rPr>
            <b/>
            <sz val="8"/>
            <color indexed="81"/>
            <rFont val="Tahoma"/>
            <family val="2"/>
          </rPr>
          <t>BTR:</t>
        </r>
        <r>
          <rPr>
            <sz val="8"/>
            <color indexed="81"/>
            <rFont val="Tahoma"/>
            <family val="2"/>
          </rPr>
          <t xml:space="preserve">
This table describes the different types of Data Admin - Batch Document creation processes</t>
        </r>
        <r>
          <rPr>
            <sz val="8"/>
            <color indexed="81"/>
            <rFont val="Tahoma"/>
            <family val="2"/>
          </rPr>
          <t>.</t>
        </r>
      </text>
    </comment>
    <comment ref="BR19" authorId="0" shapeId="0">
      <text>
        <r>
          <rPr>
            <b/>
            <sz val="8"/>
            <color indexed="81"/>
            <rFont val="Tahoma"/>
            <family val="2"/>
          </rPr>
          <t>BTR:</t>
        </r>
        <r>
          <rPr>
            <sz val="8"/>
            <color indexed="81"/>
            <rFont val="Tahoma"/>
            <family val="2"/>
          </rPr>
          <t xml:space="preserve">
This table describes the filters that are available to use during Data Admin Processes (either data updating or FolderItem creation processes).</t>
        </r>
      </text>
    </comment>
    <comment ref="V20" authorId="0" shapeId="0">
      <text>
        <r>
          <rPr>
            <b/>
            <sz val="9"/>
            <color indexed="81"/>
            <rFont val="Tahoma"/>
            <family val="2"/>
          </rPr>
          <t>BTR:</t>
        </r>
        <r>
          <rPr>
            <sz val="9"/>
            <color indexed="81"/>
            <rFont val="Tahoma"/>
            <family val="2"/>
          </rPr>
          <t xml:space="preserve">
A , delimitted list of tab names to process during this calculation.</t>
        </r>
      </text>
    </comment>
    <comment ref="W20" authorId="0" shapeId="0">
      <text>
        <r>
          <rPr>
            <b/>
            <sz val="9"/>
            <color indexed="81"/>
            <rFont val="Tahoma"/>
            <family val="2"/>
          </rPr>
          <t>BTR:</t>
        </r>
        <r>
          <rPr>
            <sz val="9"/>
            <color indexed="81"/>
            <rFont val="Tahoma"/>
            <family val="2"/>
          </rPr>
          <t xml:space="preserve">
Comma delimitted list of rate table names (global or client) that are required for this calculation type.</t>
        </r>
      </text>
    </comment>
    <comment ref="X20" authorId="0" shapeId="0">
      <text>
        <r>
          <rPr>
            <b/>
            <sz val="9"/>
            <color indexed="81"/>
            <rFont val="Tahoma"/>
            <family val="2"/>
          </rPr>
          <t>BTR:</t>
        </r>
        <r>
          <rPr>
            <sz val="9"/>
            <color indexed="81"/>
            <rFont val="Tahoma"/>
            <family val="2"/>
          </rPr>
          <t xml:space="preserve">
Most of the time, employee calculations are only going to be part of a single area (because most clients only have one employee site - normally area of Modeling).
If a client has multiple employee calculations and the exact same calculation layout needs to be used in more than one site, you can comma delimit the areas.</t>
        </r>
      </text>
    </comment>
    <comment ref="AK20" authorId="0" shapeId="0">
      <text>
        <r>
          <rPr>
            <b/>
            <sz val="9"/>
            <color indexed="81"/>
            <rFont val="Tahoma"/>
            <family val="2"/>
          </rPr>
          <t>BTR:</t>
        </r>
        <r>
          <rPr>
            <sz val="9"/>
            <color indexed="81"/>
            <rFont val="Tahoma"/>
            <family val="2"/>
          </rPr>
          <t xml:space="preserve">
If this process also needs to process Calculation (ResultXml) tabs, list them here.</t>
        </r>
      </text>
    </comment>
    <comment ref="AL20" authorId="0" shapeId="0">
      <text>
        <r>
          <rPr>
            <b/>
            <sz val="9"/>
            <color indexed="81"/>
            <rFont val="Tahoma"/>
            <family val="2"/>
          </rPr>
          <t>BTR:</t>
        </r>
        <r>
          <rPr>
            <sz val="9"/>
            <color indexed="81"/>
            <rFont val="Tahoma"/>
            <family val="2"/>
          </rPr>
          <t xml:space="preserve">
If this process also needs to process Ad Hoc tab(s), list them here.  If listed in ResultTabs column an error will occur when you attempt to run the process.</t>
        </r>
      </text>
    </comment>
    <comment ref="AM20" authorId="0" shapeId="0">
      <text>
        <r>
          <rPr>
            <b/>
            <sz val="9"/>
            <color indexed="81"/>
            <rFont val="Tahoma"/>
            <family val="2"/>
          </rPr>
          <t>BTR:</t>
        </r>
        <r>
          <rPr>
            <sz val="9"/>
            <color indexed="81"/>
            <rFont val="Tahoma"/>
            <family val="2"/>
          </rPr>
          <t xml:space="preserve">
Semi-colon delimitted list of emails to notify upon batch completion.
Normally in the format of:
Buck FTP Support &lt;ftp.support@buckconsultants.com&gt;;Buck AE &lt;buck.ae@buckconsultants.com&gt;</t>
        </r>
      </text>
    </comment>
    <comment ref="AS20" authorId="0" shapeId="0">
      <text>
        <r>
          <rPr>
            <b/>
            <sz val="9"/>
            <color indexed="81"/>
            <rFont val="Tahoma"/>
            <family val="2"/>
          </rPr>
          <t>BTR:</t>
        </r>
        <r>
          <rPr>
            <sz val="9"/>
            <color indexed="81"/>
            <rFont val="Tahoma"/>
            <family val="2"/>
          </rPr>
          <t xml:space="preserve">
If this process also needs to process Ad Hoc tab(s), list them here.  If listed in ResultTabs column an error will occur when you attempt to run the process.</t>
        </r>
      </text>
    </comment>
    <comment ref="AT20" authorId="0" shapeId="0">
      <text>
        <r>
          <rPr>
            <b/>
            <sz val="9"/>
            <color indexed="81"/>
            <rFont val="Tahoma"/>
            <family val="2"/>
          </rPr>
          <t>BTR:</t>
        </r>
        <r>
          <rPr>
            <sz val="9"/>
            <color indexed="81"/>
            <rFont val="Tahoma"/>
            <family val="2"/>
          </rPr>
          <t xml:space="preserve">
Semi-colon delimitted list of emails to notify upon batch completion.
Normally in the format of:
Buck FTP Support &lt;ftp.support@buckconsultants.com&gt;;Buck AE &lt;buck.ae@buckconsultants.com&gt;</t>
        </r>
      </text>
    </comment>
    <comment ref="AZ20" authorId="0" shapeId="0">
      <text>
        <r>
          <rPr>
            <b/>
            <sz val="9"/>
            <color indexed="81"/>
            <rFont val="Tahoma"/>
            <family val="2"/>
          </rPr>
          <t>BTR:</t>
        </r>
        <r>
          <rPr>
            <sz val="9"/>
            <color indexed="81"/>
            <rFont val="Tahoma"/>
            <family val="2"/>
          </rPr>
          <t xml:space="preserve">
A comma delimited list of file names of all the DocGen files that can possibly be created for the current process type.
This list should match your list of files in the download-package table where the append-to column is null.</t>
        </r>
      </text>
    </comment>
    <comment ref="BA20" authorId="0" shapeId="0">
      <text>
        <r>
          <rPr>
            <b/>
            <sz val="9"/>
            <color indexed="81"/>
            <rFont val="Tahoma"/>
            <family val="2"/>
          </rPr>
          <t>BTR:</t>
        </r>
        <r>
          <rPr>
            <sz val="9"/>
            <color indexed="81"/>
            <rFont val="Tahoma"/>
            <family val="2"/>
          </rPr>
          <t xml:space="preserve">
A comma delimited list of file names of all the DocGen files that can possibly be used as a document resource (i.e. append-to is set on the download-package table).</t>
        </r>
      </text>
    </comment>
    <comment ref="BB20" authorId="0" shapeId="0">
      <text>
        <r>
          <rPr>
            <b/>
            <sz val="9"/>
            <color indexed="81"/>
            <rFont val="Tahoma"/>
            <family val="2"/>
          </rPr>
          <t>BTR:</t>
        </r>
        <r>
          <rPr>
            <sz val="9"/>
            <color indexed="81"/>
            <rFont val="Tahoma"/>
            <family val="2"/>
          </rPr>
          <t xml:space="preserve">
Whether or not a download-package table is present in the data source generating the document.  
If blank or N, then every document in </t>
        </r>
        <r>
          <rPr>
            <i/>
            <sz val="9"/>
            <color indexed="81"/>
            <rFont val="Tahoma"/>
            <family val="2"/>
          </rPr>
          <t>DocGenFiles</t>
        </r>
        <r>
          <rPr>
            <sz val="9"/>
            <color indexed="81"/>
            <rFont val="Tahoma"/>
            <family val="2"/>
          </rPr>
          <t xml:space="preserve"> for every Profile will have a document generated.  
If Y, then the name of the each file in </t>
        </r>
        <r>
          <rPr>
            <i/>
            <sz val="9"/>
            <color indexed="81"/>
            <rFont val="Tahoma"/>
            <family val="2"/>
          </rPr>
          <t>DocGenFiles</t>
        </r>
        <r>
          <rPr>
            <sz val="9"/>
            <color indexed="81"/>
            <rFont val="Tahoma"/>
            <family val="2"/>
          </rPr>
          <t xml:space="preserve"> must be present in the download-package table for current participant.</t>
        </r>
      </text>
    </comment>
    <comment ref="BC20" authorId="0" shapeId="0">
      <text>
        <r>
          <rPr>
            <b/>
            <sz val="9"/>
            <color indexed="81"/>
            <rFont val="Tahoma"/>
            <family val="2"/>
          </rPr>
          <t>BTR:</t>
        </r>
        <r>
          <rPr>
            <sz val="9"/>
            <color indexed="81"/>
            <rFont val="Tahoma"/>
            <family val="2"/>
          </rPr>
          <t xml:space="preserve">
Whether or not documents for all the profiles present in the batch are merged into one flowin document.</t>
        </r>
      </text>
    </comment>
    <comment ref="BD20" authorId="0" shapeId="0">
      <text>
        <r>
          <rPr>
            <b/>
            <sz val="9"/>
            <color indexed="81"/>
            <rFont val="Tahoma"/>
            <family val="2"/>
          </rPr>
          <t>BTR:</t>
        </r>
        <r>
          <rPr>
            <sz val="9"/>
            <color indexed="81"/>
            <rFont val="Tahoma"/>
            <family val="2"/>
          </rPr>
          <t xml:space="preserve">
If not merging the documents into a final, single document, this number controls how many files are placed in the download zip file.</t>
        </r>
      </text>
    </comment>
    <comment ref="BE20" authorId="0" shapeId="0">
      <text>
        <r>
          <rPr>
            <b/>
            <sz val="9"/>
            <color indexed="81"/>
            <rFont val="Tahoma"/>
            <family val="2"/>
          </rPr>
          <t>BTR:</t>
        </r>
        <r>
          <rPr>
            <sz val="9"/>
            <color indexed="81"/>
            <rFont val="Tahoma"/>
            <family val="2"/>
          </rPr>
          <t xml:space="preserve">
Specifies the calculation type that will be the data source of this process.</t>
        </r>
      </text>
    </comment>
    <comment ref="BF20" authorId="0" shapeId="0">
      <text>
        <r>
          <rPr>
            <b/>
            <sz val="9"/>
            <color indexed="81"/>
            <rFont val="Tahoma"/>
            <family val="2"/>
          </rPr>
          <t>BTR:</t>
        </r>
        <r>
          <rPr>
            <sz val="9"/>
            <color indexed="81"/>
            <rFont val="Tahoma"/>
            <family val="2"/>
          </rPr>
          <t xml:space="preserve">
If the data source is from an AdHoc report, provide the key here.</t>
        </r>
      </text>
    </comment>
    <comment ref="BG20" authorId="0" shapeId="0">
      <text>
        <r>
          <rPr>
            <b/>
            <sz val="9"/>
            <color indexed="81"/>
            <rFont val="Tahoma"/>
            <family val="2"/>
          </rPr>
          <t>BTR:</t>
        </r>
        <r>
          <rPr>
            <sz val="9"/>
            <color indexed="81"/>
            <rFont val="Tahoma"/>
            <family val="2"/>
          </rPr>
          <t xml:space="preserve">
If not merging the documents into a final, single document, can be used to determine the naming convention for each file within the zip.
You must use a psuedo Xpath syntax with is relative to the containing xDataDef.
For example, </t>
        </r>
        <r>
          <rPr>
            <i/>
            <sz val="9"/>
            <color indexed="81"/>
            <rFont val="Tahoma"/>
            <family val="2"/>
          </rPr>
          <t>{Profile/@eeid:00000}_{Profile/@plan}</t>
        </r>
        <r>
          <rPr>
            <sz val="9"/>
            <color indexed="81"/>
            <rFont val="Tahoma"/>
            <family val="2"/>
          </rPr>
          <t xml:space="preserve"> would zero pad the eeid to 5 places and append on the _plan, resulting in a file simliar to {eeid}_{plan}_{Base Filename}.{output type}.  Otherwise, the default output is {AuthId}_{Base Filename}.{output type}.</t>
        </r>
      </text>
    </comment>
    <comment ref="BH20" authorId="0" shapeId="0">
      <text>
        <r>
          <rPr>
            <b/>
            <sz val="9"/>
            <color indexed="81"/>
            <rFont val="Tahoma"/>
            <family val="2"/>
          </rPr>
          <t>BTR:</t>
        </r>
        <r>
          <rPr>
            <sz val="9"/>
            <color indexed="81"/>
            <rFont val="Tahoma"/>
            <family val="2"/>
          </rPr>
          <t xml:space="preserve">
Semi-colon delimitted list of emails to notify upon batch completion.
Normally in the format of:
Buck FTP Support &lt;ftp.support@buckconsultants.com&gt;;Buck AE &lt;buck.ae@buckconsultants.com&gt;</t>
        </r>
      </text>
    </comment>
    <comment ref="BI20" authorId="0" shapeId="0">
      <text>
        <r>
          <rPr>
            <b/>
            <sz val="9"/>
            <color indexed="81"/>
            <rFont val="Tahoma"/>
            <family val="2"/>
          </rPr>
          <t>BTR:</t>
        </r>
        <r>
          <rPr>
            <sz val="9"/>
            <color indexed="81"/>
            <rFont val="Tahoma"/>
            <family val="2"/>
          </rPr>
          <t xml:space="preserve">
Number of copies of the output document that should be created (duplicates are merged together).</t>
        </r>
      </text>
    </comment>
    <comment ref="K23" authorId="0" shapeId="0">
      <text>
        <r>
          <rPr>
            <b/>
            <sz val="8"/>
            <color indexed="81"/>
            <rFont val="Tahoma"/>
            <family val="2"/>
          </rPr>
          <t>BTR:</t>
        </r>
        <r>
          <rPr>
            <sz val="8"/>
            <color indexed="81"/>
            <rFont val="Tahoma"/>
            <family val="2"/>
          </rPr>
          <t xml:space="preserve">
Just a sample showing how a file is set up to be downloaded from the Documents folder.</t>
        </r>
      </text>
    </comment>
    <comment ref="A30" authorId="0" shapeId="0">
      <text>
        <r>
          <rPr>
            <b/>
            <sz val="8"/>
            <color indexed="81"/>
            <rFont val="Tahoma"/>
            <family val="2"/>
          </rPr>
          <t>BTR:</t>
        </r>
        <r>
          <rPr>
            <sz val="8"/>
            <color indexed="81"/>
            <rFont val="Tahoma"/>
            <family val="2"/>
          </rPr>
          <t xml:space="preserve">
Optional fields.  If Plan Contact can't answer questions about the OnPointLite site, then you can provide a Tech contact and their information will be displayed on the Welcome page.</t>
        </r>
      </text>
    </comment>
  </commentList>
</comments>
</file>

<file path=xl/comments14.xml><?xml version="1.0" encoding="utf-8"?>
<comments xmlns="http://schemas.openxmlformats.org/spreadsheetml/2006/main">
  <authors>
    <author>Terry C. Aney</author>
    <author xml:space="preserve"> Tom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 ref="B27" authorId="0" shapeId="0">
      <text>
        <r>
          <rPr>
            <b/>
            <sz val="8"/>
            <color indexed="81"/>
            <rFont val="Tahoma"/>
            <family val="2"/>
          </rPr>
          <t>BTR:</t>
        </r>
        <r>
          <rPr>
            <sz val="8"/>
            <color indexed="81"/>
            <rFont val="Tahoma"/>
            <family val="2"/>
          </rPr>
          <t xml:space="preserve">
Provide the value you want to use for any formula calculations (i.e. Min/Max/Help Text etc.)  This </t>
        </r>
        <r>
          <rPr>
            <i/>
            <sz val="8"/>
            <color indexed="81"/>
            <rFont val="Tahoma"/>
            <family val="2"/>
          </rPr>
          <t>value</t>
        </r>
        <r>
          <rPr>
            <sz val="8"/>
            <color indexed="81"/>
            <rFont val="Tahoma"/>
            <family val="2"/>
          </rPr>
          <t xml:space="preserve"> would be the actual value of the input during site execution.</t>
        </r>
      </text>
    </comment>
    <comment ref="C27" authorId="1" shapeId="0">
      <text>
        <r>
          <rPr>
            <b/>
            <sz val="8"/>
            <color indexed="81"/>
            <rFont val="Tahoma"/>
            <family val="2"/>
          </rPr>
          <t xml:space="preserve">BTR:
</t>
        </r>
        <r>
          <rPr>
            <sz val="8"/>
            <color indexed="81"/>
            <rFont val="Tahoma"/>
            <family val="2"/>
          </rPr>
          <t xml:space="preserve">Default value you wish to display in the website UI if </t>
        </r>
        <r>
          <rPr>
            <i/>
            <sz val="8"/>
            <color indexed="81"/>
            <rFont val="Tahoma"/>
            <family val="2"/>
          </rPr>
          <t>xDS Field Value</t>
        </r>
        <r>
          <rPr>
            <sz val="8"/>
            <color indexed="81"/>
            <rFont val="Tahoma"/>
            <family val="2"/>
          </rPr>
          <t xml:space="preserve"> is not specified or does not return any value.  You should format this cell the way you want defaults to appear on the website.  
For example, if you have a 2 decimal input, you should format the </t>
        </r>
        <r>
          <rPr>
            <i/>
            <sz val="8"/>
            <color indexed="81"/>
            <rFont val="Tahoma"/>
            <family val="2"/>
          </rPr>
          <t>Default</t>
        </r>
        <r>
          <rPr>
            <sz val="8"/>
            <color indexed="81"/>
            <rFont val="Tahoma"/>
            <family val="2"/>
          </rPr>
          <t xml:space="preserve"> to 0.00.</t>
        </r>
      </text>
    </comment>
    <comment ref="A41" authorId="0" shapeId="0">
      <text>
        <r>
          <rPr>
            <b/>
            <sz val="9"/>
            <color indexed="81"/>
            <rFont val="Tahoma"/>
            <family val="2"/>
          </rPr>
          <t>BTR:</t>
        </r>
        <r>
          <rPr>
            <sz val="9"/>
            <color indexed="81"/>
            <rFont val="Tahoma"/>
            <family val="2"/>
          </rPr>
          <t xml:space="preserve">
Use GetDataConfig() function to define any of the Flat/History fields you need to use in formulas in this sheet.</t>
        </r>
      </text>
    </comment>
    <comment ref="B52" authorId="0" shapeId="0">
      <text>
        <r>
          <rPr>
            <b/>
            <sz val="8"/>
            <color indexed="81"/>
            <rFont val="Tahoma"/>
            <family val="2"/>
          </rPr>
          <t>BTR:</t>
        </r>
        <r>
          <rPr>
            <sz val="8"/>
            <color indexed="81"/>
            <rFont val="Tahoma"/>
            <family val="2"/>
          </rPr>
          <t xml:space="preserve">
Provide the value you want to use for any formula calculations (i.e. Min/Max/Help Text etc.)  This </t>
        </r>
        <r>
          <rPr>
            <i/>
            <sz val="8"/>
            <color indexed="81"/>
            <rFont val="Tahoma"/>
            <family val="2"/>
          </rPr>
          <t>value</t>
        </r>
        <r>
          <rPr>
            <sz val="8"/>
            <color indexed="81"/>
            <rFont val="Tahoma"/>
            <family val="2"/>
          </rPr>
          <t xml:space="preserve"> would be the actual value of the input during site execution.</t>
        </r>
      </text>
    </comment>
    <comment ref="C52" authorId="1" shapeId="0">
      <text>
        <r>
          <rPr>
            <b/>
            <sz val="8"/>
            <color indexed="81"/>
            <rFont val="Tahoma"/>
            <family val="2"/>
          </rPr>
          <t xml:space="preserve">BTR:
</t>
        </r>
        <r>
          <rPr>
            <sz val="8"/>
            <color indexed="81"/>
            <rFont val="Tahoma"/>
            <family val="2"/>
          </rPr>
          <t xml:space="preserve">Default value you wish to display in the website UI if </t>
        </r>
        <r>
          <rPr>
            <i/>
            <sz val="8"/>
            <color indexed="81"/>
            <rFont val="Tahoma"/>
            <family val="2"/>
          </rPr>
          <t>xDS Field Value</t>
        </r>
        <r>
          <rPr>
            <sz val="8"/>
            <color indexed="81"/>
            <rFont val="Tahoma"/>
            <family val="2"/>
          </rPr>
          <t xml:space="preserve"> is not specified or does not return any value.  You should format this cell the way you want defaults to appear on the website.  
For example, if you have a 2 decimal input, you should format the </t>
        </r>
        <r>
          <rPr>
            <i/>
            <sz val="8"/>
            <color indexed="81"/>
            <rFont val="Tahoma"/>
            <family val="2"/>
          </rPr>
          <t>Default</t>
        </r>
        <r>
          <rPr>
            <sz val="8"/>
            <color indexed="81"/>
            <rFont val="Tahoma"/>
            <family val="2"/>
          </rPr>
          <t xml:space="preserve"> to 0.00.</t>
        </r>
      </text>
    </comment>
    <comment ref="D52" authorId="0" shapeId="0">
      <text>
        <r>
          <rPr>
            <b/>
            <sz val="8"/>
            <color indexed="81"/>
            <rFont val="Tahoma"/>
            <family val="2"/>
          </rPr>
          <t>BTR:</t>
        </r>
        <r>
          <rPr>
            <sz val="8"/>
            <color indexed="81"/>
            <rFont val="Tahoma"/>
            <family val="2"/>
          </rPr>
          <t xml:space="preserve">
If this value exists in the xDS profile of the participant and should be used as a default </t>
        </r>
        <r>
          <rPr>
            <i/>
            <sz val="8"/>
            <color indexed="81"/>
            <rFont val="Tahoma"/>
            <family val="2"/>
          </rPr>
          <t>if available</t>
        </r>
        <r>
          <rPr>
            <sz val="8"/>
            <color indexed="81"/>
            <rFont val="Tahoma"/>
            <family val="2"/>
          </rPr>
          <t>, use the GetProfileString(), GetProfileNumber(), and GetProfileDate() functions to provide the field you wish to populate with.</t>
        </r>
      </text>
    </comment>
    <comment ref="E52" authorId="0" shapeId="0">
      <text>
        <r>
          <rPr>
            <b/>
            <sz val="8"/>
            <color indexed="81"/>
            <rFont val="Tahoma"/>
            <family val="2"/>
          </rPr>
          <t>BTR:</t>
        </r>
        <r>
          <rPr>
            <sz val="8"/>
            <color indexed="81"/>
            <rFont val="Tahoma"/>
            <family val="2"/>
          </rPr>
          <t xml:space="preserve">
Specify the data type of the input:
</t>
        </r>
        <r>
          <rPr>
            <b/>
            <sz val="8"/>
            <color indexed="81"/>
            <rFont val="Tahoma"/>
            <family val="2"/>
          </rPr>
          <t>System</t>
        </r>
        <r>
          <rPr>
            <sz val="8"/>
            <color indexed="81"/>
            <rFont val="Tahoma"/>
            <family val="2"/>
          </rPr>
          <t xml:space="preserve">: Not really an input, just automatically put in.
</t>
        </r>
        <r>
          <rPr>
            <b/>
            <sz val="8"/>
            <color indexed="81"/>
            <rFont val="Tahoma"/>
            <family val="2"/>
          </rPr>
          <t>List</t>
        </r>
        <r>
          <rPr>
            <sz val="8"/>
            <color indexed="81"/>
            <rFont val="Tahoma"/>
            <family val="2"/>
          </rPr>
          <t xml:space="preserve">: A drop down control where the lookups aren’t a Code Table from the Spec Sheet.  Specify the choices and values in </t>
        </r>
        <r>
          <rPr>
            <i/>
            <sz val="8"/>
            <color indexed="81"/>
            <rFont val="Tahoma"/>
            <family val="2"/>
          </rPr>
          <t>Validation Comments</t>
        </r>
        <r>
          <rPr>
            <sz val="8"/>
            <color indexed="81"/>
            <rFont val="Tahoma"/>
            <family val="2"/>
          </rPr>
          <t xml:space="preserve"> field.
</t>
        </r>
        <r>
          <rPr>
            <b/>
            <sz val="8"/>
            <color indexed="81"/>
            <rFont val="Tahoma"/>
            <family val="2"/>
          </rPr>
          <t>List:TableName</t>
        </r>
        <r>
          <rPr>
            <sz val="8"/>
            <color indexed="81"/>
            <rFont val="Tahoma"/>
            <family val="2"/>
          </rPr>
          <t xml:space="preserve">: A drop down control where the lookups come from a Code Table named </t>
        </r>
        <r>
          <rPr>
            <i/>
            <sz val="8"/>
            <color indexed="81"/>
            <rFont val="Tahoma"/>
            <family val="2"/>
          </rPr>
          <t>TableName</t>
        </r>
        <r>
          <rPr>
            <sz val="8"/>
            <color indexed="81"/>
            <rFont val="Tahoma"/>
            <family val="2"/>
          </rPr>
          <t xml:space="preserve">.
</t>
        </r>
        <r>
          <rPr>
            <b/>
            <sz val="8"/>
            <color indexed="81"/>
            <rFont val="Tahoma"/>
            <family val="2"/>
          </rPr>
          <t>String</t>
        </r>
        <r>
          <rPr>
            <sz val="8"/>
            <color indexed="81"/>
            <rFont val="Tahoma"/>
            <family val="2"/>
          </rPr>
          <t xml:space="preserve">: just any old text.
</t>
        </r>
        <r>
          <rPr>
            <b/>
            <sz val="8"/>
            <color indexed="81"/>
            <rFont val="Tahoma"/>
            <family val="2"/>
          </rPr>
          <t>Date</t>
        </r>
        <r>
          <rPr>
            <sz val="8"/>
            <color indexed="81"/>
            <rFont val="Tahoma"/>
            <family val="2"/>
          </rPr>
          <t xml:space="preserve">: Date value (by default it will be an age/date input unless specified in the Validation Comments)
</t>
        </r>
        <r>
          <rPr>
            <b/>
            <sz val="8"/>
            <color indexed="81"/>
            <rFont val="Tahoma"/>
            <family val="2"/>
          </rPr>
          <t>Integer</t>
        </r>
        <r>
          <rPr>
            <sz val="8"/>
            <color indexed="81"/>
            <rFont val="Tahoma"/>
            <family val="2"/>
          </rPr>
          <t xml:space="preserve">: A number with </t>
        </r>
        <r>
          <rPr>
            <b/>
            <sz val="8"/>
            <color indexed="81"/>
            <rFont val="Tahoma"/>
            <family val="2"/>
          </rPr>
          <t>no</t>
        </r>
        <r>
          <rPr>
            <sz val="8"/>
            <color indexed="81"/>
            <rFont val="Tahoma"/>
            <family val="2"/>
          </rPr>
          <t xml:space="preserve"> decimals.
</t>
        </r>
        <r>
          <rPr>
            <b/>
            <sz val="8"/>
            <color indexed="81"/>
            <rFont val="Tahoma"/>
            <family val="2"/>
          </rPr>
          <t>Double</t>
        </r>
        <r>
          <rPr>
            <sz val="8"/>
            <color indexed="81"/>
            <rFont val="Tahoma"/>
            <family val="2"/>
          </rPr>
          <t xml:space="preserve">: A number that </t>
        </r>
        <r>
          <rPr>
            <b/>
            <sz val="8"/>
            <color indexed="81"/>
            <rFont val="Tahoma"/>
            <family val="2"/>
          </rPr>
          <t>allows</t>
        </r>
        <r>
          <rPr>
            <sz val="8"/>
            <color indexed="81"/>
            <rFont val="Tahoma"/>
            <family val="2"/>
          </rPr>
          <t xml:space="preserve"> decimals.
</t>
        </r>
        <r>
          <rPr>
            <b/>
            <sz val="8"/>
            <color indexed="81"/>
            <rFont val="Tahoma"/>
            <family val="2"/>
          </rPr>
          <t>Boolean</t>
        </r>
        <r>
          <rPr>
            <sz val="8"/>
            <color indexed="81"/>
            <rFont val="Tahoma"/>
            <family val="2"/>
          </rPr>
          <t xml:space="preserve">: A check box input.
</t>
        </r>
        <r>
          <rPr>
            <b/>
            <sz val="8"/>
            <color indexed="81"/>
            <rFont val="Tahoma"/>
            <family val="2"/>
          </rPr>
          <t xml:space="preserve">TableInputs: </t>
        </r>
        <r>
          <rPr>
            <sz val="8"/>
            <color indexed="81"/>
            <rFont val="Tahoma"/>
            <family val="2"/>
          </rPr>
          <t>This type is used in conjunction with BTR because it specifies that a 'table' of inputs (repeating rows of inputs) should be rendered.  There is no code generation for this.  The table will be coded up manually.  The inputs for each row, should be defined in the Input Definition, then supplied as a comma delimitted list in the Table Row Inputs column.
When working with BTR, you'll identify how many rows of data, the name of the Input Table to populate in the CalcEngine, any custom validation that strays from the default input definition supplied for each input in the Table Row Inputs column.</t>
        </r>
      </text>
    </comment>
    <comment ref="G52" authorId="0" shapeId="0">
      <text>
        <r>
          <rPr>
            <b/>
            <sz val="8"/>
            <color indexed="81"/>
            <rFont val="Tahoma"/>
            <family val="2"/>
          </rPr>
          <t>BTR:</t>
        </r>
        <r>
          <rPr>
            <sz val="8"/>
            <color indexed="81"/>
            <rFont val="Tahoma"/>
            <family val="2"/>
          </rPr>
          <t xml:space="preserve">
Specify the minimum and maxium values allowed for numerical or date inputs.  </t>
        </r>
        <r>
          <rPr>
            <b/>
            <sz val="8"/>
            <color indexed="81"/>
            <rFont val="Tahoma"/>
            <family val="2"/>
          </rPr>
          <t>Note that in the formulas, you can only use constant values or 'data values' (GetProfileXXX functions).  You cannot use other input values.  If you need other input values, you need to use Warning/Fatal Expression columns.</t>
        </r>
        <r>
          <rPr>
            <sz val="8"/>
            <color indexed="81"/>
            <rFont val="Tahoma"/>
            <family val="2"/>
          </rPr>
          <t xml:space="preserve">
</t>
        </r>
        <r>
          <rPr>
            <b/>
            <sz val="8"/>
            <color indexed="81"/>
            <rFont val="Tahoma"/>
            <family val="2"/>
          </rPr>
          <t>Special Situations</t>
        </r>
        <r>
          <rPr>
            <sz val="8"/>
            <color indexed="81"/>
            <rFont val="Tahoma"/>
            <family val="2"/>
          </rPr>
          <t xml:space="preserve">
a) </t>
        </r>
        <r>
          <rPr>
            <i/>
            <sz val="8"/>
            <color indexed="81"/>
            <rFont val="Tahoma"/>
            <family val="2"/>
          </rPr>
          <t>Today</t>
        </r>
        <r>
          <rPr>
            <sz val="8"/>
            <color indexed="81"/>
            <rFont val="Tahoma"/>
            <family val="2"/>
          </rPr>
          <t xml:space="preserve"> and </t>
        </r>
        <r>
          <rPr>
            <i/>
            <sz val="8"/>
            <color indexed="81"/>
            <rFont val="Tahoma"/>
            <family val="2"/>
          </rPr>
          <t>DOB</t>
        </r>
        <r>
          <rPr>
            <sz val="8"/>
            <color indexed="81"/>
            <rFont val="Tahoma"/>
            <family val="2"/>
          </rPr>
          <t xml:space="preserve"> 'syntax'
b) Using Min() and Max()
c) Using 'Flat Data' fields in Min() and Max()
d) Using other input min and max values
e) Getting integer age values
f) All Other Scenarios
</t>
        </r>
        <r>
          <rPr>
            <b/>
            <i/>
            <sz val="8"/>
            <color indexed="81"/>
            <rFont val="Tahoma"/>
            <family val="2"/>
          </rPr>
          <t>Today</t>
        </r>
        <r>
          <rPr>
            <b/>
            <sz val="8"/>
            <color indexed="81"/>
            <rFont val="Tahoma"/>
            <family val="2"/>
          </rPr>
          <t xml:space="preserve"> and </t>
        </r>
        <r>
          <rPr>
            <b/>
            <i/>
            <sz val="8"/>
            <color indexed="81"/>
            <rFont val="Tahoma"/>
            <family val="2"/>
          </rPr>
          <t>DOB</t>
        </r>
        <r>
          <rPr>
            <b/>
            <sz val="8"/>
            <color indexed="81"/>
            <rFont val="Tahoma"/>
            <family val="2"/>
          </rPr>
          <t xml:space="preserve"> 'syntax'</t>
        </r>
        <r>
          <rPr>
            <sz val="8"/>
            <color indexed="81"/>
            <rFont val="Tahoma"/>
            <family val="2"/>
          </rPr>
          <t xml:space="preserve">
You can use </t>
        </r>
        <r>
          <rPr>
            <i/>
            <sz val="8"/>
            <color indexed="81"/>
            <rFont val="Tahoma"/>
            <family val="2"/>
          </rPr>
          <t>Today</t>
        </r>
        <r>
          <rPr>
            <sz val="8"/>
            <color indexed="81"/>
            <rFont val="Tahoma"/>
            <family val="2"/>
          </rPr>
          <t xml:space="preserve"> syntax when working with </t>
        </r>
        <r>
          <rPr>
            <i/>
            <sz val="8"/>
            <color indexed="81"/>
            <rFont val="Tahoma"/>
            <family val="2"/>
          </rPr>
          <t>Date</t>
        </r>
        <r>
          <rPr>
            <sz val="8"/>
            <color indexed="81"/>
            <rFont val="Tahoma"/>
            <family val="2"/>
          </rPr>
          <t xml:space="preserve"> ranges and also </t>
        </r>
        <r>
          <rPr>
            <i/>
            <sz val="8"/>
            <color indexed="81"/>
            <rFont val="Tahoma"/>
            <family val="2"/>
          </rPr>
          <t>DOB</t>
        </r>
        <r>
          <rPr>
            <sz val="8"/>
            <color indexed="81"/>
            <rFont val="Tahoma"/>
            <family val="2"/>
          </rPr>
          <t xml:space="preserve"> as well (i.e. Today.AddYears( -18 ) to get 18 years ago, or DOB.AddYears( 18 ) to get date of 18th birthday).
</t>
        </r>
        <r>
          <rPr>
            <b/>
            <sz val="8"/>
            <color indexed="81"/>
            <rFont val="Tahoma"/>
            <family val="2"/>
          </rPr>
          <t>Using Min() and Max()</t>
        </r>
        <r>
          <rPr>
            <sz val="8"/>
            <color indexed="81"/>
            <rFont val="Tahoma"/>
            <family val="2"/>
          </rPr>
          <t xml:space="preserve">
You can use Max and Min as well for specifying logic in the Min/Max values (i.e. Min( Today, DOB.AddYears( 18 ) ) ).
</t>
        </r>
        <r>
          <rPr>
            <b/>
            <sz val="8"/>
            <color indexed="81"/>
            <rFont val="Tahoma"/>
            <family val="2"/>
          </rPr>
          <t>Using 'Flat Data' fields in Min() and Max()</t>
        </r>
        <r>
          <rPr>
            <sz val="8"/>
            <color indexed="81"/>
            <rFont val="Tahoma"/>
            <family val="2"/>
          </rPr>
          <t xml:space="preserve">
You can specify a flat data field by enclosing in &lt; &gt; (i.e. Min( Today, &lt;date-erd&gt; ) )
</t>
        </r>
        <r>
          <rPr>
            <b/>
            <sz val="8"/>
            <color indexed="81"/>
            <rFont val="Tahoma"/>
            <family val="2"/>
          </rPr>
          <t>Using other input min and max values</t>
        </r>
        <r>
          <rPr>
            <sz val="8"/>
            <color indexed="81"/>
            <rFont val="Tahoma"/>
            <family val="2"/>
          </rPr>
          <t xml:space="preserve">
If you need to use other inputs' min and/or max values in a Min() or Max() function, you can specify it by Min:InputName (i.e. Min:iDateTerm)
</t>
        </r>
        <r>
          <rPr>
            <b/>
            <sz val="8"/>
            <color indexed="81"/>
            <rFont val="Tahoma"/>
            <family val="2"/>
          </rPr>
          <t>Integer Age Values</t>
        </r>
        <r>
          <rPr>
            <sz val="8"/>
            <color indexed="81"/>
            <rFont val="Tahoma"/>
            <family val="2"/>
          </rPr>
          <t xml:space="preserve">
If you want to use an integer age value as part of a min/max, you can use Age(Date) where Date is either </t>
        </r>
        <r>
          <rPr>
            <i/>
            <sz val="8"/>
            <color indexed="81"/>
            <rFont val="Tahoma"/>
            <family val="2"/>
          </rPr>
          <t>Today</t>
        </r>
        <r>
          <rPr>
            <sz val="8"/>
            <color indexed="81"/>
            <rFont val="Tahoma"/>
            <family val="2"/>
          </rPr>
          <t xml:space="preserve"> syntax or a specific date.  i.e. Age( Today.AddYears( -1 ) ) - age last year or Age( 1/1/2005 ) - age at beginning of 2005.
</t>
        </r>
        <r>
          <rPr>
            <b/>
            <sz val="8"/>
            <color indexed="81"/>
            <rFont val="Tahoma"/>
            <family val="2"/>
          </rPr>
          <t>All Other Scenarios</t>
        </r>
        <r>
          <rPr>
            <sz val="8"/>
            <color indexed="81"/>
            <rFont val="Tahoma"/>
            <family val="2"/>
          </rPr>
          <t xml:space="preserve">
For any other validation scenario that you are unsure about or that is more complex that the methods above allow you to document, prefix the cell with </t>
        </r>
        <r>
          <rPr>
            <i/>
            <sz val="8"/>
            <color indexed="81"/>
            <rFont val="Tahoma"/>
            <family val="2"/>
          </rPr>
          <t>Custom:</t>
        </r>
        <r>
          <rPr>
            <sz val="8"/>
            <color indexed="81"/>
            <rFont val="Tahoma"/>
            <family val="2"/>
          </rPr>
          <t xml:space="preserve"> and then you can document any 'freehand' logic you wish with the understanding that BTR will have to interpret this and code it up (meaning possible discussions/explanations to BTR may be necessary)</t>
        </r>
      </text>
    </comment>
    <comment ref="J52" authorId="0" shapeId="0">
      <text>
        <r>
          <rPr>
            <b/>
            <sz val="8"/>
            <color indexed="81"/>
            <rFont val="Tahoma"/>
            <family val="2"/>
          </rPr>
          <t>BTR:</t>
        </r>
        <r>
          <rPr>
            <sz val="8"/>
            <color indexed="81"/>
            <rFont val="Tahoma"/>
            <family val="2"/>
          </rPr>
          <t xml:space="preserve">
If present, a spinner control is created and increments by the value specified here.</t>
        </r>
      </text>
    </comment>
    <comment ref="S52" authorId="0" shapeId="0">
      <text>
        <r>
          <rPr>
            <b/>
            <sz val="8"/>
            <color indexed="81"/>
            <rFont val="Tahoma"/>
            <family val="2"/>
          </rPr>
          <t>BTR:</t>
        </r>
        <r>
          <rPr>
            <sz val="8"/>
            <color indexed="81"/>
            <rFont val="Tahoma"/>
            <family val="2"/>
          </rPr>
          <t xml:space="preserve">
If this input is a </t>
        </r>
        <r>
          <rPr>
            <i/>
            <sz val="8"/>
            <color indexed="81"/>
            <rFont val="Tahoma"/>
            <family val="2"/>
          </rPr>
          <t>Date</t>
        </r>
        <r>
          <rPr>
            <sz val="8"/>
            <color indexed="81"/>
            <rFont val="Tahoma"/>
            <family val="2"/>
          </rPr>
          <t xml:space="preserve"> input, put a 'Y' in this column if you want the value submitted to the RBL Broker to be pushed to the 'First Day of the Month'.</t>
        </r>
      </text>
    </comment>
    <comment ref="V52" authorId="0" shapeId="0">
      <text>
        <r>
          <rPr>
            <b/>
            <sz val="9"/>
            <color indexed="81"/>
            <rFont val="Tahoma"/>
            <family val="2"/>
          </rPr>
          <t>BTR:</t>
        </r>
        <r>
          <rPr>
            <sz val="9"/>
            <color indexed="81"/>
            <rFont val="Tahoma"/>
            <family val="2"/>
          </rPr>
          <t xml:space="preserve">
If you have a grouping of fields that have the same labels as the primary participant fields (i.e. Spouse Information section), you can provide a prefix here that will be appended to the error messages so that you know where the error came from on common field names.</t>
        </r>
      </text>
    </comment>
    <comment ref="B102" authorId="0" shapeId="0">
      <text>
        <r>
          <rPr>
            <b/>
            <sz val="8"/>
            <color indexed="81"/>
            <rFont val="Tahoma"/>
            <family val="2"/>
          </rPr>
          <t>BTR:</t>
        </r>
        <r>
          <rPr>
            <sz val="8"/>
            <color indexed="81"/>
            <rFont val="Tahoma"/>
            <family val="2"/>
          </rPr>
          <t xml:space="preserve">
Provide the value you want to use for any formula calculations (i.e. Min/Max/Help Text etc.)  This </t>
        </r>
        <r>
          <rPr>
            <i/>
            <sz val="8"/>
            <color indexed="81"/>
            <rFont val="Tahoma"/>
            <family val="2"/>
          </rPr>
          <t>value</t>
        </r>
        <r>
          <rPr>
            <sz val="8"/>
            <color indexed="81"/>
            <rFont val="Tahoma"/>
            <family val="2"/>
          </rPr>
          <t xml:space="preserve"> would be the actual value of the input during site execution.</t>
        </r>
      </text>
    </comment>
  </commentList>
</comments>
</file>

<file path=xl/comments15.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List>
</comments>
</file>

<file path=xl/comments16.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List>
</comments>
</file>

<file path=xl/comments17.xml><?xml version="1.0" encoding="utf-8"?>
<comments xmlns="http://schemas.openxmlformats.org/spreadsheetml/2006/main">
  <authors>
    <author>Terry C. Aney</author>
  </authors>
  <commentList>
    <comment ref="B5"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 ref="B8" authorId="0" shapeId="0">
      <text>
        <r>
          <rPr>
            <b/>
            <sz val="8"/>
            <color indexed="81"/>
            <rFont val="Tahoma"/>
            <family val="2"/>
          </rPr>
          <t>BTR:</t>
        </r>
        <r>
          <rPr>
            <sz val="8"/>
            <color indexed="81"/>
            <rFont val="Tahoma"/>
            <family val="2"/>
          </rPr>
          <t xml:space="preserve">
Please provide the user name to use when creating this user (normally e-mail address)</t>
        </r>
        <r>
          <rPr>
            <sz val="8"/>
            <color indexed="81"/>
            <rFont val="Tahoma"/>
            <family val="2"/>
          </rPr>
          <t>.</t>
        </r>
      </text>
    </comment>
    <comment ref="C8" authorId="0" shapeId="0">
      <text>
        <r>
          <rPr>
            <b/>
            <sz val="8"/>
            <color indexed="81"/>
            <rFont val="Tahoma"/>
            <family val="2"/>
          </rPr>
          <t>BTR:</t>
        </r>
        <r>
          <rPr>
            <sz val="8"/>
            <color indexed="81"/>
            <rFont val="Tahoma"/>
            <family val="2"/>
          </rPr>
          <t xml:space="preserve">
A comma delimitted list of 'area' this user should have access to.  Usually in the format of Client.Area.  For example, AZI.Administration.</t>
        </r>
      </text>
    </comment>
    <comment ref="D8" authorId="0" shapeId="0">
      <text>
        <r>
          <rPr>
            <b/>
            <sz val="8"/>
            <color indexed="81"/>
            <rFont val="Tahoma"/>
            <family val="2"/>
          </rPr>
          <t>BTR:</t>
        </r>
        <r>
          <rPr>
            <sz val="8"/>
            <color indexed="81"/>
            <rFont val="Tahoma"/>
            <family val="2"/>
          </rPr>
          <t xml:space="preserve">
A comma delimitted list of 'areas' a user should have impersonation rights granted to in the format of Client.Area.  For example, AZI.Modeling.  To impersonate as an 'other user', login via the ssn@first.last.rblserver.com impersonation method.</t>
        </r>
      </text>
    </comment>
    <comment ref="E8" authorId="0" shapeId="0">
      <text>
        <r>
          <rPr>
            <b/>
            <sz val="9"/>
            <color indexed="81"/>
            <rFont val="Tahoma"/>
            <family val="2"/>
          </rPr>
          <t>BTR:</t>
        </r>
        <r>
          <rPr>
            <sz val="9"/>
            <color indexed="81"/>
            <rFont val="Tahoma"/>
            <family val="2"/>
          </rPr>
          <t xml:space="preserve">
Comma delimitted list of allow roles to grant to a user </t>
        </r>
        <r>
          <rPr>
            <b/>
            <sz val="9"/>
            <color indexed="81"/>
            <rFont val="Tahoma"/>
            <family val="2"/>
          </rPr>
          <t>when being created</t>
        </r>
        <r>
          <rPr>
            <sz val="9"/>
            <color indexed="81"/>
            <rFont val="Tahoma"/>
            <family val="2"/>
          </rPr>
          <t>.  If user already exists and this tab is processed, roles will not be modified.  Roles can be managed online at that point.</t>
        </r>
      </text>
    </comment>
    <comment ref="F8" authorId="0" shapeId="0">
      <text>
        <r>
          <rPr>
            <b/>
            <sz val="9"/>
            <color indexed="81"/>
            <rFont val="Tahoma"/>
            <family val="2"/>
          </rPr>
          <t>BTR:</t>
        </r>
        <r>
          <rPr>
            <sz val="9"/>
            <color indexed="81"/>
            <rFont val="Tahoma"/>
            <family val="2"/>
          </rPr>
          <t xml:space="preserve">
If user is part of xDS data set, profile the Auth ID here.  Make sure to include any required zero padding (may need to prefix value with ' to keep zero padding present).</t>
        </r>
      </text>
    </comment>
    <comment ref="G8" authorId="0" shapeId="0">
      <text>
        <r>
          <rPr>
            <b/>
            <sz val="9"/>
            <color indexed="81"/>
            <rFont val="Tahoma"/>
            <family val="2"/>
          </rPr>
          <t>BTR:</t>
        </r>
        <r>
          <rPr>
            <sz val="9"/>
            <color indexed="81"/>
            <rFont val="Tahoma"/>
            <family val="2"/>
          </rPr>
          <t xml:space="preserve">
If a user needs to only be granted access to certain parts of the population, an AdHoc Filter can be provided here.
For example, if people need to be restricted based on a field named group, you could put:
{Group}="abc"
{Group}="xyz"</t>
        </r>
      </text>
    </comment>
  </commentList>
</comments>
</file>

<file path=xl/comments18.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 ref="D178" authorId="0" shapeId="0">
      <text>
        <r>
          <rPr>
            <b/>
            <sz val="9"/>
            <color indexed="81"/>
            <rFont val="Tahoma"/>
            <family val="2"/>
          </rPr>
          <t>BTR:</t>
        </r>
        <r>
          <rPr>
            <sz val="9"/>
            <color indexed="81"/>
            <rFont val="Tahoma"/>
            <family val="2"/>
          </rPr>
          <t xml:space="preserve">
This message is used with a string.Format() passing in Client Site Name and Client Domain.</t>
        </r>
      </text>
    </comment>
    <comment ref="D190" authorId="0" shapeId="0">
      <text>
        <r>
          <rPr>
            <b/>
            <sz val="9"/>
            <color indexed="81"/>
            <rFont val="Tahoma"/>
            <family val="2"/>
          </rPr>
          <t>BTR:</t>
        </r>
        <r>
          <rPr>
            <sz val="9"/>
            <color indexed="81"/>
            <rFont val="Tahoma"/>
            <family val="2"/>
          </rPr>
          <t xml:space="preserve">
This message is used with a string.Format() passing in Client Site Name and Client Domain.</t>
        </r>
      </text>
    </comment>
  </commentList>
</comments>
</file>

<file path=xl/comments19.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List>
</comments>
</file>

<file path=xl/comments2.xml><?xml version="1.0" encoding="utf-8"?>
<comments xmlns="http://schemas.openxmlformats.org/spreadsheetml/2006/main">
  <authors>
    <author>Terry C. Aney</author>
    <author>ACS</author>
  </authors>
  <commentList>
    <comment ref="B3" authorId="0" shapeId="0">
      <text>
        <r>
          <rPr>
            <b/>
            <sz val="8"/>
            <color indexed="81"/>
            <rFont val="Tahoma"/>
            <family val="2"/>
          </rPr>
          <t>BTR:</t>
        </r>
        <r>
          <rPr>
            <sz val="8"/>
            <color indexed="81"/>
            <rFont val="Tahoma"/>
            <family val="2"/>
          </rPr>
          <t xml:space="preserve">
Internal Sheet Version number.  Should never be changed by Mellon, used by RBL Add In to know what version the SE 'framework' is on.</t>
        </r>
      </text>
    </comment>
    <comment ref="A27" authorId="0" shapeId="0">
      <text>
        <r>
          <rPr>
            <b/>
            <sz val="8"/>
            <color indexed="81"/>
            <rFont val="Tahoma"/>
            <family val="2"/>
          </rPr>
          <t>BTR:</t>
        </r>
        <r>
          <rPr>
            <sz val="8"/>
            <color indexed="81"/>
            <rFont val="Tahoma"/>
            <family val="2"/>
          </rPr>
          <t xml:space="preserve">
The following 4 tables are always required for Benefit Calculations</t>
        </r>
      </text>
    </comment>
    <comment ref="E28" authorId="0" shapeId="0">
      <text>
        <r>
          <rPr>
            <b/>
            <sz val="8"/>
            <color indexed="81"/>
            <rFont val="Tahoma"/>
            <family val="2"/>
          </rPr>
          <t>BTR:</t>
        </r>
        <r>
          <rPr>
            <sz val="8"/>
            <color indexed="81"/>
            <rFont val="Tahoma"/>
            <family val="2"/>
          </rPr>
          <t xml:space="preserve">
You can have sub content items by making a new 'navigation-X' table.  You then set up the navigation the same way but in the contents table, type=subcontent and item=navigation-X.</t>
        </r>
      </text>
    </comment>
    <comment ref="BQ28" authorId="0" shapeId="0">
      <text>
        <r>
          <rPr>
            <b/>
            <sz val="9"/>
            <color indexed="81"/>
            <rFont val="Tahoma"/>
            <family val="2"/>
          </rPr>
          <t>BTR:</t>
        </r>
        <r>
          <rPr>
            <sz val="9"/>
            <color indexed="81"/>
            <rFont val="Tahoma"/>
            <family val="2"/>
          </rPr>
          <t xml:space="preserve">
This table is processed if </t>
        </r>
        <r>
          <rPr>
            <i/>
            <sz val="9"/>
            <color indexed="81"/>
            <rFont val="Tahoma"/>
            <family val="2"/>
          </rPr>
          <t>navigation</t>
        </r>
        <r>
          <rPr>
            <sz val="9"/>
            <color indexed="81"/>
            <rFont val="Tahoma"/>
            <family val="2"/>
          </rPr>
          <t xml:space="preserve"> table contains an IncompleteForms element.  When the DocGen job is submitted to the Broker, each row will generate a new bookmark in the format of "if_" + id (replacing - with _).  For header row s (designated by hdr/header in the code column), the value will be 1 if any subsequent detail rows (checkboxes) were checked by the user.  For detail rows (rendered as checkboxes), the value will be 1 if the user checked the item. </t>
        </r>
      </text>
    </comment>
    <comment ref="E29" authorId="0" shapeId="0">
      <text>
        <r>
          <rPr>
            <b/>
            <sz val="8"/>
            <color indexed="81"/>
            <rFont val="Tahoma"/>
            <family val="2"/>
          </rPr>
          <t>BTR:</t>
        </r>
        <r>
          <rPr>
            <sz val="8"/>
            <color indexed="81"/>
            <rFont val="Tahoma"/>
            <family val="2"/>
          </rPr>
          <t xml:space="preserve">
Section ID must be numerical and go from 1 to N (being number of sections)</t>
        </r>
      </text>
    </comment>
    <comment ref="F29" authorId="0" shapeId="0">
      <text>
        <r>
          <rPr>
            <b/>
            <sz val="8"/>
            <color indexed="81"/>
            <rFont val="Tahoma"/>
            <family val="2"/>
          </rPr>
          <t>BTR:</t>
        </r>
        <r>
          <rPr>
            <sz val="8"/>
            <color indexed="81"/>
            <rFont val="Tahoma"/>
            <family val="2"/>
          </rPr>
          <t xml:space="preserve">
Whether or not this row gets exported: 
1=Yes 0=No</t>
        </r>
      </text>
    </comment>
    <comment ref="G29" authorId="0" shapeId="0">
      <text>
        <r>
          <rPr>
            <b/>
            <sz val="8"/>
            <color indexed="81"/>
            <rFont val="Tahoma"/>
            <family val="2"/>
          </rPr>
          <t>BTR:</t>
        </r>
        <r>
          <rPr>
            <sz val="8"/>
            <color indexed="81"/>
            <rFont val="Tahoma"/>
            <family val="2"/>
          </rPr>
          <t xml:space="preserve">
This will be the 'Link' text as well as the 'header' text for this navigation item.</t>
        </r>
      </text>
    </comment>
    <comment ref="H29" authorId="0" shapeId="0">
      <text>
        <r>
          <rPr>
            <b/>
            <sz val="9"/>
            <color indexed="81"/>
            <rFont val="Tahoma"/>
            <family val="2"/>
          </rPr>
          <t>BTR:</t>
        </r>
        <r>
          <rPr>
            <sz val="9"/>
            <color indexed="81"/>
            <rFont val="Tahoma"/>
            <family val="2"/>
          </rPr>
          <t xml:space="preserve">
Describes the type of the content to be rendered when clicking on this navigation menu.
</t>
        </r>
        <r>
          <rPr>
            <b/>
            <sz val="9"/>
            <color indexed="81"/>
            <rFont val="Tahoma"/>
            <family val="2"/>
          </rPr>
          <t>RBL</t>
        </r>
        <r>
          <rPr>
            <sz val="9"/>
            <color indexed="81"/>
            <rFont val="Tahoma"/>
            <family val="2"/>
          </rPr>
          <t xml:space="preserve"> - Content is rendered using ResultBuilder from one of the tables in this tab.
</t>
        </r>
        <r>
          <rPr>
            <b/>
            <sz val="9"/>
            <color indexed="81"/>
            <rFont val="Tahoma"/>
            <family val="2"/>
          </rPr>
          <t>DocumentDownload</t>
        </r>
        <r>
          <rPr>
            <sz val="9"/>
            <color indexed="81"/>
            <rFont val="Tahoma"/>
            <family val="2"/>
          </rPr>
          <t xml:space="preserve"> - Provides a document download pages which is managed by the </t>
        </r>
        <r>
          <rPr>
            <i/>
            <sz val="9"/>
            <color indexed="81"/>
            <rFont val="Tahoma"/>
            <family val="2"/>
          </rPr>
          <t>download-package</t>
        </r>
        <r>
          <rPr>
            <sz val="9"/>
            <color indexed="81"/>
            <rFont val="Tahoma"/>
            <family val="2"/>
          </rPr>
          <t xml:space="preserve"> table on this tab.
</t>
        </r>
        <r>
          <rPr>
            <b/>
            <sz val="9"/>
            <color indexed="81"/>
            <rFont val="Tahoma"/>
            <family val="2"/>
          </rPr>
          <t>FinalCalculation</t>
        </r>
        <r>
          <rPr>
            <sz val="9"/>
            <color indexed="81"/>
            <rFont val="Tahoma"/>
            <family val="2"/>
          </rPr>
          <t xml:space="preserve"> - Provides a mechanism to resubmit the current calculation with the addition of 'Final Calculation Inputs' to complete a calculation process.
</t>
        </r>
        <r>
          <rPr>
            <b/>
            <sz val="9"/>
            <color indexed="81"/>
            <rFont val="Tahoma"/>
            <family val="2"/>
          </rPr>
          <t>DataUpdates</t>
        </r>
        <r>
          <rPr>
            <sz val="9"/>
            <color indexed="81"/>
            <rFont val="Tahoma"/>
            <family val="2"/>
          </rPr>
          <t xml:space="preserve"> - Provides a mechanism to apply updates to a participant which is managed by the </t>
        </r>
        <r>
          <rPr>
            <i/>
            <sz val="9"/>
            <color indexed="81"/>
            <rFont val="Tahoma"/>
            <family val="2"/>
          </rPr>
          <t>data-updates</t>
        </r>
        <r>
          <rPr>
            <sz val="9"/>
            <color indexed="81"/>
            <rFont val="Tahoma"/>
            <family val="2"/>
          </rPr>
          <t xml:space="preserve"> table on this tab.
</t>
        </r>
        <r>
          <rPr>
            <b/>
            <sz val="9"/>
            <color indexed="81"/>
            <rFont val="Tahoma"/>
            <family val="2"/>
          </rPr>
          <t>CalculationStatus</t>
        </r>
        <r>
          <rPr>
            <sz val="9"/>
            <color indexed="81"/>
            <rFont val="Tahoma"/>
            <family val="2"/>
          </rPr>
          <t xml:space="preserve"> - Provides a mechanism to manage the status of a single calculation.</t>
        </r>
      </text>
    </comment>
    <comment ref="I29" authorId="0" shapeId="0">
      <text>
        <r>
          <rPr>
            <b/>
            <sz val="8"/>
            <color indexed="81"/>
            <rFont val="Tahoma"/>
            <family val="2"/>
          </rPr>
          <t>BTR:</t>
        </r>
        <r>
          <rPr>
            <sz val="8"/>
            <color indexed="81"/>
            <rFont val="Tahoma"/>
            <family val="2"/>
          </rPr>
          <t xml:space="preserve">
Set one of these to '1' so that we can pick the default item to show.</t>
        </r>
      </text>
    </comment>
    <comment ref="K29" authorId="0" shapeId="0">
      <text>
        <r>
          <rPr>
            <b/>
            <sz val="8"/>
            <color indexed="81"/>
            <rFont val="Tahoma"/>
            <family val="2"/>
          </rPr>
          <t>BTR:</t>
        </r>
        <r>
          <rPr>
            <sz val="8"/>
            <color indexed="81"/>
            <rFont val="Tahoma"/>
            <family val="2"/>
          </rPr>
          <t xml:space="preserve">
This specifies which navigation section to place this 'content' in.
You can also specify 1..N 'All' rows and it will make that show up at bottom of all sections and not show and hide based on which section you are viewing.</t>
        </r>
      </text>
    </comment>
    <comment ref="L29" authorId="0" shapeId="0">
      <text>
        <r>
          <rPr>
            <b/>
            <sz val="8"/>
            <color indexed="81"/>
            <rFont val="Tahoma"/>
            <family val="2"/>
          </rPr>
          <t>BTR:</t>
        </r>
        <r>
          <rPr>
            <sz val="8"/>
            <color indexed="81"/>
            <rFont val="Tahoma"/>
            <family val="2"/>
          </rPr>
          <t xml:space="preserve">
Whether or not this row gets exported: 
1=Yes 0=No</t>
        </r>
      </text>
    </comment>
    <comment ref="M29" authorId="0" shapeId="0">
      <text>
        <r>
          <rPr>
            <b/>
            <sz val="8"/>
            <color indexed="81"/>
            <rFont val="Tahoma"/>
            <family val="2"/>
          </rPr>
          <t>BTR:</t>
        </r>
        <r>
          <rPr>
            <sz val="8"/>
            <color indexed="81"/>
            <rFont val="Tahoma"/>
            <family val="2"/>
          </rPr>
          <t xml:space="preserve">
This is just a 'subheading' to place before this content.</t>
        </r>
      </text>
    </comment>
    <comment ref="O29" authorId="0" shapeId="0">
      <text>
        <r>
          <rPr>
            <b/>
            <sz val="8"/>
            <color indexed="81"/>
            <rFont val="Tahoma"/>
            <family val="2"/>
          </rPr>
          <t>BTR:</t>
        </r>
        <r>
          <rPr>
            <sz val="8"/>
            <color indexed="81"/>
            <rFont val="Tahoma"/>
            <family val="2"/>
          </rPr>
          <t xml:space="preserve">
This is name of 'item' (either table or chart) to display.</t>
        </r>
      </text>
    </comment>
    <comment ref="P29" authorId="0" shapeId="0">
      <text>
        <r>
          <rPr>
            <b/>
            <sz val="8"/>
            <color indexed="81"/>
            <rFont val="Tahoma"/>
            <family val="2"/>
          </rPr>
          <t>BTR:</t>
        </r>
        <r>
          <rPr>
            <sz val="8"/>
            <color indexed="81"/>
            <rFont val="Tahoma"/>
            <family val="2"/>
          </rPr>
          <t xml:space="preserve">
This tells RBL framework what 'type' of item current content is.  You can use chart, table, list, numbered, p, or subcontent.
If it is a warning summary, then you can use type of 'warning'.
If subcontent, then item points to 'sub' navigation table and a sub navigation is built off this navigation table and the corresponding contents table.  The names must have the same suffix (i.e. navigation-1 works with contents-1).</t>
        </r>
      </text>
    </comment>
    <comment ref="T29" authorId="0" shapeId="0">
      <text>
        <r>
          <rPr>
            <b/>
            <sz val="8"/>
            <color indexed="81"/>
            <rFont val="Tahoma"/>
            <family val="2"/>
          </rPr>
          <t>Terry C. Aney:</t>
        </r>
        <r>
          <rPr>
            <sz val="8"/>
            <color indexed="81"/>
            <rFont val="Tahoma"/>
            <family val="2"/>
          </rPr>
          <t xml:space="preserve">
Optional class tag to include on the table row.</t>
        </r>
      </text>
    </comment>
    <comment ref="U29" authorId="0" shapeId="0">
      <text>
        <r>
          <rPr>
            <b/>
            <sz val="8"/>
            <color indexed="81"/>
            <rFont val="Tahoma"/>
            <family val="2"/>
          </rPr>
          <t>BTR:</t>
        </r>
        <r>
          <rPr>
            <sz val="8"/>
            <color indexed="81"/>
            <rFont val="Tahoma"/>
            <family val="2"/>
          </rPr>
          <t xml:space="preserve">
Optional column to use to tell RBL Framework how to 'span' columns in current row.
The format is: 
column:span[:column:span]
Where you specify the column name followed by a colon and how many columns to span.  You can optionally put as many definitions back to back separated by colons as needed.
Examples:
Span text1 3 all three columns: text1:3
Span text1 1 column and value1 2 columns: text1:1:value1:2</t>
        </r>
      </text>
    </comment>
    <comment ref="V29" authorId="0" shapeId="0">
      <text>
        <r>
          <rPr>
            <b/>
            <sz val="8"/>
            <color indexed="81"/>
            <rFont val="Tahoma"/>
            <family val="2"/>
          </rPr>
          <t>Terry C. Aney:</t>
        </r>
        <r>
          <rPr>
            <sz val="8"/>
            <color indexed="81"/>
            <rFont val="Tahoma"/>
            <family val="2"/>
          </rPr>
          <t xml:space="preserve">
Start any column header with 'text' and it will lay that out in a table left aligned automatically.
Start any column with 'value' and it will lay that out in a table right aligned automatically.</t>
        </r>
      </text>
    </comment>
    <comment ref="AA29" authorId="0" shapeId="0">
      <text>
        <r>
          <rPr>
            <b/>
            <sz val="9"/>
            <color indexed="81"/>
            <rFont val="Tahoma"/>
            <family val="2"/>
          </rPr>
          <t>BTR:</t>
        </r>
        <r>
          <rPr>
            <sz val="9"/>
            <color indexed="81"/>
            <rFont val="Tahoma"/>
            <family val="2"/>
          </rPr>
          <t xml:space="preserve">
A way to filter out data.  If this column is present, you can insert a 0 (hide) or 1 (show) to control visibility on the DocGen rendering.
Useful if you need different text/formatting for site versus DocGen.</t>
        </r>
      </text>
    </comment>
    <comment ref="AB29" authorId="0" shapeId="0">
      <text>
        <r>
          <rPr>
            <b/>
            <sz val="9"/>
            <color indexed="81"/>
            <rFont val="Tahoma"/>
            <family val="2"/>
          </rPr>
          <t>BTR:</t>
        </r>
        <r>
          <rPr>
            <sz val="9"/>
            <color indexed="81"/>
            <rFont val="Tahoma"/>
            <family val="2"/>
          </rPr>
          <t xml:space="preserve">
If set to 1 and dumping this table in DocGen would span multiple pages, this row (or rows) will be used as a header on each page.</t>
        </r>
      </text>
    </comment>
    <comment ref="AC29" authorId="0" shapeId="0">
      <text>
        <r>
          <rPr>
            <b/>
            <sz val="9"/>
            <color indexed="81"/>
            <rFont val="Tahoma"/>
            <family val="2"/>
          </rPr>
          <t>BTR:</t>
        </r>
        <r>
          <rPr>
            <sz val="9"/>
            <color indexed="81"/>
            <rFont val="Tahoma"/>
            <family val="2"/>
          </rPr>
          <t xml:space="preserve">
A way to filter out data.  If this column is present, you can insert a 0 (hide) or 1 (show) to control visibility on the website rendering.
Useful if you need different text/formatting for site versus DocGen.</t>
        </r>
      </text>
    </comment>
    <comment ref="AD29" authorId="0" shapeId="0">
      <text>
        <r>
          <rPr>
            <b/>
            <sz val="9"/>
            <color indexed="81"/>
            <rFont val="Tahoma"/>
            <family val="2"/>
          </rPr>
          <t>BTR:</t>
        </r>
        <r>
          <rPr>
            <sz val="9"/>
            <color indexed="81"/>
            <rFont val="Tahoma"/>
            <family val="2"/>
          </rPr>
          <t xml:space="preserve">
Use the code column to control formatting in DocGen processing.  Colon (:) delimit a list of codes to apply.  The following is currently supported.
Bold - Bolds the content of the cell.</t>
        </r>
      </text>
    </comment>
    <comment ref="AE29" authorId="0" shapeId="0">
      <text>
        <r>
          <rPr>
            <b/>
            <sz val="8"/>
            <color indexed="81"/>
            <rFont val="Tahoma"/>
            <family val="2"/>
          </rPr>
          <t>BTR:</t>
        </r>
        <r>
          <rPr>
            <sz val="8"/>
            <color indexed="81"/>
            <rFont val="Tahoma"/>
            <family val="2"/>
          </rPr>
          <t xml:space="preserve">
Optional column to use to tell RBL Framework how to 'span' columns in current row.
The format is: 
column:span[:column:span]
Where you specify the column name followed by a colon and how many columns to span.  You can optionally put as many definitions back to back separated by colons as needed.
Examples:
Span text1 3 all three columns: text1:3
Span text1 1 column and value1 2 columns: text1:1:value1:2</t>
        </r>
      </text>
    </comment>
    <comment ref="AF29" authorId="0" shapeId="0">
      <text>
        <r>
          <rPr>
            <b/>
            <sz val="8"/>
            <color indexed="81"/>
            <rFont val="Tahoma"/>
            <family val="2"/>
          </rPr>
          <t>Terry C. Aney:</t>
        </r>
        <r>
          <rPr>
            <sz val="8"/>
            <color indexed="81"/>
            <rFont val="Tahoma"/>
            <family val="2"/>
          </rPr>
          <t xml:space="preserve">
Start any column header with 'text' and it will lay that out in a table left aligned automatically.
Start any column with 'value' and it will lay that out in a table right aligned automatically.</t>
        </r>
      </text>
    </comment>
    <comment ref="AS29" authorId="0" shapeId="0">
      <text>
        <r>
          <rPr>
            <b/>
            <sz val="8"/>
            <color indexed="81"/>
            <rFont val="Tahoma"/>
            <family val="2"/>
          </rPr>
          <t>Terry C. Aney:</t>
        </r>
        <r>
          <rPr>
            <sz val="8"/>
            <color indexed="81"/>
            <rFont val="Tahoma"/>
            <family val="2"/>
          </rPr>
          <t xml:space="preserve">
Start any column header with 'text' and it will lay that out in a table left aligned automatically.
Start any column with 'value' and it will lay that out in a table right aligned automatically.</t>
        </r>
      </text>
    </comment>
    <comment ref="AW29" authorId="0" shapeId="0">
      <text>
        <r>
          <rPr>
            <b/>
            <sz val="8"/>
            <color indexed="81"/>
            <rFont val="Tahoma"/>
            <family val="2"/>
          </rPr>
          <t>BTR:</t>
        </r>
        <r>
          <rPr>
            <sz val="8"/>
            <color indexed="81"/>
            <rFont val="Tahoma"/>
            <family val="2"/>
          </rPr>
          <t xml:space="preserve">
Display name of the package on the 'Download' screen from a retirement calculation.</t>
        </r>
      </text>
    </comment>
    <comment ref="AX29" authorId="0" shapeId="0">
      <text>
        <r>
          <rPr>
            <b/>
            <sz val="8"/>
            <color indexed="81"/>
            <rFont val="Tahoma"/>
            <family val="2"/>
          </rPr>
          <t>BTR:</t>
        </r>
        <r>
          <rPr>
            <sz val="8"/>
            <color indexed="81"/>
            <rFont val="Tahoma"/>
            <family val="2"/>
          </rPr>
          <t xml:space="preserve">
The actual name of the file to use.</t>
        </r>
      </text>
    </comment>
    <comment ref="BA29" authorId="0" shapeId="0">
      <text>
        <r>
          <rPr>
            <b/>
            <sz val="8"/>
            <color indexed="81"/>
            <rFont val="Tahoma"/>
            <family val="2"/>
          </rPr>
          <t>BTR:</t>
        </r>
        <r>
          <rPr>
            <sz val="8"/>
            <color indexed="81"/>
            <rFont val="Tahoma"/>
            <family val="2"/>
          </rPr>
          <t xml:space="preserve">
Put the name of one of the available download package files you would like to append this document into so that there is only one download.</t>
        </r>
      </text>
    </comment>
    <comment ref="BJ29" authorId="0" shapeId="0">
      <text>
        <r>
          <rPr>
            <b/>
            <sz val="9"/>
            <color indexed="81"/>
            <rFont val="Tahoma"/>
            <family val="2"/>
          </rPr>
          <t>BTR:</t>
        </r>
        <r>
          <rPr>
            <sz val="9"/>
            <color indexed="81"/>
            <rFont val="Tahoma"/>
            <family val="2"/>
          </rPr>
          <t xml:space="preserve">
If field, table, and index are all blank, this label is turned into a 'header'.</t>
        </r>
      </text>
    </comment>
    <comment ref="BS29" authorId="0" shapeId="0">
      <text>
        <r>
          <rPr>
            <b/>
            <sz val="9"/>
            <color indexed="81"/>
            <rFont val="Tahoma"/>
            <family val="2"/>
          </rPr>
          <t>BTR:</t>
        </r>
        <r>
          <rPr>
            <sz val="9"/>
            <color indexed="81"/>
            <rFont val="Tahoma"/>
            <family val="2"/>
          </rPr>
          <t xml:space="preserve">
Space delimitted set of codes to apply.  Currently supported codes:
</t>
        </r>
        <r>
          <rPr>
            <b/>
            <sz val="9"/>
            <color indexed="81"/>
            <rFont val="Tahoma"/>
            <family val="2"/>
          </rPr>
          <t>hdr/header</t>
        </r>
        <r>
          <rPr>
            <sz val="9"/>
            <color indexed="81"/>
            <rFont val="Tahoma"/>
            <family val="2"/>
          </rPr>
          <t xml:space="preserve"> - Row is a header.  Bookmark will be turned on only if subsequent row 'with this group' is selected.</t>
        </r>
      </text>
    </comment>
    <comment ref="BT29" authorId="0" shapeId="0">
      <text>
        <r>
          <rPr>
            <b/>
            <sz val="9"/>
            <color indexed="81"/>
            <rFont val="Tahoma"/>
            <family val="2"/>
          </rPr>
          <t>BTR:</t>
        </r>
        <r>
          <rPr>
            <sz val="9"/>
            <color indexed="81"/>
            <rFont val="Tahoma"/>
            <family val="2"/>
          </rPr>
          <t xml:space="preserve">
Default selected/checked state of the checkbox.</t>
        </r>
      </text>
    </comment>
    <comment ref="BU29" authorId="0" shapeId="0">
      <text>
        <r>
          <rPr>
            <b/>
            <sz val="8"/>
            <color indexed="81"/>
            <rFont val="Tahoma"/>
            <family val="2"/>
          </rPr>
          <t>BTR:</t>
        </r>
        <r>
          <rPr>
            <sz val="8"/>
            <color indexed="81"/>
            <rFont val="Tahoma"/>
            <family val="2"/>
          </rPr>
          <t xml:space="preserve">
The text for either the header or checkbox (depending on code).</t>
        </r>
      </text>
    </comment>
    <comment ref="BY29" authorId="0" shapeId="0">
      <text>
        <r>
          <rPr>
            <b/>
            <sz val="8"/>
            <color indexed="81"/>
            <rFont val="Tahoma"/>
            <family val="2"/>
          </rPr>
          <t>Terry C. Aney:</t>
        </r>
        <r>
          <rPr>
            <sz val="8"/>
            <color indexed="81"/>
            <rFont val="Tahoma"/>
            <family val="2"/>
          </rPr>
          <t xml:space="preserve">
Start any column header with 'text' and it will lay that out in a table left aligned automatically.
Start any column with 'value' and it will lay that out in a table right aligned automatically.</t>
        </r>
      </text>
    </comment>
    <comment ref="CC29" authorId="0" shapeId="0">
      <text>
        <r>
          <rPr>
            <b/>
            <sz val="8"/>
            <color indexed="81"/>
            <rFont val="Tahoma"/>
            <family val="2"/>
          </rPr>
          <t>Terry C. Aney:</t>
        </r>
        <r>
          <rPr>
            <sz val="8"/>
            <color indexed="81"/>
            <rFont val="Tahoma"/>
            <family val="2"/>
          </rPr>
          <t xml:space="preserve">
Start any column header with 'text' and it will lay that out in a table left aligned automatically.
Start any column with 'value' and it will lay that out in a table right aligned automatically.</t>
        </r>
      </text>
    </comment>
    <comment ref="R30" authorId="0"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 ref="Y30" authorId="0"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 ref="AI30" authorId="0"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 ref="AQ30" authorId="0"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 ref="BX30" authorId="0"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 ref="CB30" authorId="0"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 ref="R31" authorId="0" shapeId="0">
      <text>
        <r>
          <rPr>
            <b/>
            <sz val="8"/>
            <color indexed="81"/>
            <rFont val="Tahoma"/>
            <family val="2"/>
          </rPr>
          <t>BTR:</t>
        </r>
        <r>
          <rPr>
            <sz val="8"/>
            <color indexed="81"/>
            <rFont val="Tahoma"/>
            <family val="2"/>
          </rPr>
          <t xml:space="preserve">
This row is optional, but if you want to control the look of a column with HTML 'class' styles, you can specify them here.  Using the class row will probably involve coordination with BTR.</t>
        </r>
      </text>
    </comment>
    <comment ref="A32" authorId="0" shapeId="0">
      <text>
        <r>
          <rPr>
            <b/>
            <sz val="9"/>
            <color indexed="81"/>
            <rFont val="Tahoma"/>
            <family val="2"/>
          </rPr>
          <t>BTR:</t>
        </r>
        <r>
          <rPr>
            <sz val="9"/>
            <color indexed="81"/>
            <rFont val="Tahoma"/>
            <family val="2"/>
          </rPr>
          <t xml:space="preserve">
When leveraging a workflow/progress status on a calculation, we display the most 'significant' date for a calculation on the summary listing for statuses.  The appropriate date from the RBLInput tab would be outputted here (i.e. for a Term calc, this would be DOT, for a Retire calc, this would be BCD, for a Death Calc, this would be date of death, etc.)</t>
        </r>
      </text>
    </comment>
    <comment ref="R32" authorId="0" shapeId="0">
      <text>
        <r>
          <rPr>
            <b/>
            <sz val="8"/>
            <color indexed="81"/>
            <rFont val="Tahoma"/>
            <family val="2"/>
          </rPr>
          <t>BTR:</t>
        </r>
        <r>
          <rPr>
            <sz val="8"/>
            <color indexed="81"/>
            <rFont val="Tahoma"/>
            <family val="2"/>
          </rPr>
          <t xml:space="preserve">
If you want to have fine grain control over the width of the columns you can use a 'width row' and control the width from within the SpreadEngine.</t>
        </r>
      </text>
    </comment>
    <comment ref="A33" authorId="0" shapeId="0">
      <text>
        <r>
          <rPr>
            <b/>
            <sz val="9"/>
            <color indexed="81"/>
            <rFont val="Tahoma"/>
            <family val="2"/>
          </rPr>
          <t>BTR:</t>
        </r>
        <r>
          <rPr>
            <sz val="9"/>
            <color indexed="81"/>
            <rFont val="Tahoma"/>
            <family val="2"/>
          </rPr>
          <t xml:space="preserve">
When leveraging a workflow/progress status on a calculation, we display the selected benefit type for a calculation on the summary listing for statuses.  This is a look value that maps to </t>
        </r>
        <r>
          <rPr>
            <i/>
            <sz val="9"/>
            <color indexed="81"/>
            <rFont val="Tahoma"/>
            <family val="2"/>
          </rPr>
          <t>RetProcBenType</t>
        </r>
        <r>
          <rPr>
            <sz val="9"/>
            <color indexed="81"/>
            <rFont val="Tahoma"/>
            <family val="2"/>
          </rPr>
          <t xml:space="preserve"> lookup table.</t>
        </r>
      </text>
    </comment>
    <comment ref="R33" authorId="1" shapeId="0">
      <text>
        <r>
          <rPr>
            <b/>
            <sz val="8"/>
            <color indexed="81"/>
            <rFont val="Tahoma"/>
            <family val="2"/>
          </rPr>
          <t>ACS:</t>
        </r>
        <r>
          <rPr>
            <sz val="8"/>
            <color indexed="81"/>
            <rFont val="Tahoma"/>
            <family val="2"/>
          </rPr>
          <t xml:space="preserve">
Set up to match the data pulled into the input tab during setup. You control what's shown. Best practice show everything on the screen and very little in the letter</t>
        </r>
      </text>
    </comment>
    <comment ref="A42" authorId="0" shapeId="0">
      <text>
        <r>
          <rPr>
            <b/>
            <sz val="8"/>
            <color indexed="81"/>
            <rFont val="Tahoma"/>
            <family val="2"/>
          </rPr>
          <t>BTR:</t>
        </r>
        <r>
          <rPr>
            <sz val="8"/>
            <color indexed="81"/>
            <rFont val="Tahoma"/>
            <family val="2"/>
          </rPr>
          <t xml:space="preserve">
This is displayed as the ‘date’ on top of letter, so probably want to format MMMM dd, yyyy
</t>
        </r>
      </text>
    </comment>
    <comment ref="A44" authorId="0" shapeId="0">
      <text>
        <r>
          <rPr>
            <b/>
            <sz val="8"/>
            <color indexed="81"/>
            <rFont val="Tahoma"/>
            <family val="2"/>
          </rPr>
          <t>BTR:</t>
        </r>
        <r>
          <rPr>
            <sz val="8"/>
            <color indexed="81"/>
            <rFont val="Tahoma"/>
            <family val="2"/>
          </rPr>
          <t xml:space="preserve">
date-commence formatted in long date format.</t>
        </r>
      </text>
    </comment>
    <comment ref="A46" authorId="0" shapeId="0">
      <text>
        <r>
          <rPr>
            <b/>
            <sz val="8"/>
            <color indexed="81"/>
            <rFont val="Tahoma"/>
            <family val="2"/>
          </rPr>
          <t>BTR:</t>
        </r>
        <r>
          <rPr>
            <sz val="8"/>
            <color indexed="81"/>
            <rFont val="Tahoma"/>
            <family val="2"/>
          </rPr>
          <t xml:space="preserve">
For employees in which the package will contain two dates of commencement due to  RASD, this is the alternative date of commencement.</t>
        </r>
      </text>
    </comment>
    <comment ref="A50" authorId="0" shapeId="0">
      <text>
        <r>
          <rPr>
            <b/>
            <sz val="9"/>
            <color indexed="81"/>
            <rFont val="Tahoma"/>
            <family val="2"/>
          </rPr>
          <t>BTR:</t>
        </r>
        <r>
          <rPr>
            <sz val="9"/>
            <color indexed="81"/>
            <rFont val="Tahoma"/>
            <family val="2"/>
          </rPr>
          <t xml:space="preserve">
Plan Contact override, if any of these values need to be dynamic in DocGen based on different calculations or whatever, these are some helper variables you might want to use.  Some clients have had concept of selecting 'who' signed the letters via an input for the calculation.</t>
        </r>
      </text>
    </comment>
    <comment ref="A64" authorId="1" shapeId="0">
      <text>
        <r>
          <rPr>
            <b/>
            <sz val="8"/>
            <color indexed="81"/>
            <rFont val="Tahoma"/>
            <family val="2"/>
          </rPr>
          <t>ACS:</t>
        </r>
        <r>
          <rPr>
            <sz val="8"/>
            <color indexed="81"/>
            <rFont val="Tahoma"/>
            <family val="2"/>
          </rPr>
          <t xml:space="preserve">
Lump Sum for determining deminimus and midlumpsum eligibility
</t>
        </r>
      </text>
    </comment>
    <comment ref="V90" authorId="1" shapeId="0">
      <text>
        <r>
          <rPr>
            <b/>
            <sz val="8"/>
            <color indexed="81"/>
            <rFont val="Tahoma"/>
            <family val="2"/>
          </rPr>
          <t>ACS:</t>
        </r>
        <r>
          <rPr>
            <sz val="8"/>
            <color indexed="81"/>
            <rFont val="Tahoma"/>
            <family val="2"/>
          </rPr>
          <t xml:space="preserve">
Rebuild this section to reflect the information you wan to show in the letter data table
</t>
        </r>
      </text>
    </comment>
  </commentList>
</comments>
</file>

<file path=xl/comments20.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List>
</comments>
</file>

<file path=xl/comments21.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List>
</comments>
</file>

<file path=xl/comments3.xml><?xml version="1.0" encoding="utf-8"?>
<comments xmlns="http://schemas.openxmlformats.org/spreadsheetml/2006/main">
  <authors>
    <author>Terry C. Aney</author>
  </authors>
  <commentList>
    <comment ref="B28" authorId="0" shapeId="0">
      <text>
        <r>
          <rPr>
            <b/>
            <sz val="8"/>
            <color indexed="81"/>
            <rFont val="Tahoma"/>
            <family val="2"/>
          </rPr>
          <t>BTR:</t>
        </r>
        <r>
          <rPr>
            <sz val="8"/>
            <color indexed="81"/>
            <rFont val="Tahoma"/>
            <family val="2"/>
          </rPr>
          <t xml:space="preserve">
You can change this variable if you add or remove the number of ages to project and you don't need to modify the macro's 'loop' iterator.</t>
        </r>
      </text>
    </comment>
  </commentList>
</comments>
</file>

<file path=xl/comments4.xml><?xml version="1.0" encoding="utf-8"?>
<comments xmlns="http://schemas.openxmlformats.org/spreadsheetml/2006/main">
  <authors>
    <author>Terry C. Aney</author>
  </authors>
  <commentList>
    <comment ref="B3" authorId="0" shapeId="0">
      <text>
        <r>
          <rPr>
            <b/>
            <sz val="8"/>
            <color indexed="81"/>
            <rFont val="Tahoma"/>
            <family val="2"/>
          </rPr>
          <t>BTR:</t>
        </r>
        <r>
          <rPr>
            <sz val="8"/>
            <color indexed="81"/>
            <rFont val="Tahoma"/>
            <family val="2"/>
          </rPr>
          <t xml:space="preserve">
Internal Sheet Version number.  Should never be changed by Mellon, used by RBL Add In to know what version the SE 'framework' is on.</t>
        </r>
      </text>
    </comment>
    <comment ref="A18" authorId="0" shapeId="0">
      <text>
        <r>
          <rPr>
            <b/>
            <sz val="8"/>
            <color indexed="81"/>
            <rFont val="Tahoma"/>
            <family val="2"/>
          </rPr>
          <t>Terry C. Aney:</t>
        </r>
        <r>
          <rPr>
            <sz val="8"/>
            <color indexed="81"/>
            <rFont val="Tahoma"/>
            <family val="2"/>
          </rPr>
          <t xml:space="preserve">
For Update sheettypes, you should never have any elements under the 'Data' section.  Everything should be a table.  If you want to update the profile table, copy the Profile sample table below.  You simply have two columns: item, value.  item corresponds to the data field name and value is what you want to update it to.
When updating 'tables' (Periodic data) back to the xDS database, you </t>
        </r>
        <r>
          <rPr>
            <b/>
            <sz val="8"/>
            <color indexed="81"/>
            <rFont val="Tahoma"/>
            <family val="2"/>
          </rPr>
          <t>must</t>
        </r>
        <r>
          <rPr>
            <sz val="8"/>
            <color indexed="81"/>
            <rFont val="Tahoma"/>
            <family val="2"/>
          </rPr>
          <t xml:space="preserve"> provide an id column so that RBL Framework has a reference point on how to update the data.</t>
        </r>
      </text>
    </comment>
    <comment ref="A19" authorId="0" shapeId="0">
      <text>
        <r>
          <rPr>
            <b/>
            <sz val="8"/>
            <color indexed="81"/>
            <rFont val="Tahoma"/>
            <family val="2"/>
          </rPr>
          <t>BTR:</t>
        </r>
        <r>
          <rPr>
            <sz val="8"/>
            <color indexed="81"/>
            <rFont val="Tahoma"/>
            <family val="2"/>
          </rPr>
          <t xml:space="preserve">
If this table exists, you can instruct MHA Framework to first delete all rows in a historical table before updating if 'on' column = 1.
Note: If you want to use this, move the table up one row, I moved it down purposely so that it is not processed by default.</t>
        </r>
      </text>
    </comment>
    <comment ref="F20" authorId="0" shapeId="0">
      <text>
        <r>
          <rPr>
            <b/>
            <sz val="8"/>
            <color indexed="81"/>
            <rFont val="Tahoma"/>
            <family val="2"/>
          </rPr>
          <t>BTR:</t>
        </r>
        <r>
          <rPr>
            <sz val="8"/>
            <color indexed="81"/>
            <rFont val="Tahoma"/>
            <family val="2"/>
          </rPr>
          <t xml:space="preserve">
Even with update tables, you can dynamically control what gets updated simply by adding a column called 'on' and using 0 (off) or 1 (on).</t>
        </r>
      </text>
    </comment>
    <comment ref="Q20" authorId="0" shapeId="0">
      <text>
        <r>
          <rPr>
            <b/>
            <sz val="8"/>
            <color indexed="81"/>
            <rFont val="Tahoma"/>
            <family val="2"/>
          </rPr>
          <t>BTR:</t>
        </r>
        <r>
          <rPr>
            <sz val="8"/>
            <color indexed="81"/>
            <rFont val="Tahoma"/>
            <family val="2"/>
          </rPr>
          <t xml:space="preserve">
Even with update tables, you can dynamically control what gets updated simply by adding a column called 'on' and using 0 (off) or 1 (on).</t>
        </r>
      </text>
    </comment>
    <comment ref="S20" authorId="0" shapeId="0">
      <text>
        <r>
          <rPr>
            <b/>
            <sz val="8"/>
            <color indexed="81"/>
            <rFont val="Tahoma"/>
            <family val="2"/>
          </rPr>
          <t>BTR:</t>
        </r>
        <r>
          <rPr>
            <sz val="8"/>
            <color indexed="81"/>
            <rFont val="Tahoma"/>
            <family val="2"/>
          </rPr>
          <t xml:space="preserve">
If you want to delete certain rows from a historical table, you can include a column called 'delete' and set its value to 1.
Note: If delete is 1, no updates will be performed to that row (meaning all other columns except the index are ignored).</t>
        </r>
      </text>
    </comment>
  </commentList>
</comments>
</file>

<file path=xl/comments5.xml><?xml version="1.0" encoding="utf-8"?>
<comments xmlns="http://schemas.openxmlformats.org/spreadsheetml/2006/main">
  <authors>
    <author>Terry C. Aney</author>
  </authors>
  <commentList>
    <comment ref="B3" authorId="0" shapeId="0">
      <text>
        <r>
          <rPr>
            <b/>
            <sz val="8"/>
            <color indexed="81"/>
            <rFont val="Tahoma"/>
            <family val="2"/>
          </rPr>
          <t>BTR:</t>
        </r>
        <r>
          <rPr>
            <sz val="8"/>
            <color indexed="81"/>
            <rFont val="Tahoma"/>
            <family val="2"/>
          </rPr>
          <t xml:space="preserve">
Internal Sheet Version number.  Should never be changed by Mellon, used by RBL Add In to know what version the SE 'framework' is on.</t>
        </r>
      </text>
    </comment>
    <comment ref="A17" authorId="0" shapeId="0">
      <text>
        <r>
          <rPr>
            <b/>
            <sz val="8"/>
            <color indexed="81"/>
            <rFont val="Tahoma"/>
            <family val="2"/>
          </rPr>
          <t>BTR:</t>
        </r>
        <r>
          <rPr>
            <sz val="8"/>
            <color indexed="81"/>
            <rFont val="Tahoma"/>
            <family val="2"/>
          </rPr>
          <t xml:space="preserve">
The following 4 tables are always required for Benefit Calculations</t>
        </r>
      </text>
    </comment>
    <comment ref="CI19" authorId="0" shapeId="0">
      <text>
        <r>
          <rPr>
            <b/>
            <sz val="8"/>
            <color indexed="81"/>
            <rFont val="Tahoma"/>
            <family val="2"/>
          </rPr>
          <t>BTR:</t>
        </r>
        <r>
          <rPr>
            <sz val="8"/>
            <color indexed="81"/>
            <rFont val="Tahoma"/>
            <family val="2"/>
          </rPr>
          <t xml:space="preserve">
Display name of the package on the 'Download' screen from a retirement calculation.</t>
        </r>
      </text>
    </comment>
    <comment ref="CJ19" authorId="0" shapeId="0">
      <text>
        <r>
          <rPr>
            <b/>
            <sz val="8"/>
            <color indexed="81"/>
            <rFont val="Tahoma"/>
            <family val="2"/>
          </rPr>
          <t>BTR:</t>
        </r>
        <r>
          <rPr>
            <sz val="8"/>
            <color indexed="81"/>
            <rFont val="Tahoma"/>
            <family val="2"/>
          </rPr>
          <t xml:space="preserve">
The actual name of the file to use.</t>
        </r>
      </text>
    </comment>
    <comment ref="CM19" authorId="0" shapeId="0">
      <text>
        <r>
          <rPr>
            <b/>
            <sz val="8"/>
            <color indexed="81"/>
            <rFont val="Tahoma"/>
            <family val="2"/>
          </rPr>
          <t>BTR:</t>
        </r>
        <r>
          <rPr>
            <sz val="8"/>
            <color indexed="81"/>
            <rFont val="Tahoma"/>
            <family val="2"/>
          </rPr>
          <t xml:space="preserve">
Put the name of one of the available download package files you would like to append this document into so that there is only one download.</t>
        </r>
      </text>
    </comment>
    <comment ref="A20" authorId="0" shapeId="0">
      <text>
        <r>
          <rPr>
            <b/>
            <sz val="8"/>
            <color indexed="81"/>
            <rFont val="Tahoma"/>
            <family val="2"/>
          </rPr>
          <t>BTR:</t>
        </r>
        <r>
          <rPr>
            <sz val="8"/>
            <color indexed="81"/>
            <rFont val="Tahoma"/>
            <family val="2"/>
          </rPr>
          <t xml:space="preserve">
Similar to the 'On Column', you can use an 'On Row', you use this row to programatically control which columns are displayed.  All columns with a 1 in the 'On Row' will be displayed, columns with a 0 will not be displayed.  Allows you to programatically control which columns of a table are displayed from within the SpreadEngine.</t>
        </r>
      </text>
    </comment>
  </commentList>
</comments>
</file>

<file path=xl/comments6.xml><?xml version="1.0" encoding="utf-8"?>
<comments xmlns="http://schemas.openxmlformats.org/spreadsheetml/2006/main">
  <authors>
    <author>Terry C. Aney</author>
  </authors>
  <commentList>
    <comment ref="B3" authorId="0" shapeId="0">
      <text>
        <r>
          <rPr>
            <b/>
            <sz val="8"/>
            <color indexed="81"/>
            <rFont val="Tahoma"/>
            <family val="2"/>
          </rPr>
          <t>BTR:</t>
        </r>
        <r>
          <rPr>
            <sz val="8"/>
            <color indexed="81"/>
            <rFont val="Tahoma"/>
            <family val="2"/>
          </rPr>
          <t xml:space="preserve">
Internal Sheet Version number.  Should never be changed by Mellon, used by RBL Add In to know what version the SE 'framework' is on.</t>
        </r>
      </text>
    </comment>
    <comment ref="B4" authorId="0" shapeId="0">
      <text>
        <r>
          <rPr>
            <b/>
            <sz val="9"/>
            <color indexed="81"/>
            <rFont val="Tahoma"/>
            <family val="2"/>
          </rPr>
          <t>BTR:</t>
        </r>
        <r>
          <rPr>
            <sz val="9"/>
            <color indexed="81"/>
            <rFont val="Tahoma"/>
            <family val="2"/>
          </rPr>
          <t xml:space="preserve">
Sample formula if you want to allow viewing Past Calculations =IF(iMHCalcType=3,"ResultXml","FolderItem")</t>
        </r>
      </text>
    </comment>
    <comment ref="A37" authorId="0" shapeId="0">
      <text>
        <r>
          <rPr>
            <b/>
            <sz val="8"/>
            <color indexed="81"/>
            <rFont val="Tahoma"/>
            <family val="2"/>
          </rPr>
          <t>Terry C. Aney:</t>
        </r>
        <r>
          <rPr>
            <sz val="8"/>
            <color indexed="81"/>
            <rFont val="Tahoma"/>
            <family val="2"/>
          </rPr>
          <t xml:space="preserve">
For Update sheettypes, you should never have any elements under the 'Data' section.  Everything should be a table.  If you want to update the profile table, copy the Profile sample table below.  You simply have two columns: item, value.  item corresponds to the data field name and value is what you want to update it to.
When updating 'tables' (Periodic data) back to the xDS database, you </t>
        </r>
        <r>
          <rPr>
            <b/>
            <sz val="8"/>
            <color indexed="81"/>
            <rFont val="Tahoma"/>
            <family val="2"/>
          </rPr>
          <t>must</t>
        </r>
        <r>
          <rPr>
            <sz val="8"/>
            <color indexed="81"/>
            <rFont val="Tahoma"/>
            <family val="2"/>
          </rPr>
          <t xml:space="preserve"> provide an id column so that RBL Framework has a reference point on how to update the data.</t>
        </r>
      </text>
    </comment>
    <comment ref="A38" authorId="0" shapeId="0">
      <text>
        <r>
          <rPr>
            <b/>
            <sz val="9"/>
            <color indexed="81"/>
            <rFont val="Tahoma"/>
            <family val="2"/>
          </rPr>
          <t>BTR:</t>
        </r>
        <r>
          <rPr>
            <sz val="9"/>
            <color indexed="81"/>
            <rFont val="Tahoma"/>
            <family val="2"/>
          </rPr>
          <t xml:space="preserve">
You need to define a mapping between the tables exported from this sheet (TableName) and the associated report (ReportKey - matches </t>
        </r>
        <r>
          <rPr>
            <i/>
            <sz val="9"/>
            <color indexed="81"/>
            <rFont val="Tahoma"/>
            <family val="2"/>
          </rPr>
          <t>Report ID</t>
        </r>
        <r>
          <rPr>
            <sz val="9"/>
            <color indexed="81"/>
            <rFont val="Tahoma"/>
            <family val="2"/>
          </rPr>
          <t xml:space="preserve"> on the Reports tab for the desired Ad Hoc report).
Usually, you'll only have one row here since a single tab normally is the source for a single Ad Hoc report.  However, a tab </t>
        </r>
        <r>
          <rPr>
            <i/>
            <sz val="9"/>
            <color indexed="81"/>
            <rFont val="Tahoma"/>
            <family val="2"/>
          </rPr>
          <t>can</t>
        </r>
        <r>
          <rPr>
            <sz val="9"/>
            <color indexed="81"/>
            <rFont val="Tahoma"/>
            <family val="2"/>
          </rPr>
          <t xml:space="preserve"> be the source for multiple reports (if it has multiple tables that are being exported).
Only export this table when iAdHocConfig = 1.</t>
        </r>
      </text>
    </comment>
  </commentList>
</comments>
</file>

<file path=xl/comments7.xml><?xml version="1.0" encoding="utf-8"?>
<comments xmlns="http://schemas.openxmlformats.org/spreadsheetml/2006/main">
  <authors>
    <author>Terry C. Aney</author>
  </authors>
  <commentList>
    <comment ref="A2" authorId="0" shapeId="0">
      <text>
        <r>
          <rPr>
            <b/>
            <sz val="8"/>
            <color indexed="81"/>
            <rFont val="Tahoma"/>
            <family val="2"/>
          </rPr>
          <t>BTR:</t>
        </r>
        <r>
          <rPr>
            <sz val="8"/>
            <color indexed="81"/>
            <rFont val="Tahoma"/>
            <family val="2"/>
          </rPr>
          <t xml:space="preserve">
The name of the sheet the data lives on.  In this example it happens to live on same sheet as the configuration, but it can be separate sheets.</t>
        </r>
      </text>
    </comment>
    <comment ref="B2" authorId="0" shapeId="0">
      <text>
        <r>
          <rPr>
            <b/>
            <sz val="8"/>
            <color indexed="81"/>
            <rFont val="Tahoma"/>
            <family val="2"/>
          </rPr>
          <t>BTR:</t>
        </r>
        <r>
          <rPr>
            <sz val="8"/>
            <color indexed="81"/>
            <rFont val="Tahoma"/>
            <family val="2"/>
          </rPr>
          <t xml:space="preserve">
The cell address of the first column header for the data to export.</t>
        </r>
      </text>
    </comment>
    <comment ref="C2" authorId="0" shapeId="0">
      <text>
        <r>
          <rPr>
            <b/>
            <sz val="8"/>
            <color indexed="81"/>
            <rFont val="Tahoma"/>
            <family val="2"/>
          </rPr>
          <t>BTR:</t>
        </r>
        <r>
          <rPr>
            <sz val="8"/>
            <color indexed="81"/>
            <rFont val="Tahoma"/>
            <family val="2"/>
          </rPr>
          <t xml:space="preserve">
TRUE/FALSE whether or not the data is </t>
        </r>
        <r>
          <rPr>
            <b/>
            <i/>
            <sz val="8"/>
            <color indexed="81"/>
            <rFont val="Tahoma"/>
            <family val="2"/>
          </rPr>
          <t>Row based</t>
        </r>
        <r>
          <rPr>
            <sz val="8"/>
            <color indexed="81"/>
            <rFont val="Tahoma"/>
            <family val="2"/>
          </rPr>
          <t xml:space="preserve">, meaning it is historical data load and there can be more than one row per SSN or </t>
        </r>
        <r>
          <rPr>
            <b/>
            <i/>
            <sz val="8"/>
            <color indexed="81"/>
            <rFont val="Tahoma"/>
            <family val="2"/>
          </rPr>
          <t>Column based</t>
        </r>
        <r>
          <rPr>
            <sz val="8"/>
            <color indexed="81"/>
            <rFont val="Tahoma"/>
            <family val="2"/>
          </rPr>
          <t>, meaning one row per SSN and any historical information is controlled by the column headers.</t>
        </r>
      </text>
    </comment>
  </commentList>
</comments>
</file>

<file path=xl/comments8.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List>
</comments>
</file>

<file path=xl/comments9.xml><?xml version="1.0" encoding="utf-8"?>
<comments xmlns="http://schemas.openxmlformats.org/spreadsheetml/2006/main">
  <authors>
    <author>Terry C. Aney</author>
  </authors>
  <commentList>
    <comment ref="B2" authorId="0" shapeId="0">
      <text>
        <r>
          <rPr>
            <b/>
            <sz val="8"/>
            <color indexed="81"/>
            <rFont val="Tahoma"/>
            <family val="2"/>
          </rPr>
          <t>BTR:</t>
        </r>
        <r>
          <rPr>
            <sz val="8"/>
            <color indexed="81"/>
            <rFont val="Tahoma"/>
            <family val="2"/>
          </rPr>
          <t xml:space="preserve">
Internal Sheet Version number.  Should never be changed by Buck, used by BTR to know what version the Spec 'framework' is on.  Only the version (B6) on Plan Info should be changed by Buck.</t>
        </r>
      </text>
    </comment>
    <comment ref="B17" authorId="0" shapeId="0">
      <text>
        <r>
          <rPr>
            <b/>
            <sz val="8"/>
            <color indexed="81"/>
            <rFont val="Tahoma"/>
            <family val="2"/>
          </rPr>
          <t>BTR:</t>
        </r>
        <r>
          <rPr>
            <sz val="8"/>
            <color indexed="81"/>
            <rFont val="Tahoma"/>
            <family val="2"/>
          </rPr>
          <t xml:space="preserve">
Whether or not to include this column in the site configuration.
</t>
        </r>
        <r>
          <rPr>
            <b/>
            <sz val="8"/>
            <color indexed="81"/>
            <rFont val="Tahoma"/>
            <family val="2"/>
          </rPr>
          <t>N/[Blank]</t>
        </r>
        <r>
          <rPr>
            <sz val="8"/>
            <color indexed="81"/>
            <rFont val="Tahoma"/>
            <family val="2"/>
          </rPr>
          <t xml:space="preserve"> -  Do not include this column.
</t>
        </r>
        <r>
          <rPr>
            <b/>
            <sz val="8"/>
            <color indexed="81"/>
            <rFont val="Tahoma"/>
            <family val="2"/>
          </rPr>
          <t>Y</t>
        </r>
        <r>
          <rPr>
            <sz val="8"/>
            <color indexed="81"/>
            <rFont val="Tahoma"/>
            <family val="2"/>
          </rPr>
          <t xml:space="preserve"> - Include this column.
</t>
        </r>
        <r>
          <rPr>
            <b/>
            <sz val="8"/>
            <color indexed="81"/>
            <rFont val="Tahoma"/>
            <family val="2"/>
          </rPr>
          <t>Note:</t>
        </r>
        <r>
          <rPr>
            <sz val="8"/>
            <color indexed="81"/>
            <rFont val="Tahoma"/>
            <family val="2"/>
          </rPr>
          <t xml:space="preserve"> If you don't think there will ever be a chance the field will be included into the Spec Sheet again, you can simply delete the row.</t>
        </r>
      </text>
    </comment>
    <comment ref="C17" authorId="0" shapeId="0">
      <text>
        <r>
          <rPr>
            <b/>
            <sz val="9"/>
            <color indexed="81"/>
            <rFont val="Tahoma"/>
            <family val="2"/>
          </rPr>
          <t>BTR:</t>
        </r>
        <r>
          <rPr>
            <sz val="9"/>
            <color indexed="81"/>
            <rFont val="Tahoma"/>
            <family val="2"/>
          </rPr>
          <t xml:space="preserve">
The Label for the data field.  If you need a different label for a different 'area' of the site, you can add a column to override the 'default' (i.e. Label.Administration)</t>
        </r>
      </text>
    </comment>
    <comment ref="D17" authorId="0" shapeId="0">
      <text>
        <r>
          <rPr>
            <b/>
            <sz val="8"/>
            <color indexed="81"/>
            <rFont val="Tahoma"/>
            <family val="2"/>
          </rPr>
          <t>BTR:</t>
        </r>
        <r>
          <rPr>
            <sz val="8"/>
            <color indexed="81"/>
            <rFont val="Tahoma"/>
            <family val="2"/>
          </rPr>
          <t xml:space="preserve">
Specify formats to use when displaying data in 'Read Only' mode.  You must use a format string that is compatible with C#.  
See RBL Utilities - Help - String Formatting Documentation for guidance.
</t>
        </r>
        <r>
          <rPr>
            <b/>
            <sz val="8"/>
            <color indexed="81"/>
            <rFont val="Tahoma"/>
            <family val="2"/>
          </rPr>
          <t>NOTE:</t>
        </r>
        <r>
          <rPr>
            <sz val="8"/>
            <color indexed="81"/>
            <rFont val="Tahoma"/>
            <family val="2"/>
          </rPr>
          <t xml:space="preserve"> You only specify a format for date or numeric fields.</t>
        </r>
      </text>
    </comment>
    <comment ref="E17" authorId="0" shapeId="0">
      <text>
        <r>
          <rPr>
            <b/>
            <sz val="8"/>
            <color indexed="81"/>
            <rFont val="Tahoma"/>
            <family val="2"/>
          </rPr>
          <t>BTR:</t>
        </r>
        <r>
          <rPr>
            <sz val="8"/>
            <color indexed="81"/>
            <rFont val="Tahoma"/>
            <family val="2"/>
          </rPr>
          <t xml:space="preserve">
Specify the data type of the field:
</t>
        </r>
        <r>
          <rPr>
            <b/>
            <sz val="8"/>
            <color indexed="81"/>
            <rFont val="Tahoma"/>
            <family val="2"/>
          </rPr>
          <t>Text</t>
        </r>
        <r>
          <rPr>
            <sz val="8"/>
            <color indexed="81"/>
            <rFont val="Tahoma"/>
            <family val="2"/>
          </rPr>
          <t xml:space="preserve">: just any old text.
</t>
        </r>
        <r>
          <rPr>
            <b/>
            <sz val="8"/>
            <color indexed="81"/>
            <rFont val="Tahoma"/>
            <family val="2"/>
          </rPr>
          <t>Date</t>
        </r>
        <r>
          <rPr>
            <sz val="8"/>
            <color indexed="81"/>
            <rFont val="Tahoma"/>
            <family val="2"/>
          </rPr>
          <t xml:space="preserve">: Date value (by default it will be an age/date input unless specified in the Validation Comments)
</t>
        </r>
        <r>
          <rPr>
            <b/>
            <sz val="8"/>
            <color indexed="81"/>
            <rFont val="Tahoma"/>
            <family val="2"/>
          </rPr>
          <t>Integer</t>
        </r>
        <r>
          <rPr>
            <sz val="8"/>
            <color indexed="81"/>
            <rFont val="Tahoma"/>
            <family val="2"/>
          </rPr>
          <t xml:space="preserve">: A number with </t>
        </r>
        <r>
          <rPr>
            <b/>
            <sz val="8"/>
            <color indexed="81"/>
            <rFont val="Tahoma"/>
            <family val="2"/>
          </rPr>
          <t>no</t>
        </r>
        <r>
          <rPr>
            <sz val="8"/>
            <color indexed="81"/>
            <rFont val="Tahoma"/>
            <family val="2"/>
          </rPr>
          <t xml:space="preserve"> decimals.
</t>
        </r>
        <r>
          <rPr>
            <b/>
            <sz val="8"/>
            <color indexed="81"/>
            <rFont val="Tahoma"/>
            <family val="2"/>
          </rPr>
          <t>Double</t>
        </r>
        <r>
          <rPr>
            <sz val="8"/>
            <color indexed="81"/>
            <rFont val="Tahoma"/>
            <family val="2"/>
          </rPr>
          <t xml:space="preserve">: A number that </t>
        </r>
        <r>
          <rPr>
            <b/>
            <sz val="8"/>
            <color indexed="81"/>
            <rFont val="Tahoma"/>
            <family val="2"/>
          </rPr>
          <t>allows</t>
        </r>
        <r>
          <rPr>
            <sz val="8"/>
            <color indexed="81"/>
            <rFont val="Tahoma"/>
            <family val="2"/>
          </rPr>
          <t xml:space="preserve"> decimals.
</t>
        </r>
        <r>
          <rPr>
            <b/>
            <sz val="8"/>
            <color indexed="81"/>
            <rFont val="Tahoma"/>
            <family val="2"/>
          </rPr>
          <t>List</t>
        </r>
        <r>
          <rPr>
            <sz val="8"/>
            <color indexed="81"/>
            <rFont val="Tahoma"/>
            <family val="2"/>
          </rPr>
          <t>: A defined list of values (specified in after colon - List:Sex)</t>
        </r>
      </text>
    </comment>
    <comment ref="H17" authorId="0" shapeId="0">
      <text>
        <r>
          <rPr>
            <b/>
            <sz val="9"/>
            <color indexed="81"/>
            <rFont val="Tahoma"/>
            <family val="2"/>
          </rPr>
          <t>BTR:</t>
        </r>
        <r>
          <rPr>
            <sz val="9"/>
            <color indexed="81"/>
            <rFont val="Tahoma"/>
            <family val="2"/>
          </rPr>
          <t xml:space="preserve">
If your range validation formula accesses other properties in the xDS, the range value will not be properly calculated </t>
        </r>
        <r>
          <rPr>
            <b/>
            <sz val="9"/>
            <color indexed="81"/>
            <rFont val="Tahoma"/>
            <family val="2"/>
          </rPr>
          <t>in the Validation Rules</t>
        </r>
        <r>
          <rPr>
            <sz val="9"/>
            <color indexed="81"/>
            <rFont val="Tahoma"/>
            <family val="2"/>
          </rPr>
          <t xml:space="preserve"> summary listing.  You can then provide a simple message to describe it.
For example if Min for Date Hire was
=AddYears({DateBirth},18)
You could provide a summary of "Age 18".</t>
        </r>
      </text>
    </comment>
    <comment ref="J17" authorId="0" shapeId="0">
      <text>
        <r>
          <rPr>
            <b/>
            <sz val="8"/>
            <color indexed="81"/>
            <rFont val="Tahoma"/>
            <family val="2"/>
          </rPr>
          <t>BTR:</t>
        </r>
        <r>
          <rPr>
            <sz val="8"/>
            <color indexed="81"/>
            <rFont val="Tahoma"/>
            <family val="2"/>
          </rPr>
          <t xml:space="preserve">
The error type if validation of Min, Max or Validation Expression fails.
</t>
        </r>
        <r>
          <rPr>
            <b/>
            <sz val="8"/>
            <color indexed="81"/>
            <rFont val="Tahoma"/>
            <family val="2"/>
          </rPr>
          <t>F or [Blank]</t>
        </r>
        <r>
          <rPr>
            <sz val="8"/>
            <color indexed="81"/>
            <rFont val="Tahoma"/>
            <family val="2"/>
          </rPr>
          <t xml:space="preserve"> - Fatal error, cannot continue processing.
</t>
        </r>
        <r>
          <rPr>
            <b/>
            <sz val="8"/>
            <color indexed="81"/>
            <rFont val="Tahoma"/>
            <family val="2"/>
          </rPr>
          <t>W</t>
        </r>
        <r>
          <rPr>
            <sz val="8"/>
            <color indexed="81"/>
            <rFont val="Tahoma"/>
            <family val="2"/>
          </rPr>
          <t xml:space="preserve"> - Warning error, error displayed, but processing still allowed.</t>
        </r>
      </text>
    </comment>
    <comment ref="K17" authorId="0" shapeId="0">
      <text>
        <r>
          <rPr>
            <b/>
            <sz val="8"/>
            <color indexed="81"/>
            <rFont val="Tahoma"/>
            <family val="2"/>
          </rPr>
          <t>BTR:</t>
        </r>
        <r>
          <rPr>
            <sz val="8"/>
            <color indexed="81"/>
            <rFont val="Tahoma"/>
            <family val="2"/>
          </rPr>
          <t xml:space="preserve">
The error type if a field is not provided in the data update.
</t>
        </r>
        <r>
          <rPr>
            <b/>
            <sz val="8"/>
            <color indexed="81"/>
            <rFont val="Tahoma"/>
            <family val="2"/>
          </rPr>
          <t>F</t>
        </r>
        <r>
          <rPr>
            <sz val="8"/>
            <color indexed="81"/>
            <rFont val="Tahoma"/>
            <family val="2"/>
          </rPr>
          <t xml:space="preserve"> - Fatal error, cannot continue processing.
</t>
        </r>
        <r>
          <rPr>
            <b/>
            <sz val="8"/>
            <color indexed="81"/>
            <rFont val="Tahoma"/>
            <family val="2"/>
          </rPr>
          <t>W</t>
        </r>
        <r>
          <rPr>
            <sz val="8"/>
            <color indexed="81"/>
            <rFont val="Tahoma"/>
            <family val="2"/>
          </rPr>
          <t xml:space="preserve"> - Warning error, error displayed, but processing still allowed.
</t>
        </r>
        <r>
          <rPr>
            <b/>
            <sz val="8"/>
            <color indexed="81"/>
            <rFont val="Tahoma"/>
            <family val="2"/>
          </rPr>
          <t>[Blank]</t>
        </r>
        <r>
          <rPr>
            <sz val="8"/>
            <color indexed="81"/>
            <rFont val="Tahoma"/>
            <family val="2"/>
          </rPr>
          <t xml:space="preserve"> - Field is not required.</t>
        </r>
      </text>
    </comment>
    <comment ref="L17" authorId="0" shapeId="0">
      <text>
        <r>
          <rPr>
            <b/>
            <sz val="8"/>
            <color indexed="81"/>
            <rFont val="Tahoma"/>
            <family val="2"/>
          </rPr>
          <t>BTR:</t>
        </r>
        <r>
          <rPr>
            <sz val="8"/>
            <color indexed="81"/>
            <rFont val="Tahoma"/>
            <family val="2"/>
          </rPr>
          <t xml:space="preserve">
If the input needs to follow a certain pattern (i.e. 9 digits, no spaces or dashes for SSN), this column represents a </t>
        </r>
        <r>
          <rPr>
            <i/>
            <sz val="8"/>
            <color indexed="81"/>
            <rFont val="Tahoma"/>
            <family val="2"/>
          </rPr>
          <t>Regular Expression</t>
        </r>
        <r>
          <rPr>
            <sz val="8"/>
            <color indexed="81"/>
            <rFont val="Tahoma"/>
            <family val="2"/>
          </rPr>
          <t xml:space="preserve"> used to validate the input.  BTR can help generating these.</t>
        </r>
      </text>
    </comment>
    <comment ref="O17" authorId="0" shapeId="0">
      <text>
        <r>
          <rPr>
            <b/>
            <sz val="9"/>
            <color indexed="81"/>
            <rFont val="Tahoma"/>
            <family val="2"/>
          </rPr>
          <t>BTR:</t>
        </r>
        <r>
          <rPr>
            <sz val="9"/>
            <color indexed="81"/>
            <rFont val="Tahoma"/>
            <family val="2"/>
          </rPr>
          <t xml:space="preserve">
Write an expression that represents when you should receive a warning during File Loads and Calculated Data Loads using the functions below (along with GetProfile*() functions):
string:       NewValue()
number:    NewValueNumber()
date:         NewValueDate()
i.e. Warn if Pay increased by $10000…
=Abs(NewValueNumber()-GetProfileNumber("pay", "Pay",,"Last") &gt; 10000
</t>
        </r>
        <r>
          <rPr>
            <b/>
            <sz val="9"/>
            <color indexed="81"/>
            <rFont val="Tahoma"/>
            <family val="2"/>
          </rPr>
          <t>Note</t>
        </r>
        <r>
          <rPr>
            <sz val="9"/>
            <color indexed="81"/>
            <rFont val="Tahoma"/>
            <family val="2"/>
          </rPr>
          <t>: Your formula will not evaluate to proper true/false value the new/old values don't exist at this point.  Simply get a valid formula in the cell during Spec Sheet setup.</t>
        </r>
      </text>
    </comment>
    <comment ref="Q17" authorId="0" shapeId="0">
      <text>
        <r>
          <rPr>
            <b/>
            <sz val="9"/>
            <color indexed="81"/>
            <rFont val="Tahoma"/>
            <family val="2"/>
          </rPr>
          <t>BTR:</t>
        </r>
        <r>
          <rPr>
            <sz val="9"/>
            <color indexed="81"/>
            <rFont val="Tahoma"/>
            <family val="2"/>
          </rPr>
          <t xml:space="preserve">
Write an expression that represents when you should receive a fatal error during File Loads and Calculated Data Loads using the functions below (along with GetProfile*() functions):
string:       NewValue()
number:    NewValueNumber()
date:         NewValueDate()
i.e. Fail if Pay increased by $10000…
=Abs(NewValueNumber()-GetProfileNumber("pay", "Pay",,"Last") &gt; 10000
</t>
        </r>
        <r>
          <rPr>
            <b/>
            <sz val="9"/>
            <color indexed="81"/>
            <rFont val="Tahoma"/>
            <family val="2"/>
          </rPr>
          <t>Note</t>
        </r>
        <r>
          <rPr>
            <sz val="9"/>
            <color indexed="81"/>
            <rFont val="Tahoma"/>
            <family val="2"/>
          </rPr>
          <t>: Your formula will not evaluate to proper true/false value the new/old values don't exist at this point.  Simply get a valid formula in the cell during Spec Sheet setup.</t>
        </r>
      </text>
    </comment>
    <comment ref="S17" authorId="0" shapeId="0">
      <text>
        <r>
          <rPr>
            <b/>
            <sz val="9"/>
            <color indexed="81"/>
            <rFont val="Tahoma"/>
            <family val="2"/>
          </rPr>
          <t>BTR:</t>
        </r>
        <r>
          <rPr>
            <sz val="9"/>
            <color indexed="81"/>
            <rFont val="Tahoma"/>
            <family val="2"/>
          </rPr>
          <t xml:space="preserve">
If you have a grouping of fields that have the same labels as the primary participant fields (i.e. Spouse Information section), you can provide a prefix here that will be appended to the error messages so that you know where the error came from on common field names.</t>
        </r>
      </text>
    </comment>
    <comment ref="T17" authorId="0" shapeId="0">
      <text>
        <r>
          <rPr>
            <b/>
            <sz val="8"/>
            <color indexed="81"/>
            <rFont val="Tahoma"/>
            <family val="2"/>
          </rPr>
          <t>BTR:</t>
        </r>
        <r>
          <rPr>
            <sz val="8"/>
            <color indexed="81"/>
            <rFont val="Tahoma"/>
            <family val="2"/>
          </rPr>
          <t xml:space="preserve">
If you do not want the field to appear on 'View Data' screens, you can provide a </t>
        </r>
        <r>
          <rPr>
            <b/>
            <i/>
            <sz val="8"/>
            <color indexed="81"/>
            <rFont val="Tahoma"/>
            <family val="2"/>
          </rPr>
          <t>Y</t>
        </r>
        <r>
          <rPr>
            <sz val="8"/>
            <color indexed="81"/>
            <rFont val="Tahoma"/>
            <family val="2"/>
          </rPr>
          <t xml:space="preserve"> in this column.</t>
        </r>
      </text>
    </comment>
    <comment ref="U17" authorId="0" shapeId="0">
      <text>
        <r>
          <rPr>
            <b/>
            <sz val="8"/>
            <color indexed="81"/>
            <rFont val="Tahoma"/>
            <family val="2"/>
          </rPr>
          <t>BTR:</t>
        </r>
        <r>
          <rPr>
            <sz val="8"/>
            <color indexed="81"/>
            <rFont val="Tahoma"/>
            <family val="2"/>
          </rPr>
          <t xml:space="preserve">
If you do not want the field to appear on 'Edit Data' screens, you can provide a </t>
        </r>
        <r>
          <rPr>
            <b/>
            <i/>
            <sz val="8"/>
            <color indexed="81"/>
            <rFont val="Tahoma"/>
            <family val="2"/>
          </rPr>
          <t>Y</t>
        </r>
        <r>
          <rPr>
            <sz val="8"/>
            <color indexed="81"/>
            <rFont val="Tahoma"/>
            <family val="2"/>
          </rPr>
          <t xml:space="preserve"> in this column.</t>
        </r>
      </text>
    </comment>
    <comment ref="V17" authorId="0" shapeId="0">
      <text>
        <r>
          <rPr>
            <b/>
            <sz val="9"/>
            <color indexed="81"/>
            <rFont val="Tahoma"/>
            <family val="2"/>
          </rPr>
          <t>BTR:</t>
        </r>
        <r>
          <rPr>
            <sz val="9"/>
            <color indexed="81"/>
            <rFont val="Tahoma"/>
            <family val="2"/>
          </rPr>
          <t xml:space="preserve">
If this field is for internal use only and shouldn't be visible to users on site, place a </t>
        </r>
        <r>
          <rPr>
            <i/>
            <sz val="9"/>
            <color indexed="81"/>
            <rFont val="Tahoma"/>
            <family val="2"/>
          </rPr>
          <t>Y</t>
        </r>
        <r>
          <rPr>
            <sz val="9"/>
            <color indexed="81"/>
            <rFont val="Tahoma"/>
            <family val="2"/>
          </rPr>
          <t xml:space="preserve"> in this column.
Hidden columns are populated via Data Load and are traditionally only used for RBL Calculations and/or filtering.</t>
        </r>
      </text>
    </comment>
    <comment ref="W17" authorId="0" shapeId="0">
      <text>
        <r>
          <rPr>
            <b/>
            <sz val="8"/>
            <color indexed="81"/>
            <rFont val="Tahoma"/>
            <family val="2"/>
          </rPr>
          <t>BTR:</t>
        </r>
        <r>
          <rPr>
            <sz val="8"/>
            <color indexed="81"/>
            <rFont val="Tahoma"/>
            <family val="2"/>
          </rPr>
          <t xml:space="preserve">
If this spec sheet is for a client that has both MH and MHA sites, use this column to indicate whether or not the field should be displayed on Personal Information screen.
</t>
        </r>
        <r>
          <rPr>
            <b/>
            <sz val="8"/>
            <color indexed="81"/>
            <rFont val="Tahoma"/>
            <family val="2"/>
          </rPr>
          <t>N or [Blank]</t>
        </r>
        <r>
          <rPr>
            <sz val="8"/>
            <color indexed="81"/>
            <rFont val="Tahoma"/>
            <family val="2"/>
          </rPr>
          <t xml:space="preserve"> -  Do not display this column.
</t>
        </r>
        <r>
          <rPr>
            <b/>
            <sz val="8"/>
            <color indexed="81"/>
            <rFont val="Tahoma"/>
            <family val="2"/>
          </rPr>
          <t>Y</t>
        </r>
        <r>
          <rPr>
            <sz val="8"/>
            <color indexed="81"/>
            <rFont val="Tahoma"/>
            <family val="2"/>
          </rPr>
          <t xml:space="preserve"> - Display this column.</t>
        </r>
      </text>
    </comment>
    <comment ref="X17" authorId="0" shapeId="0">
      <text>
        <r>
          <rPr>
            <b/>
            <sz val="8"/>
            <color indexed="81"/>
            <rFont val="Tahoma"/>
            <family val="2"/>
          </rPr>
          <t>BTR:</t>
        </r>
        <r>
          <rPr>
            <sz val="8"/>
            <color indexed="81"/>
            <rFont val="Tahoma"/>
            <family val="2"/>
          </rPr>
          <t xml:space="preserve">
Write an expression that represents when you should skip auditing during File Loads and Calculated Data Loads using the functions below (along with GetProfile*() functions):
string:       NewValue()
number:    NewValueNumber()
date:         NewValueDate()
i.e. Do not audit Pay if only increased by $100…
=Abs(NewValueNumber()-GetProfileNumber("pay", "Pay",,"Last") &lt;= 100
To always skip auditing, simply put =true.
</t>
        </r>
        <r>
          <rPr>
            <b/>
            <sz val="8"/>
            <color indexed="81"/>
            <rFont val="Tahoma"/>
            <family val="2"/>
          </rPr>
          <t>Note:</t>
        </r>
        <r>
          <rPr>
            <sz val="8"/>
            <color indexed="81"/>
            <rFont val="Tahoma"/>
            <family val="2"/>
          </rPr>
          <t xml:space="preserve"> Your formula will not evaluate to proper true/false value the new/old values don't exist at this point.  Simply get a valid formula in the cell during Spec Sheet setup.</t>
        </r>
      </text>
    </comment>
    <comment ref="Y17" authorId="0" shapeId="0">
      <text>
        <r>
          <rPr>
            <b/>
            <sz val="9"/>
            <color indexed="81"/>
            <rFont val="Tahoma"/>
            <family val="2"/>
          </rPr>
          <t>BTR:</t>
        </r>
        <r>
          <rPr>
            <sz val="9"/>
            <color indexed="81"/>
            <rFont val="Tahoma"/>
            <family val="2"/>
          </rPr>
          <t xml:space="preserve">
If this formula is provided, the  field will not be displayed in the edit mode for the profile.
You can use GetProfileXXX functions or simply reference a field on this sheet by pointing formula to the field name (column a).  If you are returning a value on the same 'model' (i.e. flat field from another flat calculated field, or history field from another history field in that same history row) reference field by Excel address.</t>
        </r>
      </text>
    </comment>
    <comment ref="Z17" authorId="0" shapeId="0">
      <text>
        <r>
          <rPr>
            <b/>
            <sz val="9"/>
            <color indexed="81"/>
            <rFont val="Tahoma"/>
            <family val="2"/>
          </rPr>
          <t>BTR:</t>
        </r>
        <r>
          <rPr>
            <sz val="9"/>
            <color indexed="81"/>
            <rFont val="Tahoma"/>
            <family val="2"/>
          </rPr>
          <t xml:space="preserve">
If the field is defined as an integer, but you would traditionally search for the value with zero padding (i.e. SSN, SIN, etc.), then you can provide the total length of the field including leading zeros and actual value to aid in AdHoc searching.</t>
        </r>
      </text>
    </comment>
    <comment ref="AA17" authorId="0" shapeId="0">
      <text>
        <r>
          <rPr>
            <b/>
            <sz val="9"/>
            <color indexed="81"/>
            <rFont val="Tahoma"/>
            <family val="2"/>
          </rPr>
          <t>BTR:</t>
        </r>
        <r>
          <rPr>
            <sz val="9"/>
            <color indexed="81"/>
            <rFont val="Tahoma"/>
            <family val="2"/>
          </rPr>
          <t xml:space="preserve">
If at creation time of the current model, you want a default value inserted into the model, you can provide an expression here.</t>
        </r>
      </text>
    </comment>
  </commentList>
</comments>
</file>

<file path=xl/sharedStrings.xml><?xml version="1.0" encoding="utf-8"?>
<sst xmlns="http://schemas.openxmlformats.org/spreadsheetml/2006/main" count="6516" uniqueCount="3431">
  <si>
    <t>CalcInputs.iDateTerm2.Label</t>
  </si>
  <si>
    <t>test</t>
  </si>
  <si>
    <t>Test Calculations</t>
  </si>
  <si>
    <t>MHAUpdateTypes:Test Calculations</t>
  </si>
  <si>
    <t>RBLTestCalcs</t>
  </si>
  <si>
    <t>iDeleteTable</t>
  </si>
  <si>
    <t>CalcInputs.iDeleteTable.Label</t>
  </si>
  <si>
    <t>Delete entire xDS table before processing?</t>
  </si>
  <si>
    <t>iCalculationType</t>
  </si>
  <si>
    <t>CalcInputs.iCalculationType.Label</t>
  </si>
  <si>
    <t>Calculation Type</t>
  </si>
  <si>
    <t>iAgeTermBatch</t>
  </si>
  <si>
    <t>CalcInputs.iAgeTermBatch.Label</t>
  </si>
  <si>
    <t>Age of Termination</t>
  </si>
  <si>
    <t>Documentation</t>
  </si>
  <si>
    <t>You are currently not able to log into the system because you have not been granted rights to this application.  Please talk to your Human Resources representative to review the cause of this action.</t>
  </si>
  <si>
    <t>1% Increasing Annuity</t>
  </si>
  <si>
    <t>Union: Perrrysburg (closed)</t>
  </si>
  <si>
    <t>DE</t>
  </si>
  <si>
    <t>Deceased</t>
  </si>
  <si>
    <t>20cer</t>
  </si>
  <si>
    <t>20 Year Certain</t>
  </si>
  <si>
    <t>Union: North Portland</t>
  </si>
  <si>
    <t>The supplied Registration ID is invalid.</t>
  </si>
  <si>
    <r>
      <t xml:space="preserve">If the export should be capable of being loaded via a data load process, and you are exporting via </t>
    </r>
    <r>
      <rPr>
        <i/>
        <sz val="10"/>
        <rFont val="Arial"/>
        <family val="2"/>
      </rPr>
      <t>First, Last,</t>
    </r>
    <r>
      <rPr>
        <sz val="10"/>
        <rFont val="Arial"/>
        <family val="2"/>
      </rPr>
      <t xml:space="preserve"> or </t>
    </r>
    <r>
      <rPr>
        <i/>
        <sz val="10"/>
        <rFont val="Arial"/>
        <family val="2"/>
      </rPr>
      <t>All</t>
    </r>
    <r>
      <rPr>
        <sz val="10"/>
        <rFont val="Arial"/>
        <family val="2"/>
      </rPr>
      <t xml:space="preserve"> you should place a Y</t>
    </r>
  </si>
  <si>
    <r>
      <t xml:space="preserve">When using the </t>
    </r>
    <r>
      <rPr>
        <i/>
        <sz val="10"/>
        <rFont val="Arial"/>
        <family val="2"/>
      </rPr>
      <t>Y</t>
    </r>
    <r>
      <rPr>
        <sz val="10"/>
        <rFont val="Arial"/>
        <family val="2"/>
      </rPr>
      <t xml:space="preserve"> on </t>
    </r>
    <r>
      <rPr>
        <i/>
        <sz val="10"/>
        <rFont val="Arial"/>
        <family val="2"/>
      </rPr>
      <t>Row Based History Dump</t>
    </r>
    <r>
      <rPr>
        <sz val="10"/>
        <rFont val="Arial"/>
        <family val="2"/>
      </rPr>
      <t xml:space="preserve"> columns, </t>
    </r>
    <r>
      <rPr>
        <i/>
        <sz val="10"/>
        <rFont val="Arial"/>
        <family val="2"/>
      </rPr>
      <t>Y/Last</t>
    </r>
    <r>
      <rPr>
        <sz val="10"/>
        <rFont val="Arial"/>
        <family val="2"/>
      </rPr>
      <t xml:space="preserve"> or </t>
    </r>
    <r>
      <rPr>
        <i/>
        <sz val="10"/>
        <rFont val="Arial"/>
        <family val="2"/>
      </rPr>
      <t>Y/First</t>
    </r>
    <r>
      <rPr>
        <sz val="10"/>
        <rFont val="Arial"/>
        <family val="2"/>
      </rPr>
      <t xml:space="preserve"> switches, you can also specifiy the header by using the </t>
    </r>
  </si>
  <si>
    <r>
      <t xml:space="preserve">/Header:{Your Header} switch.  For example, Status:status with </t>
    </r>
    <r>
      <rPr>
        <i/>
        <sz val="10"/>
        <rFont val="Arial"/>
        <family val="2"/>
      </rPr>
      <t>Y/Last</t>
    </r>
    <r>
      <rPr>
        <sz val="10"/>
        <rFont val="Arial"/>
        <family val="2"/>
      </rPr>
      <t xml:space="preserve"> you might change it to </t>
    </r>
    <r>
      <rPr>
        <i/>
        <sz val="10"/>
        <rFont val="Arial"/>
        <family val="2"/>
      </rPr>
      <t>Y/Last/Header:Current Status.</t>
    </r>
  </si>
  <si>
    <r>
      <t xml:space="preserve">You only need to provide the columns that you need to change default behavior on.  Please see the </t>
    </r>
    <r>
      <rPr>
        <i/>
        <sz val="10"/>
        <rFont val="Arial"/>
        <family val="2"/>
      </rPr>
      <t>Template Table</t>
    </r>
    <r>
      <rPr>
        <sz val="10"/>
        <rFont val="Arial"/>
        <family val="2"/>
      </rPr>
      <t xml:space="preserve"> below for</t>
    </r>
  </si>
  <si>
    <t>Arizona Igloo</t>
  </si>
  <si>
    <t>eActuary</t>
  </si>
  <si>
    <t>PageTitle</t>
  </si>
  <si>
    <t>Lookup.MHCalculationTypes.Estimate.PageTitle</t>
  </si>
  <si>
    <t>Lookup.MHCalculationTypes.Retirement.PageTitle</t>
  </si>
  <si>
    <t>Lookup.MHCalculationTypes.Planner.PageTitle</t>
  </si>
  <si>
    <t>Lookup.MHCalculationTypes.Ppa.PageTitle</t>
  </si>
  <si>
    <t>Result Builder Variables</t>
  </si>
  <si>
    <t>Please review the following errors that occurred during your calculation.  Correct all errors and re-run your calculation.</t>
  </si>
  <si>
    <t>&lt;&lt;b&gt;&gt;Item 1&lt;&lt;/b&gt;&gt;: You have an error with this.</t>
  </si>
  <si>
    <t>warning</t>
  </si>
  <si>
    <t>error</t>
  </si>
  <si>
    <t>15 Year Certain &amp; Life</t>
  </si>
  <si>
    <t>item13</t>
  </si>
  <si>
    <t>Benefit payable as a 5 Year certain &amp; life</t>
  </si>
  <si>
    <t>Plan Names</t>
  </si>
  <si>
    <t>item14</t>
  </si>
  <si>
    <t>plan</t>
  </si>
  <si>
    <t>item15</t>
  </si>
  <si>
    <t>item16</t>
  </si>
  <si>
    <t>Plan Contact Overrides</t>
  </si>
  <si>
    <t>item17</t>
  </si>
  <si>
    <t>plan-contact</t>
  </si>
  <si>
    <t>Important Notes</t>
  </si>
  <si>
    <t>list</t>
  </si>
  <si>
    <t>pay-inc</t>
  </si>
  <si>
    <t>ben5</t>
  </si>
  <si>
    <t>Projected Monthly Pay</t>
  </si>
  <si>
    <t>d4</t>
  </si>
  <si>
    <t>Savings- Future Colleague Contributions</t>
  </si>
  <si>
    <t>Your Assumptions</t>
  </si>
  <si>
    <t>401k-ret</t>
  </si>
  <si>
    <t>d5</t>
  </si>
  <si>
    <t>Savings - Total Future Balance</t>
  </si>
  <si>
    <t>401k-def</t>
  </si>
  <si>
    <t>d6</t>
  </si>
  <si>
    <t>401k-bal</t>
  </si>
  <si>
    <t>d7</t>
  </si>
  <si>
    <t>Projected Pay</t>
  </si>
  <si>
    <t>d8</t>
  </si>
  <si>
    <t>Calculated Expression</t>
  </si>
  <si>
    <t>Data Lookup Tables</t>
  </si>
  <si>
    <t>Table Start Address</t>
  </si>
  <si>
    <t>A29</t>
  </si>
  <si>
    <t>In addition to tables specified here, there are global lookup tables available for use and to review them, please</t>
  </si>
  <si>
    <t>You are attempting to impersonate a user, but you are currently not able to log into the system because you are marked as ineligible.  Please talk to technical support to review the cause of this action.</t>
  </si>
  <si>
    <t>Invalid secret answer.</t>
  </si>
  <si>
    <t>The supplied Registration ID and/or Registration Password is invalid.</t>
  </si>
  <si>
    <t>The supplied e-mail address and/or password is invalid.</t>
  </si>
  <si>
    <t>AdHoc Zero Pad Length</t>
  </si>
  <si>
    <t>10 Year Certain</t>
  </si>
  <si>
    <t>Union:Menasha and Wausau/USW</t>
  </si>
  <si>
    <t>BN</t>
  </si>
  <si>
    <t>Beneficiary in Deferred Status</t>
  </si>
  <si>
    <t>10cl</t>
  </si>
  <si>
    <t>10 Year CL</t>
  </si>
  <si>
    <t>Union: Charlotte</t>
  </si>
  <si>
    <t>BP</t>
  </si>
  <si>
    <t>Beneficiary in Pay Status</t>
  </si>
  <si>
    <t>15cer</t>
  </si>
  <si>
    <t>15 Year Certain</t>
  </si>
  <si>
    <t>Export Headers</t>
  </si>
  <si>
    <t>Row Based History Dump</t>
  </si>
  <si>
    <t>Status Count</t>
  </si>
  <si>
    <t>Displays summary counts of each status for all employees.</t>
  </si>
  <si>
    <t>Status/Location Grid</t>
  </si>
  <si>
    <t>data:</t>
  </si>
  <si>
    <t>ResultXml</t>
  </si>
  <si>
    <t>Blank rows so it doesn't process anything until it gets to 'Tables', all sections before Planning Information are simply 'helper' sections</t>
  </si>
  <si>
    <t>Work Variables</t>
  </si>
  <si>
    <t>company-name</t>
  </si>
  <si>
    <t>Lookup.PlanInfo.EmployerIdentificationNumber</t>
  </si>
  <si>
    <t>Lookup.PlanInfo.PlanNumber</t>
  </si>
  <si>
    <t>Lookup.PlanInfo.EffectiveDate</t>
  </si>
  <si>
    <t>Lookup.PlanInfo.PlanContact</t>
  </si>
  <si>
    <t>Lookup.PlanInfo.PlanContactEmail</t>
  </si>
  <si>
    <t>Lookup.PlanInfo.PlanContactTitle</t>
  </si>
  <si>
    <t>Lookup.PlanInfo.PlanContactPhone</t>
  </si>
  <si>
    <t>Lookup.PlanInfo.TechContact</t>
  </si>
  <si>
    <t>Lookup.PlanInfo.TechContactEmail</t>
  </si>
  <si>
    <t>iNameFirstBen</t>
  </si>
  <si>
    <t>Beneficiary's First Name</t>
  </si>
  <si>
    <t>Enter/Verify the first name of the beneficiary.</t>
  </si>
  <si>
    <t>iNameLastBen</t>
  </si>
  <si>
    <t>Beneficiary's Last Name</t>
  </si>
  <si>
    <t>Enter/Verify the last name of the beneficiary.</t>
  </si>
  <si>
    <t>iDateBirthBen</t>
  </si>
  <si>
    <t>Beneficiary's Date of Birth</t>
  </si>
  <si>
    <t>Enter beneficiary date of birth in the format of mm/dd/yyyy, if you do not have a designated beneficiary leave this field blank.</t>
  </si>
  <si>
    <t>iAddress1</t>
  </si>
  <si>
    <t>Address</t>
  </si>
  <si>
    <t>Enter/Verify the street address.</t>
  </si>
  <si>
    <t>iAddress2</t>
  </si>
  <si>
    <t>Enter/Verify the second line of the street address.</t>
  </si>
  <si>
    <t>iCity</t>
  </si>
  <si>
    <t>Enter/Verify the city.</t>
  </si>
  <si>
    <t>iState</t>
  </si>
  <si>
    <t>Enter/Verify the state.</t>
  </si>
  <si>
    <t>iZip</t>
  </si>
  <si>
    <t>Enter/Verify the zip code.</t>
  </si>
  <si>
    <t>Listing Export Column Naming</t>
  </si>
  <si>
    <t>Summary Plan Description</t>
  </si>
  <si>
    <r>
      <t>DateTime AddMonths( DateTime startDate, int months ):</t>
    </r>
    <r>
      <rPr>
        <sz val="10"/>
        <rFont val="Arial"/>
        <family val="2"/>
      </rPr>
      <t xml:space="preserve"> Returns a date represented by adding </t>
    </r>
    <r>
      <rPr>
        <i/>
        <sz val="10"/>
        <rFont val="Arial"/>
        <family val="2"/>
      </rPr>
      <t>months</t>
    </r>
    <r>
      <rPr>
        <sz val="10"/>
        <rFont val="Arial"/>
        <family val="2"/>
      </rPr>
      <t xml:space="preserve"> to </t>
    </r>
    <r>
      <rPr>
        <i/>
        <sz val="10"/>
        <rFont val="Arial"/>
        <family val="2"/>
      </rPr>
      <t>startDate</t>
    </r>
    <r>
      <rPr>
        <sz val="10"/>
        <rFont val="Arial"/>
        <family val="2"/>
      </rPr>
      <t>.</t>
    </r>
  </si>
  <si>
    <r>
      <t>string GetProfileString( string fieldName, string tableName = null, string tableIndex = null, string tablePosition = null ):</t>
    </r>
    <r>
      <rPr>
        <sz val="10"/>
        <rFont val="Arial"/>
        <family val="2"/>
      </rPr>
      <t xml:space="preserve"> Returns a string value from the current xDS profile.  If only</t>
    </r>
  </si>
  <si>
    <r>
      <t>fieldName</t>
    </r>
    <r>
      <rPr>
        <sz val="10"/>
        <rFont val="Arial"/>
        <family val="2"/>
      </rPr>
      <t xml:space="preserve"> is supplied, it is working off </t>
    </r>
    <r>
      <rPr>
        <i/>
        <sz val="10"/>
        <rFont val="Arial"/>
        <family val="2"/>
      </rPr>
      <t xml:space="preserve">Flat Data, </t>
    </r>
    <r>
      <rPr>
        <sz val="10"/>
        <rFont val="Arial"/>
        <family val="2"/>
      </rPr>
      <t xml:space="preserve">otherwise it is retrieving data from </t>
    </r>
    <r>
      <rPr>
        <i/>
        <sz val="10"/>
        <rFont val="Arial"/>
        <family val="2"/>
      </rPr>
      <t>Historical Data</t>
    </r>
    <r>
      <rPr>
        <sz val="10"/>
        <rFont val="Arial"/>
        <family val="2"/>
      </rPr>
      <t xml:space="preserve">.  </t>
    </r>
    <r>
      <rPr>
        <i/>
        <sz val="10"/>
        <rFont val="Arial"/>
        <family val="2"/>
      </rPr>
      <t xml:space="preserve">tableIndex </t>
    </r>
    <r>
      <rPr>
        <sz val="10"/>
        <rFont val="Arial"/>
        <family val="2"/>
      </rPr>
      <t xml:space="preserve">represents an explicit, fixed index (i.e. always index 2010).  </t>
    </r>
    <r>
      <rPr>
        <i/>
        <sz val="10"/>
        <rFont val="Arial"/>
        <family val="2"/>
      </rPr>
      <t>tablePosition</t>
    </r>
    <r>
      <rPr>
        <sz val="10"/>
        <rFont val="Arial"/>
        <family val="2"/>
      </rPr>
      <t xml:space="preserve"> allows</t>
    </r>
  </si>
  <si>
    <r>
      <t xml:space="preserve">DateTime? GetProfileDate( string fieldName, string tableName = null, string tableIndex = null, string tablePosition = null ): </t>
    </r>
    <r>
      <rPr>
        <sz val="10"/>
        <rFont val="Arial"/>
        <family val="2"/>
      </rPr>
      <t>Same as GetProfileString() except returns DateTime or null.</t>
    </r>
  </si>
  <si>
    <t>If a date is returned, it does not have a time portion of the date (or rather it is ignored and always set to 12 am).</t>
  </si>
  <si>
    <t>Lookup.MHACalculationTypes.Death</t>
  </si>
  <si>
    <t>Added comment about RBLServerKey on the calculation type tables.</t>
  </si>
  <si>
    <t>Download the latest Plan Description to review all provisions being applied.</t>
  </si>
  <si>
    <t>Account Balance</t>
  </si>
  <si>
    <t>Based upon the assumptions that you entered we have &lt;&lt;b&gt;&gt;estimated&lt;&lt;/b&gt;&gt; the benefit payable to you from the Retirement Plan.  The table below outlines the benefit payable in the various optional forms offered by the plan</t>
  </si>
  <si>
    <t>table</t>
  </si>
  <si>
    <t>in1</t>
  </si>
  <si>
    <t>help1</t>
  </si>
  <si>
    <t>annuity</t>
  </si>
  <si>
    <t>Annuity</t>
  </si>
  <si>
    <t>Click for Help</t>
  </si>
  <si>
    <t>SpreadEngine Version:</t>
  </si>
  <si>
    <t>p</t>
  </si>
  <si>
    <t>text-col</t>
  </si>
  <si>
    <t>plan-col</t>
  </si>
  <si>
    <t>in2</t>
  </si>
  <si>
    <t>This Web site is not a guarantee of future benefits and is not intended to provide complete details about the plans. The site provides estimates only based on the assumptions stated and current plan terms.</t>
  </si>
  <si>
    <t>help2</t>
  </si>
  <si>
    <t>replacement ratio</t>
  </si>
  <si>
    <t>The percentage of income before retirement that is required to be replaced to maintain the same standard of living after retirement.</t>
  </si>
  <si>
    <t>skip-charts</t>
  </si>
  <si>
    <t>Projected Retirement Plan Benefit</t>
  </si>
  <si>
    <t>SummaryChart</t>
  </si>
  <si>
    <t>chart</t>
  </si>
  <si>
    <t>ls</t>
  </si>
  <si>
    <t>Benefits Payable From Retirement Plan</t>
  </si>
  <si>
    <t>Retirement Plan</t>
  </si>
  <si>
    <r>
      <t>DateTime AddYears( DateTime startDate, int years ):</t>
    </r>
    <r>
      <rPr>
        <sz val="10"/>
        <rFont val="Arial"/>
        <family val="2"/>
      </rPr>
      <t xml:space="preserve"> Returns a date represented by adding </t>
    </r>
    <r>
      <rPr>
        <i/>
        <sz val="10"/>
        <rFont val="Arial"/>
        <family val="2"/>
      </rPr>
      <t>years</t>
    </r>
    <r>
      <rPr>
        <sz val="10"/>
        <rFont val="Arial"/>
        <family val="2"/>
      </rPr>
      <t xml:space="preserve"> to </t>
    </r>
    <r>
      <rPr>
        <i/>
        <sz val="10"/>
        <rFont val="Arial"/>
        <family val="2"/>
      </rPr>
      <t>startDate</t>
    </r>
    <r>
      <rPr>
        <sz val="10"/>
        <rFont val="Arial"/>
        <family val="2"/>
      </rPr>
      <t>.</t>
    </r>
  </si>
  <si>
    <r>
      <t>DateTime AddDays( DateTime startDate, int days ):</t>
    </r>
    <r>
      <rPr>
        <sz val="10"/>
        <rFont val="Arial"/>
        <family val="2"/>
      </rPr>
      <t xml:space="preserve"> Returns a date represented by adding </t>
    </r>
    <r>
      <rPr>
        <i/>
        <sz val="10"/>
        <rFont val="Arial"/>
        <family val="2"/>
      </rPr>
      <t>days</t>
    </r>
    <r>
      <rPr>
        <sz val="10"/>
        <rFont val="Arial"/>
        <family val="2"/>
      </rPr>
      <t xml:space="preserve"> to </t>
    </r>
    <r>
      <rPr>
        <i/>
        <sz val="10"/>
        <rFont val="Arial"/>
        <family val="2"/>
      </rPr>
      <t>startDate</t>
    </r>
    <r>
      <rPr>
        <sz val="10"/>
        <rFont val="Arial"/>
        <family val="2"/>
      </rPr>
      <t>.</t>
    </r>
  </si>
  <si>
    <t>Site Area</t>
  </si>
  <si>
    <t>Profile Client</t>
  </si>
  <si>
    <t>Membership Client</t>
  </si>
  <si>
    <t>Domain</t>
  </si>
  <si>
    <t>Is Admin Site</t>
  </si>
  <si>
    <t>Client Support Number</t>
  </si>
  <si>
    <t>Site Name</t>
  </si>
  <si>
    <t>azigloo.com</t>
  </si>
  <si>
    <t>Enable Registration Agreement</t>
  </si>
  <si>
    <t>Enable Remember Password</t>
  </si>
  <si>
    <t>Password Expiration Days</t>
  </si>
  <si>
    <t>Hash Algorithm Type</t>
  </si>
  <si>
    <t>SHA1</t>
  </si>
  <si>
    <t>User Is Online Time Window</t>
  </si>
  <si>
    <t>Password Format</t>
  </si>
  <si>
    <t>Describes the encryption format for storing passwords for membership users.</t>
  </si>
  <si>
    <t>Hashed</t>
  </si>
  <si>
    <r>
      <t xml:space="preserve">review </t>
    </r>
    <r>
      <rPr>
        <b/>
        <i/>
        <sz val="10"/>
        <rFont val="Arial"/>
        <family val="2"/>
      </rPr>
      <t>MadHatter Global Tables.xls</t>
    </r>
    <r>
      <rPr>
        <sz val="10"/>
        <rFont val="Arial"/>
        <family val="2"/>
      </rPr>
      <t xml:space="preserve"> file located in Secure Uploads.  By default, all tables specified on the </t>
    </r>
    <r>
      <rPr>
        <b/>
        <i/>
        <sz val="10"/>
        <rFont val="Arial"/>
        <family val="2"/>
      </rPr>
      <t>Global Lookup</t>
    </r>
  </si>
  <si>
    <r>
      <t xml:space="preserve">Tables </t>
    </r>
    <r>
      <rPr>
        <sz val="10"/>
        <rFont val="Arial"/>
        <family val="2"/>
      </rPr>
      <t>are available for use as a 'lookup type' for data elements.</t>
    </r>
  </si>
  <si>
    <r>
      <t>Controling Availability of Tables</t>
    </r>
    <r>
      <rPr>
        <sz val="10"/>
        <rFont val="Arial"/>
        <family val="2"/>
      </rPr>
      <t xml:space="preserve">: You can control the availability of table by supplying a </t>
    </r>
    <r>
      <rPr>
        <b/>
        <i/>
        <sz val="10"/>
        <rFont val="Arial"/>
        <family val="2"/>
      </rPr>
      <t>Y</t>
    </r>
    <r>
      <rPr>
        <sz val="10"/>
        <rFont val="Arial"/>
        <family val="2"/>
      </rPr>
      <t xml:space="preserve"> or </t>
    </r>
    <r>
      <rPr>
        <b/>
        <i/>
        <sz val="10"/>
        <rFont val="Arial"/>
        <family val="2"/>
      </rPr>
      <t>N</t>
    </r>
    <r>
      <rPr>
        <sz val="10"/>
        <rFont val="Arial"/>
        <family val="2"/>
      </rPr>
      <t xml:space="preserve"> in the table's</t>
    </r>
  </si>
  <si>
    <r>
      <t>Table Include</t>
    </r>
    <r>
      <rPr>
        <sz val="10"/>
        <rFont val="Arial"/>
        <family val="2"/>
      </rPr>
      <t xml:space="preserve"> settings (row directly below the table name).  Additionally, if all table rows for a table have their </t>
    </r>
    <r>
      <rPr>
        <i/>
        <sz val="10"/>
        <rFont val="Arial"/>
        <family val="2"/>
      </rPr>
      <t>Include</t>
    </r>
  </si>
  <si>
    <r>
      <t xml:space="preserve">might be used later on, then changing the </t>
    </r>
    <r>
      <rPr>
        <i/>
        <sz val="10"/>
        <rFont val="Arial"/>
        <family val="2"/>
      </rPr>
      <t xml:space="preserve">Table Include </t>
    </r>
    <r>
      <rPr>
        <sz val="10"/>
        <rFont val="Arial"/>
        <family val="2"/>
      </rPr>
      <t xml:space="preserve">to </t>
    </r>
    <r>
      <rPr>
        <i/>
        <sz val="10"/>
        <rFont val="Arial"/>
        <family val="2"/>
      </rPr>
      <t>N</t>
    </r>
    <r>
      <rPr>
        <sz val="10"/>
        <rFont val="Arial"/>
        <family val="2"/>
      </rPr>
      <t xml:space="preserve"> is the suggested action.</t>
    </r>
  </si>
  <si>
    <r>
      <t>Controling Visibility of Table Rows</t>
    </r>
    <r>
      <rPr>
        <sz val="10"/>
        <rFont val="Arial"/>
        <family val="2"/>
      </rPr>
      <t>: You can control the visibilty of table row in two fashions.</t>
    </r>
  </si>
  <si>
    <t>Removed more bad links.</t>
  </si>
  <si>
    <t>Displays counts by Status and Location for all employees.</t>
  </si>
  <si>
    <t>Flow of Lives</t>
  </si>
  <si>
    <t>Displays flow of lives based on status.</t>
  </si>
  <si>
    <t>Valuation Data</t>
  </si>
  <si>
    <t>Excel formatted report containing valuation for all participants.</t>
  </si>
  <si>
    <t>Mailing Labels</t>
  </si>
  <si>
    <t>Excel formatted report containing mailing information for all participants.</t>
  </si>
  <si>
    <t>in the index column.  Then in addition to whatever fields are exported on the listing a [Type:First]index column will be exported as well.</t>
  </si>
  <si>
    <t>Historical Column Headings</t>
  </si>
  <si>
    <t>a description of how each column affected the data specification.</t>
  </si>
  <si>
    <t>Table Type</t>
  </si>
  <si>
    <t>Layout Name</t>
  </si>
  <si>
    <t>Comments</t>
  </si>
  <si>
    <t>Status Table</t>
  </si>
  <si>
    <t>Status History</t>
  </si>
  <si>
    <t>Pay</t>
  </si>
  <si>
    <t>Pay Table</t>
  </si>
  <si>
    <t>Pay History</t>
  </si>
  <si>
    <t>Hire</t>
  </si>
  <si>
    <t>Employment History</t>
  </si>
  <si>
    <r>
      <t>Version History:</t>
    </r>
    <r>
      <rPr>
        <sz val="10"/>
        <rFont val="Arial"/>
        <family val="2"/>
      </rPr>
      <t xml:space="preserve"> Documentation table describing changes to the Specification sheet for auditing purposes.  The table can be edited manually, however, upon saving the file</t>
    </r>
  </si>
  <si>
    <r>
      <t xml:space="preserve">Sheet Version </t>
    </r>
    <r>
      <rPr>
        <b/>
        <sz val="10"/>
        <color indexed="10"/>
        <rFont val="Arial"/>
        <family val="2"/>
      </rPr>
      <t>(internal)</t>
    </r>
  </si>
  <si>
    <r>
      <t xml:space="preserve">By default, a data element configured for a </t>
    </r>
    <r>
      <rPr>
        <i/>
        <sz val="10"/>
        <rFont val="Arial"/>
        <family val="2"/>
      </rPr>
      <t>listing configuration column</t>
    </r>
    <r>
      <rPr>
        <sz val="10"/>
        <rFont val="Arial"/>
        <family val="2"/>
      </rPr>
      <t xml:space="preserve"> (Listing:{ID}) will use the element name as the header.  You can control</t>
    </r>
  </si>
  <si>
    <t>CalcInputs.iAge65Over.Help</t>
  </si>
  <si>
    <t>CalcInputs.iBatchIndicator.Help</t>
  </si>
  <si>
    <t>CalcInputs.Assumptions</t>
  </si>
  <si>
    <t>CalcInputs.401kPlan</t>
  </si>
  <si>
    <t>CalcInputs.ScenarioToModel</t>
  </si>
  <si>
    <t>Historical.StatusforPlan2.Label</t>
  </si>
  <si>
    <t>Historical.StatusHistory.Index</t>
  </si>
  <si>
    <t>Historical.StatusHistory.Status</t>
  </si>
  <si>
    <t>Historical.PayHistory.Index</t>
  </si>
  <si>
    <t>Historical.PayHistory.Pay</t>
  </si>
  <si>
    <t>Historical.PayHistory.Hours</t>
  </si>
  <si>
    <t>code-bad-data</t>
  </si>
  <si>
    <t>Added 'Site Url' to the Site Setting tab(s).</t>
  </si>
  <si>
    <r>
      <t>string NewValue():</t>
    </r>
    <r>
      <rPr>
        <sz val="10"/>
        <rFont val="Arial"/>
        <family val="2"/>
      </rPr>
      <t xml:space="preserve"> These functions are used when configuring Skip Audit Expression, Warning Expression, Error Expression and it returns the new value being loaded to the database.</t>
    </r>
  </si>
  <si>
    <r>
      <t>string GetDataConfig( string fieldName, string tableName = null, string tableIndex = null, string tablePosition = null ):</t>
    </r>
    <r>
      <rPr>
        <sz val="10"/>
        <rFont val="Arial"/>
        <family val="2"/>
      </rPr>
      <t xml:space="preserve"> This function is used in situations where a returned value from data</t>
    </r>
  </si>
  <si>
    <t>Lookup.MHACalculationTypes.Disability.PageTitle</t>
  </si>
  <si>
    <t>Term Vested Calculations</t>
  </si>
  <si>
    <t>Death Calculations</t>
  </si>
  <si>
    <t>Disability Calculations</t>
  </si>
  <si>
    <t>Added PageTitle to framework lookup tables.</t>
  </si>
  <si>
    <t>DataUpdates</t>
  </si>
  <si>
    <t>data-updates</t>
  </si>
  <si>
    <t>Data Updates</t>
  </si>
  <si>
    <t>Flat.PlanInformation.PlanBenefits.BenFrz5</t>
  </si>
  <si>
    <t>Flat.PlanInformation.PlanBenefits.BenFrz.WarningMessage</t>
  </si>
  <si>
    <t>Historical.StatusHistory.Label</t>
  </si>
  <si>
    <t>Historical.PayHistory.Label</t>
  </si>
  <si>
    <t>List:MHAUpdateTypes</t>
  </si>
  <si>
    <t>Process</t>
  </si>
  <si>
    <t>Miscellaneous Service 4</t>
  </si>
  <si>
    <t>svc-misc5</t>
  </si>
  <si>
    <t>Miscellaneous Service 5</t>
  </si>
  <si>
    <t>Plan Benefits</t>
  </si>
  <si>
    <t>ben-frz1</t>
  </si>
  <si>
    <t>There are a couple Listing:{ID} columns provided by default, used to specify whether or not the selected fields should be included</t>
  </si>
  <si>
    <t>You can control the header by using the /header:{Your Header} switch.  For example, ssn might be Y/header:Social Security Number.</t>
  </si>
  <si>
    <t>Listing Export Flags</t>
  </si>
  <si>
    <t>Data Load Expiration</t>
  </si>
  <si>
    <t>KeepLast10</t>
  </si>
  <si>
    <t>Batch Jobs Expiration</t>
  </si>
  <si>
    <t>Calculated Data Load Expiration</t>
  </si>
  <si>
    <t>Notifications</t>
  </si>
  <si>
    <t>FTP Use Passive</t>
  </si>
  <si>
    <t>FTP Enable SSL</t>
  </si>
  <si>
    <t>Fixed Columns</t>
  </si>
  <si>
    <t>a dialog will appear to help the developer populate this table along with reseting the 'Current Version' variable in General Information.</t>
  </si>
  <si>
    <t>General Information</t>
  </si>
  <si>
    <t>Current Version</t>
  </si>
  <si>
    <t>Client Name</t>
  </si>
  <si>
    <t>Status for Plan 2</t>
  </si>
  <si>
    <t>Layout Name:</t>
  </si>
  <si>
    <t>Required Fields</t>
  </si>
  <si>
    <t>Optional Fields</t>
  </si>
  <si>
    <t>Listing Configurations</t>
  </si>
  <si>
    <t>Is Detail?</t>
  </si>
  <si>
    <t>Display Width</t>
  </si>
  <si>
    <t>index</t>
  </si>
  <si>
    <t>YearQuarter</t>
  </si>
  <si>
    <t>List:Status</t>
  </si>
  <si>
    <t>Y/Last:2</t>
  </si>
  <si>
    <t>pay</t>
  </si>
  <si>
    <t>200000.00</t>
  </si>
  <si>
    <t>hours</t>
  </si>
  <si>
    <t>Hours</t>
  </si>
  <si>
    <t>3000.00</t>
  </si>
  <si>
    <t>iSaveTVAccruedBen</t>
  </si>
  <si>
    <t>Save Term Vested Accrued Benefit?</t>
  </si>
  <si>
    <t>CalcInputs.iSaveTVAccruedBen.Label</t>
  </si>
  <si>
    <t>Accrued Benefit Calculation</t>
  </si>
  <si>
    <t>CalcInputs.AccruedBenefitCalculation</t>
  </si>
  <si>
    <t>Final Calculation</t>
  </si>
  <si>
    <t>CalcInputs.FinalCalculation</t>
  </si>
  <si>
    <t>Start</t>
  </si>
  <si>
    <t>date-end</t>
  </si>
  <si>
    <t>End</t>
  </si>
  <si>
    <t>date-stop</t>
  </si>
  <si>
    <t>Stop</t>
  </si>
  <si>
    <t>payable-to</t>
  </si>
  <si>
    <t>Payable</t>
  </si>
  <si>
    <t>Beneficiary Table</t>
  </si>
  <si>
    <t>{0:000-00-0000}</t>
  </si>
  <si>
    <t>\d{9}</t>
  </si>
  <si>
    <t>date-status</t>
  </si>
  <si>
    <t>Status Date</t>
  </si>
  <si>
    <t>appendix</t>
  </si>
  <si>
    <t>Appendix</t>
  </si>
  <si>
    <t>List:Appendix</t>
  </si>
  <si>
    <t>ResultTabs</t>
  </si>
  <si>
    <t>50jc</t>
  </si>
  <si>
    <t>50% Joint and Contingent</t>
  </si>
  <si>
    <t>Packaging</t>
  </si>
  <si>
    <t>XA</t>
  </si>
  <si>
    <t>Not Eligible - Age Restriction</t>
  </si>
  <si>
    <t>50pop</t>
  </si>
  <si>
    <t>50% J&amp;S w/POP Up</t>
  </si>
  <si>
    <t>Paperboard Macon</t>
  </si>
  <si>
    <t>XO</t>
  </si>
  <si>
    <t>Transferred Out</t>
  </si>
  <si>
    <t>5cer</t>
  </si>
  <si>
    <t>5 Year Certain</t>
  </si>
  <si>
    <t>Paperboard West Monroe</t>
  </si>
  <si>
    <t>5cl</t>
  </si>
  <si>
    <t>5 Year CL</t>
  </si>
  <si>
    <t>5inc</t>
  </si>
  <si>
    <t>5% Increasing Annuity</t>
  </si>
  <si>
    <t>66js</t>
  </si>
  <si>
    <t>66% J&amp;S</t>
  </si>
  <si>
    <t>66pop</t>
  </si>
  <si>
    <t>66% J&amp;S w/POP Up</t>
  </si>
  <si>
    <t>75js</t>
  </si>
  <si>
    <t>75% J&amp;S</t>
  </si>
  <si>
    <t>75pop</t>
  </si>
  <si>
    <t>75'% J&amp;S w/POP Up</t>
  </si>
  <si>
    <t>co</t>
  </si>
  <si>
    <t>lo</t>
  </si>
  <si>
    <t>Level Option</t>
  </si>
  <si>
    <t>sla</t>
  </si>
  <si>
    <t>Single Life Annuity</t>
  </si>
  <si>
    <t>50js10</t>
  </si>
  <si>
    <t>50% J&amp;S w/10 years certain</t>
  </si>
  <si>
    <t>100js10</t>
  </si>
  <si>
    <t>100% J&amp;S w/10 years certain</t>
  </si>
  <si>
    <t>Framework Lookup Tables</t>
  </si>
  <si>
    <t>Actives</t>
  </si>
  <si>
    <r>
      <t>Auth ID Field:</t>
    </r>
    <r>
      <rPr>
        <b/>
        <sz val="10"/>
        <rFont val="Arial"/>
        <family val="2"/>
      </rPr>
      <t xml:space="preserve"> </t>
    </r>
    <r>
      <rPr>
        <sz val="10"/>
        <rFont val="Arial"/>
        <family val="2"/>
      </rPr>
      <t xml:space="preserve">By default, a data element that is the </t>
    </r>
    <r>
      <rPr>
        <i/>
        <sz val="10"/>
        <rFont val="Arial"/>
        <family val="2"/>
      </rPr>
      <t>unique identifier</t>
    </r>
    <r>
      <rPr>
        <sz val="10"/>
        <rFont val="Arial"/>
        <family val="2"/>
      </rPr>
      <t xml:space="preserve"> for a record, normally </t>
    </r>
    <r>
      <rPr>
        <i/>
        <sz val="10"/>
        <rFont val="Arial"/>
        <family val="2"/>
      </rPr>
      <t>ssn</t>
    </r>
    <r>
      <rPr>
        <sz val="10"/>
        <rFont val="Arial"/>
        <family val="2"/>
      </rPr>
      <t>.  You can however specify any field (i.e. an ee-id or something).</t>
    </r>
  </si>
  <si>
    <t>Default Listing Fields</t>
  </si>
  <si>
    <t>Display Name</t>
  </si>
  <si>
    <t>Type</t>
  </si>
  <si>
    <t>Index</t>
  </si>
  <si>
    <t>SSN</t>
  </si>
  <si>
    <t>Last Name</t>
  </si>
  <si>
    <t>name-last</t>
  </si>
  <si>
    <t>First Name</t>
  </si>
  <si>
    <t>name-first</t>
  </si>
  <si>
    <t>Birth Date</t>
  </si>
  <si>
    <t xml:space="preserve">elements on this tab is the order that they appear on the site.  You control header dividers (for organization) and validation for each field. </t>
  </si>
  <si>
    <t>Also, there are  Listing:{ID} columns provided by default, these are simply used to specify whether or not the selected field should be included</t>
  </si>
  <si>
    <t>in the specified listing display/export.  You can add more Listing columns based on the reports configured in the Reports tab.</t>
  </si>
  <si>
    <t>Two rows that are 'special' in this tab are GROUP and HEADER.  GROUP tells MHA framework to make this an organization division</t>
  </si>
  <si>
    <t>that is expandable/collapsable on both the view and edit screen.  Header simply inserts a organizational division ROW in the table</t>
  </si>
  <si>
    <t>display (purely visual).</t>
  </si>
  <si>
    <t>Configuring Listing Headers</t>
  </si>
  <si>
    <t>the header by using the /Header:{Your Header} switch.  For example, ssn might be Y/Header:Social Security Number</t>
  </si>
  <si>
    <t>Data Field</t>
  </si>
  <si>
    <t>Include</t>
  </si>
  <si>
    <t>Label</t>
  </si>
  <si>
    <t>Min</t>
  </si>
  <si>
    <t>Max</t>
  </si>
  <si>
    <t>Range Error Type</t>
  </si>
  <si>
    <t>Required Error Type</t>
  </si>
  <si>
    <t>MH Display</t>
  </si>
  <si>
    <t>SECTION</t>
  </si>
  <si>
    <t>Employee Information</t>
  </si>
  <si>
    <t>GROUP</t>
  </si>
  <si>
    <t>Basic Information</t>
  </si>
  <si>
    <t>Y</t>
  </si>
  <si>
    <t>Text</t>
  </si>
  <si>
    <t>F</t>
  </si>
  <si>
    <t>name-mi</t>
  </si>
  <si>
    <t>Middle Initial</t>
  </si>
  <si>
    <t>sex</t>
  </si>
  <si>
    <t>Sex</t>
  </si>
  <si>
    <t>List:Sex</t>
  </si>
  <si>
    <t>W</t>
  </si>
  <si>
    <t>Date of Birth</t>
  </si>
  <si>
    <t>date-death</t>
  </si>
  <si>
    <t>Date of Death</t>
  </si>
  <si>
    <t>Employment Information</t>
  </si>
  <si>
    <t>code-division</t>
  </si>
  <si>
    <t>Division</t>
  </si>
  <si>
    <t>List:Division</t>
  </si>
  <si>
    <t>location</t>
  </si>
  <si>
    <t>Location</t>
  </si>
  <si>
    <t>List:Location</t>
  </si>
  <si>
    <t>title</t>
  </si>
  <si>
    <t>Job Title</t>
  </si>
  <si>
    <t>date-hire</t>
  </si>
  <si>
    <t>Original Date of Hire</t>
  </si>
  <si>
    <t>date-term</t>
  </si>
  <si>
    <t>Reports.ActiveDisabledTvOver55.Description</t>
  </si>
  <si>
    <t>Reports.ActiveDisabledTvTurning65InNext12Months.Description</t>
  </si>
  <si>
    <t>Inputs</t>
  </si>
  <si>
    <t>ID</t>
  </si>
  <si>
    <t>value2</t>
  </si>
  <si>
    <t>value3</t>
  </si>
  <si>
    <t>Multi-Sheet Based Export Configuration</t>
  </si>
  <si>
    <t>Sheet</t>
  </si>
  <si>
    <t>Row Format</t>
  </si>
  <si>
    <t>Export Samples</t>
  </si>
  <si>
    <t>[PayHist:{yyyy}]/delete</t>
  </si>
  <si>
    <t>[PayHist:{yyyy}]pay-base</t>
  </si>
  <si>
    <t>[PayHist:{yyyy}]pay-bonus</t>
  </si>
  <si>
    <t>[PayHist:{yyyy(-1)}]pay-base</t>
  </si>
  <si>
    <t>{UserName}, {SiteName}, {IPAddress}, and {FailedAttempts}</t>
  </si>
  <si>
    <t>Reports.ValuationData.FileName</t>
  </si>
  <si>
    <t>AZI_Valuation_{0}.csv</t>
  </si>
  <si>
    <t>Reports.MailingLabels.FileName</t>
  </si>
  <si>
    <t>Reports.BenefitPayableHistory.FileName</t>
  </si>
  <si>
    <t>AZI_BenPay_History_{0}.csv</t>
  </si>
  <si>
    <t>Reports.BatchIndicators.FileName</t>
  </si>
  <si>
    <t>Reports.ActiveDisabledTvOver55.FileName</t>
  </si>
  <si>
    <t>AZI_ACLTTVOver55_{0}.csv</t>
  </si>
  <si>
    <t>Reports.ActiveDisabledTvTurning65InNext12Months.FileName</t>
  </si>
  <si>
    <t>AZI_ACLTTV65In12Months_{0}.csv</t>
  </si>
  <si>
    <t>DisplayNames.Ssn</t>
  </si>
  <si>
    <t>DisplayNames.LastName</t>
  </si>
  <si>
    <t>DisplayNames.FirstName</t>
  </si>
  <si>
    <t>DisplayNames.BirthDate</t>
  </si>
  <si>
    <t>DisplayNames.CurrentStatus</t>
  </si>
  <si>
    <t>DisplayNames.PreviousStatus</t>
  </si>
  <si>
    <t>DisplayNames.BatchInd</t>
  </si>
  <si>
    <r>
      <t xml:space="preserve">BTR Sheet Version </t>
    </r>
    <r>
      <rPr>
        <b/>
        <sz val="10"/>
        <color indexed="10"/>
        <rFont val="Arial"/>
        <family val="2"/>
      </rPr>
      <t>(internal)</t>
    </r>
  </si>
  <si>
    <t>Invalid Registration Credentials</t>
  </si>
  <si>
    <t>Invalid Registration Id</t>
  </si>
  <si>
    <t>Duplicate User Name</t>
  </si>
  <si>
    <t>Duplicate Email</t>
  </si>
  <si>
    <t>Invalid Password Answer</t>
  </si>
  <si>
    <t>^(?=(.*[a-z]){0,})^(?=(.*[A-Z]){0,})(?=(.*[\\d]){0,})(?=(.*[\\W]){0,})(?!.*\\s).{7,30}$</t>
  </si>
  <si>
    <t>The password can not contain any spaces and must be 7-100 characters long, containing alpha numeric characters.</t>
  </si>
  <si>
    <t>Seven-characters minimum; case sensitive</t>
  </si>
  <si>
    <t>&lt;password&gt;</t>
  </si>
  <si>
    <t>E-mail Address</t>
  </si>
  <si>
    <t>&lt;e-mail&gt;</t>
  </si>
  <si>
    <t>Please enter a valid e-mail address containing only letters, numbers, periods (.), hyphens (-), or underscores (_).</t>
  </si>
  <si>
    <t>An e-mail address containing only letters, numbers, periods (.), hyphens (-), or underscores (_).</t>
  </si>
  <si>
    <t>Secret answer</t>
  </si>
  <si>
    <t>Please supply a value containing at least 5 characters; letters, numbers, periods (.), hyphens (-), or underscores (_).</t>
  </si>
  <si>
    <t>Five character minimum; not case sensitive</t>
  </si>
  <si>
    <t>[^\s].{5,}</t>
  </si>
  <si>
    <t>Mother's birthplace</t>
  </si>
  <si>
    <t>Best childhood friend</t>
  </si>
  <si>
    <t>Childhood hero</t>
  </si>
  <si>
    <t>Name of first pet</t>
  </si>
  <si>
    <t>Favorite historical person</t>
  </si>
  <si>
    <t>Favorite teacher</t>
  </si>
  <si>
    <t>Grandfather's occupation</t>
  </si>
  <si>
    <t>Oldest child's middle name</t>
  </si>
  <si>
    <t>Registration Password</t>
  </si>
  <si>
    <t>&lt;see below&gt;</t>
  </si>
  <si>
    <t>For more information on RBL Framework processing of this tab, please see the documentation on the RBLResult tab.</t>
  </si>
  <si>
    <t>During processing of an Update sheet, the RBL Framework prepares data instructions for how to save data back to database.</t>
  </si>
  <si>
    <t>Please see 'table process' flow on the RBLInput tab to understand how RBL processes tables in the Tables section.</t>
  </si>
  <si>
    <t>Table Descriptions:</t>
  </si>
  <si>
    <t>DeleteTables: Any table in here with 'on' = 1 will be first deleted before updating historical data.</t>
  </si>
  <si>
    <t>RBL Framework SpreadEngine™ Information</t>
  </si>
  <si>
    <t>terry.aney</t>
  </si>
  <si>
    <t>Updated documentation for RBL Calculation tabs and added version history dialog on CalcEngine and Add-In save event.</t>
  </si>
  <si>
    <t>Fixed version history table formatting one  more time.</t>
  </si>
  <si>
    <r>
      <t xml:space="preserve">in </t>
    </r>
    <r>
      <rPr>
        <i/>
        <sz val="10"/>
        <rFont val="Arial"/>
        <family val="2"/>
      </rPr>
      <t>Security Token Details</t>
    </r>
    <r>
      <rPr>
        <sz val="10"/>
        <rFont val="Arial"/>
        <family val="2"/>
      </rPr>
      <t>).  If a new right that doesn't exist is required, you can specify the details (i.e. which pages or functionality should be controlled) and then</t>
    </r>
  </si>
  <si>
    <t>inform BTR of which token was added so that appropriate code can be implemented.</t>
  </si>
  <si>
    <t>You are currently not able to impersonate the selected member in the system because you have not been granted rights to view their data.  Please talk to your Human Resources representative to review the cause of this action.</t>
  </si>
  <si>
    <t>You are currently not able to log into the system because your password has expired.  Please change your password.</t>
  </si>
  <si>
    <t>You are currently not able to log into the system because you have been locked out due to too many invalid sign in attempts.  Report this immediately if you feel someone else has been attempting to sign in to your account!  Talk to your local Human Resources representative about reinstating your account priveledges.</t>
  </si>
  <si>
    <t>You are currently not able to log into the system because you are marked as ineligible.  Please talk to your local Human Resources representative to review the cause of this action.</t>
  </si>
  <si>
    <t>The supplied user name could not be found in the system.  Please try again.  You may also need to &lt;a href="{RegisterUrl}"&gt;Register&lt;/a&gt; if you have not already done so.</t>
  </si>
  <si>
    <t>The supplied e-mail address could not be found.  Please verify that you have typed your e-mail address correctly.  If the problem persists, please contact technical support.</t>
  </si>
  <si>
    <t>Lockout</t>
  </si>
  <si>
    <t>&lt;p&gt;&lt;b&gt;Invalid Security Access Attempt&lt;/b&gt;&lt;/p&gt;
&lt;p&gt;You are receiving this email because an unauthorized attempt to access the {SiteName} website was attempted and logged.&lt;/p&gt;
&lt;ul&gt;
  &lt;li&gt;User: {UserName}&lt;/li&gt;
  &lt;li&gt;IP Address: {IPAddress}&lt;/li&gt;
  &lt;li&gt;Number of Failed Attempts: {FailedAttempts}&lt;/li&gt;
&lt;/ul&gt;
&lt;p&gt;&lt;b&gt;Forgot Your Password?&lt;/b&gt;&lt;br/&gt;If you are attempting to log in, please use the &lt;a href="{ForgotPasswordUrl}"&gt;password recovery feature&lt;/a&gt; if needed or contact technical support for help.&lt;/p&gt;
&lt;p&gt;&lt;b&gt;Note:&lt;/b&gt;&lt;br/&gt;This is {FailedAttempts}th failed attempt at logging on. You will no longer be able to log into the system if you have {MaxFailedAttempts} failures because you will be locked out due to too many invalid sign in attempts.  Report this immediately if you feel someone else has been attempting to sign in to your account!&lt;/p&gt;</t>
  </si>
  <si>
    <t>Age of Benefit Commencement</t>
  </si>
  <si>
    <t>CalcInputs.iAgeBenCommBatch.Label</t>
  </si>
  <si>
    <t>iAgeBenCommBatch</t>
  </si>
  <si>
    <t>The Official Website of the U.S. Social Security Administration</t>
  </si>
  <si>
    <t>Summary Annual Report</t>
  </si>
  <si>
    <t>Minimum Account Balance</t>
  </si>
  <si>
    <t>iPaymentForm visibility/required.</t>
  </si>
  <si>
    <t>Updated default ProcessWorkbook code from Phil for tWorkResults/array code.</t>
  </si>
  <si>
    <t>Updated RBLWorkTables for Phil's tWorkResults/array enhancement.</t>
  </si>
  <si>
    <t>http://eactuary.mellon.com/intro.html</t>
  </si>
  <si>
    <r>
      <t>Default Listing Fields</t>
    </r>
    <r>
      <rPr>
        <sz val="10"/>
        <rFont val="Arial"/>
        <family val="2"/>
      </rPr>
      <t>: This table describes the fields to be displayed after a search (or generic listing) has been performed (i.e. Quick Search).</t>
    </r>
  </si>
  <si>
    <t>Amount equal to $2000 on the later of January 1, 2002 or Date of Hire, credited with interest only each January 1 and July 1</t>
  </si>
  <si>
    <t>batchind</t>
  </si>
  <si>
    <t>Employer Identification Number</t>
  </si>
  <si>
    <t>94-4236316</t>
  </si>
  <si>
    <t>Beneficiary exists</t>
  </si>
  <si>
    <t>aCurrDate</t>
  </si>
  <si>
    <t>Current Date for System</t>
  </si>
  <si>
    <t>aIntRate</t>
  </si>
  <si>
    <t>Interest Rate for Lump Sum Projections</t>
  </si>
  <si>
    <t>aMortTable</t>
  </si>
  <si>
    <t>t2002irs</t>
  </si>
  <si>
    <t>Mortality Rate for Lump Sum Calculations</t>
  </si>
  <si>
    <t>aIntRate2</t>
  </si>
  <si>
    <t>Interest Rate for Actuarial Equivalence</t>
  </si>
  <si>
    <t>aMortTable2</t>
  </si>
  <si>
    <t>Mortality Rate for Actuarial Equivalence</t>
  </si>
  <si>
    <t>aSSLawYear</t>
  </si>
  <si>
    <t>Law Year for PIA calculations</t>
  </si>
  <si>
    <t>aProjNAW</t>
  </si>
  <si>
    <t>Projected NAW rate to event.</t>
  </si>
  <si>
    <t>aProjCPI</t>
  </si>
  <si>
    <t>Projected CPI rate to event.</t>
  </si>
  <si>
    <t>aCCLawYear</t>
  </si>
  <si>
    <t>Law Year for Covered Compensation Calcualtions</t>
  </si>
  <si>
    <t>aCCProj</t>
  </si>
  <si>
    <t>Projection Rate for Covered Compensation Calculations</t>
  </si>
  <si>
    <t>Flat.EmployeeInformation</t>
  </si>
  <si>
    <t>Flat.EmployeeInformation.BasicInformation</t>
  </si>
  <si>
    <t>Result Page Description</t>
  </si>
  <si>
    <t>Sheet Version (internal)</t>
  </si>
  <si>
    <t>Lookup.FormPayment.66pop</t>
  </si>
  <si>
    <t>Default Listing Fixed Columns</t>
  </si>
  <si>
    <t>Added Fixed Columns property to all the column pageable grids.</t>
  </si>
  <si>
    <t>Excel formatted report containing all benefit records for all participants.</t>
  </si>
  <si>
    <t>Batch Indicators</t>
  </si>
  <si>
    <t>Excel formatted report containing Batch Indicator for all participants who have one assigned.</t>
  </si>
  <si>
    <t>AZI_Batch_Indicators.csv</t>
  </si>
  <si>
    <t>Active, Disabled, TV over 55</t>
  </si>
  <si>
    <t>Active, Disabled, TV turning 65 in next 12 months</t>
  </si>
  <si>
    <t>Site Configuration</t>
  </si>
  <si>
    <t>Localization</t>
  </si>
  <si>
    <t>Added Invalid Password error message configuration.</t>
  </si>
  <si>
    <r>
      <t xml:space="preserve">Note: I debated with not putting in the </t>
    </r>
    <r>
      <rPr>
        <i/>
        <sz val="10"/>
        <rFont val="Arial"/>
        <family val="2"/>
      </rPr>
      <t>Unique ID</t>
    </r>
    <r>
      <rPr>
        <sz val="10"/>
        <rFont val="Arial"/>
        <family val="2"/>
      </rPr>
      <t xml:space="preserve"> column and just auto-generating it, but decided to put it in as a form of 'documentation' so that</t>
    </r>
  </si>
  <si>
    <t>Lookup.PlanInfo.TechContactPhone</t>
  </si>
  <si>
    <t>Lookup.PlanInfo.HrPhone</t>
  </si>
  <si>
    <t>Lookup.PlanInfo.HrFaxPhone</t>
  </si>
  <si>
    <t>Lookup.PlanInfo.PlanFormReturn</t>
  </si>
  <si>
    <t>Plan Form Return</t>
  </si>
  <si>
    <t>Lookup.PlanInfo.PlanContactTitle.Text</t>
  </si>
  <si>
    <t>Lookup.Links.SocialSecurityOnline</t>
  </si>
  <si>
    <t>Enter the actual Age 65 benefit for purposes of a late retirement calculation, this will override the calculated Age 65 benefit.</t>
  </si>
  <si>
    <t>iPaymentForm</t>
  </si>
  <si>
    <t>Final Payment Form</t>
  </si>
  <si>
    <t>iReportDate</t>
  </si>
  <si>
    <t>Report Processing Date</t>
  </si>
  <si>
    <t>iBatchIndicator</t>
  </si>
  <si>
    <t>Enter the Batch Indicator you wish to filter on.</t>
  </si>
  <si>
    <t>year</t>
  </si>
  <si>
    <t>Calculation Layouts</t>
  </si>
  <si>
    <t>Buck_AZI_SE</t>
  </si>
  <si>
    <t>RBLInput</t>
  </si>
  <si>
    <t>RBLResult</t>
  </si>
  <si>
    <t>Is Visible</t>
  </si>
  <si>
    <t>Overrides</t>
  </si>
  <si>
    <t>Assumptions</t>
  </si>
  <si>
    <t>401(k) Plan</t>
  </si>
  <si>
    <t>Scenario to Model</t>
  </si>
  <si>
    <t>RBLBenCalc</t>
  </si>
  <si>
    <t>Save To</t>
  </si>
  <si>
    <t>Calculation Parameters</t>
  </si>
  <si>
    <t>Date of Termination</t>
  </si>
  <si>
    <t>Date of Retirement</t>
  </si>
  <si>
    <t>Calculation Overrides</t>
  </si>
  <si>
    <t>RBLUpdate</t>
  </si>
  <si>
    <t>Parameters</t>
  </si>
  <si>
    <t>RBLReport_Adhoc</t>
  </si>
  <si>
    <t>Reports</t>
  </si>
  <si>
    <t>Use this sheet to configure the reports and/or listings available on the MHA system.</t>
  </si>
  <si>
    <t>Export Title</t>
  </si>
  <si>
    <t>Flat.EmployeeInformation.BasicInformation.Ssn</t>
  </si>
  <si>
    <t>Flat.EmployeeInformation.EmploymentInformation</t>
  </si>
  <si>
    <t>Flat.EmployeeInformation.EmploymentInformation.Location</t>
  </si>
  <si>
    <t>Flat.EmployeeInformation.DemographicInformation</t>
  </si>
  <si>
    <t>Flat.EmployeeInformation.DemographicInformation.Address1</t>
  </si>
  <si>
    <t>Flat.EmployeeInformation.DemographicInformation.Address2</t>
  </si>
  <si>
    <t>Flat.EmployeeInformation.DemographicInformation.City</t>
  </si>
  <si>
    <t>Flat.EmployeeInformation.DemographicInformation.State</t>
  </si>
  <si>
    <t>Flat.EmployeeInformation.BeneficiaryInformation</t>
  </si>
  <si>
    <t>Flat.EmployeeInformation.SystemInformation</t>
  </si>
  <si>
    <t>Flat.PlanInformation</t>
  </si>
  <si>
    <t>Flat.PlanInformation.PlanDates</t>
  </si>
  <si>
    <t>Flat.PlanInformation.PlanService</t>
  </si>
  <si>
    <t>Flat.PlanInformation.PlanBenefits</t>
  </si>
  <si>
    <t>RBL Framework saves data back to database</t>
  </si>
  <si>
    <t>Profile Table: Two columns of item/value, simply updates a flat field found in data spec.</t>
  </si>
  <si>
    <t>Other Tables: Columns must match identically, and updates the appropriate historical data table.</t>
  </si>
  <si>
    <t>Sheet Information</t>
  </si>
  <si>
    <t>Profile Load Group</t>
  </si>
  <si>
    <t>Data</t>
  </si>
  <si>
    <t>Calc Default</t>
  </si>
  <si>
    <t>Flat.EmployeeInformation.SystemInformation.TestCalcInd</t>
  </si>
  <si>
    <t>Enter the actual Vesting Service, this will override the calculated Vesting Service.</t>
  </si>
  <si>
    <t>iBenServiceOver</t>
  </si>
  <si>
    <t>Credited Service</t>
  </si>
  <si>
    <t>Enter the actual Credited Service, this will override the calculated Credited Service.</t>
  </si>
  <si>
    <t>iAccBenOver</t>
  </si>
  <si>
    <t>Accrued Benefit</t>
  </si>
  <si>
    <t>Enter the actual Accrued Benefit, this will override the calculated Accrued Benefit.</t>
  </si>
  <si>
    <t>iAge65Over</t>
  </si>
  <si>
    <t>Age 65 Benefit For Late Retirement Calculations</t>
  </si>
  <si>
    <t>iGoal</t>
  </si>
  <si>
    <t>Value for Calculations</t>
  </si>
  <si>
    <t>xDS Data Fields</t>
  </si>
  <si>
    <t>Value from xDS</t>
  </si>
  <si>
    <t>&lt;ssn&gt;</t>
  </si>
  <si>
    <t>&lt;name-last&gt;</t>
  </si>
  <si>
    <t>Parker</t>
  </si>
  <si>
    <t>&lt;name-first&gt;</t>
  </si>
  <si>
    <t>Philip</t>
  </si>
  <si>
    <t>&lt;sex&gt;</t>
  </si>
  <si>
    <t>Payment Options</t>
  </si>
  <si>
    <t>[Pay:pay2]hours</t>
  </si>
  <si>
    <t>[Pay:pay2]pay</t>
  </si>
  <si>
    <t>[Pay:pay2]/export</t>
  </si>
  <si>
    <t>Column Based Export - Using historical indexes tokens in the column headers (during export you'll be prompted to supply a valid value for anything inside { })</t>
  </si>
  <si>
    <t>Column Based Export - Showing Different Delete Flags Available</t>
  </si>
  <si>
    <t>[Profile]/delete</t>
  </si>
  <si>
    <t>name-mi/delete</t>
  </si>
  <si>
    <t>[Pay]/delete</t>
  </si>
  <si>
    <t>[PayHist:2010]/delete</t>
  </si>
  <si>
    <t>[PayHist:2011]pay/delete</t>
  </si>
  <si>
    <t>User Enable</t>
  </si>
  <si>
    <t>User Disable</t>
  </si>
  <si>
    <t>{SiteName} - User Account Enabled Confirmation</t>
  </si>
  <si>
    <t>{SiteName} - User Account Disabled Confirmation</t>
  </si>
  <si>
    <t>&lt;p&gt;Hello {UserName},&lt;/p&gt;
&lt;p&gt;This email serves as a confirmation that the account has been disabled from the {SiteName}.&lt;/p&gt;
&lt;p&gt;If you have any questions regarding why your account has been disabled, contact {ClientName} at {ClientSupportNumber}.&lt;/p&gt;
&lt;p&gt;{CustomerSupportName}&lt;/p&gt;
&lt;p&gt;&lt;b&gt;Note:&lt;/b&gt;&lt;br/&gt;Please do not reply to this message, which was sent from an unmonitored e-mail address. Mail sent to this address cannot be answered.&lt;/p&gt;</t>
  </si>
  <si>
    <t>&lt;p&gt;Hello {UserName},&lt;/p&gt;
&lt;p&gt;This email serves as a confirmation that your account has been &lt;b&gt;enabled&lt;/b&gt; (from a previously locked out state) from the {SiteName}.&lt;/p&gt;
&lt;p&gt;{CustomerSupportName}&lt;/p&gt;
&lt;p&gt;&lt;b&gt;Note:&lt;/b&gt;&lt;br/&gt;Please do not reply to this message, which was sent from an unmonitored e-mail address. Mail sent to this address cannot be answered.&lt;/p&gt;</t>
  </si>
  <si>
    <t>Tokens</t>
  </si>
  <si>
    <t>{UserName}, {SiteName}, {UserIsOnlineTimeWindow}, {AccountServiceUrl}, {PrivacyStatementUrl}, {PrivacySupportEmail}, and {CustomerSupportName}</t>
  </si>
  <si>
    <t>{UserName}, {SiteName}, {ResetUrl}, {ClientName}, {ResetExpires}, {CancelUrl}, {PrivacyStatementUrl}, and {CustomerSupportName}</t>
  </si>
  <si>
    <t>{UserName}, {SiteName}, {ClientName}, {PrivacyStatementUrl}, and {CustomerSupportName}</t>
  </si>
  <si>
    <t>{UserName}, {AlternateEmail}, {SiteName}, {ClientName}, {PrivacyStatementUrl}, and {CustomerSupportName}</t>
  </si>
  <si>
    <t>{UserName}, {SiteName}, {OldUserName}, {NewUserName}, {ClientName}, {PrivacyStatementUrl}, and {CustomerSupportName}</t>
  </si>
  <si>
    <t>{UserName}, {SiteName}, {NewQuestion}, {ClientName}, {PrivacyStatementUrl}, and {CustomerSupportName}</t>
  </si>
  <si>
    <t>{UserName}, {SiteName}, {IVRAlias}, {ClientName}, {PrivacyStatementUrl}, and {CustomerSupportName}</t>
  </si>
  <si>
    <t>{UserName}, {SiteName}, and {CustomerSupportName}</t>
  </si>
  <si>
    <t>{UserName}, {SiteName}, {IPAddress}, {ForgotPasswordUrl}, {FailedAttempts}, {MaxFailedAttempts}</t>
  </si>
  <si>
    <r>
      <t>General Information</t>
    </r>
    <r>
      <rPr>
        <sz val="10"/>
        <rFont val="Arial"/>
        <family val="2"/>
      </rPr>
      <t>: Provide variables used in generating configuration settings.</t>
    </r>
  </si>
  <si>
    <r>
      <t xml:space="preserve">Current Version: </t>
    </r>
    <r>
      <rPr>
        <sz val="10"/>
        <rFont val="Arial"/>
        <family val="2"/>
      </rPr>
      <t>This is the version of the Specification Sheet.  It should be updated upon each publish to Task Manager.  By default, on each</t>
    </r>
  </si>
  <si>
    <r>
      <t>Client Name:</t>
    </r>
    <r>
      <rPr>
        <b/>
        <sz val="10"/>
        <rFont val="Arial"/>
        <family val="2"/>
      </rPr>
      <t xml:space="preserve"> </t>
    </r>
    <r>
      <rPr>
        <sz val="10"/>
        <rFont val="Arial"/>
        <family val="2"/>
      </rPr>
      <t xml:space="preserve">This is the BTR supplied client name used for </t>
    </r>
    <r>
      <rPr>
        <i/>
        <sz val="10"/>
        <rFont val="Arial"/>
        <family val="2"/>
      </rPr>
      <t>internal</t>
    </r>
    <r>
      <rPr>
        <sz val="10"/>
        <rFont val="Arial"/>
        <family val="2"/>
      </rPr>
      <t xml:space="preserve"> identification purposes.  By default, simply provide a readable, unique, 'short hand' </t>
    </r>
  </si>
  <si>
    <t>iDatePPAAccrued</t>
  </si>
  <si>
    <t>Accrued Benefit Date:</t>
  </si>
  <si>
    <t>[Type:First]element, [Type:First+1]element, ..., [Type:First+N-1]element.</t>
  </si>
  <si>
    <t>[Type:1]element, [Type:2]element, ..., [Type:N]element.</t>
  </si>
  <si>
    <t>UserName</t>
  </si>
  <si>
    <t>Password Strength</t>
  </si>
  <si>
    <t>The password can not contain any letters or spaces and must be 8 characters long in the format of XXXXYYYY representing the last 4 digits of your Social Security number (XXXX) and your year of birth (YYYY).</t>
  </si>
  <si>
    <t>Combination of the last 4 digits of your Social Security number (XXXX) and your year of birth (YYYY) in the format of XXXXYYYY</t>
  </si>
  <si>
    <t>Registration ID</t>
  </si>
  <si>
    <t>The registration ID is your Social Security number and must be entered as nine digits with no spaces or dashes.</t>
  </si>
  <si>
    <t>Your registration ID is your Social Security number including leading zeros, but not including dashes.</t>
  </si>
  <si>
    <t>The IVR alias is your Social Security number and must be entered as nine digits with no spaces or dashes.</t>
  </si>
  <si>
    <t>Your IVR alias is your Social Security number including leading zeros, but not including dashes.</t>
  </si>
  <si>
    <t>The IVR Pin is the combination of your month and year of birth and must be entered as six digits (mmyyyy) with no spaces or dashes.</t>
  </si>
  <si>
    <t>Your IVR Pin is your month and year of birth in mmyyyy format.</t>
  </si>
  <si>
    <t>\d{6}</t>
  </si>
  <si>
    <t>\d{8}</t>
  </si>
  <si>
    <t>The registration information you provided has already been successfully registered.  Simply go to the sign in screen and provide your user name and password.</t>
  </si>
  <si>
    <t>The e-mail address you supplied is already registered to another user.  Please select a new e-mail address and try again.</t>
  </si>
  <si>
    <t>The user name you supplied is already registered to another user.  Please select a new user name and try again.  If you have already registered, simply go to the sign in screen and provide your user name and password.</t>
  </si>
  <si>
    <t>The supplied user ID you are attempting to impersonate could not be found in the system.  Please try again.</t>
  </si>
  <si>
    <t>You are attempting to impersonate a user, but your impersonation credentials could not be found in the system.  Please try again.</t>
  </si>
  <si>
    <t>Specifies people who should be granted access to the site.  You can additionally specify allow and deny tokens to add/remove specific security rights (described</t>
  </si>
  <si>
    <t>CalcInputs.iDateBenComm.Label</t>
  </si>
  <si>
    <t>CalcInputs.iShowGlobalVariables.Label</t>
  </si>
  <si>
    <t>Calculation Type passed during employee (MH) site modeling jobs.  The value will be from the MHCalculationTypes lookup table.</t>
  </si>
  <si>
    <t>iMHAUpdateType</t>
  </si>
  <si>
    <t>opt20</t>
  </si>
  <si>
    <t>header3</t>
  </si>
  <si>
    <t>System Assumptions</t>
  </si>
  <si>
    <t>opt21</t>
  </si>
  <si>
    <t>item57</t>
  </si>
  <si>
    <t>opt22</t>
  </si>
  <si>
    <t>item58</t>
  </si>
  <si>
    <t>opt23</t>
  </si>
  <si>
    <t>item59</t>
  </si>
  <si>
    <t>item60</t>
  </si>
  <si>
    <t>item61</t>
  </si>
  <si>
    <t>item62</t>
  </si>
  <si>
    <t>item63</t>
  </si>
  <si>
    <t>The section below is for Terminated Vested Benefit Calculation that are not deMinimus</t>
  </si>
  <si>
    <t>item64</t>
  </si>
  <si>
    <t>Plan1Screen4</t>
  </si>
  <si>
    <t>item65</t>
  </si>
  <si>
    <t>Flat.EmployeeInformation.BasicInformation.Sex</t>
  </si>
  <si>
    <t>Union: Gordonsville</t>
  </si>
  <si>
    <t>CA</t>
  </si>
  <si>
    <t>Cashout</t>
  </si>
  <si>
    <t>15cl</t>
  </si>
  <si>
    <t>15 Year CL</t>
  </si>
  <si>
    <t>Union: Garden Grove (closed)</t>
  </si>
  <si>
    <t>CX</t>
  </si>
  <si>
    <t>CertainPd.Expired</t>
  </si>
  <si>
    <t>1inc</t>
  </si>
  <si>
    <t>Planner Calculations</t>
  </si>
  <si>
    <t>Lookup.MHACalculationTypes.Retire.PageTitle</t>
  </si>
  <si>
    <t>Lookup.MHACalculationTypes.Estimate.PageTitle</t>
  </si>
  <si>
    <t>Lookup.MHACalculationTypes.TermVested.PageTitle</t>
  </si>
  <si>
    <t>Lookup.MHACalculationTypes.Death.PageTitle</t>
  </si>
  <si>
    <t>name for a client.  BTR reserves the right to modify this value if needed.</t>
  </si>
  <si>
    <t>This sheet describes the available functions created by BTR to help Buck developers create valid Excel formulas to represent required expressions to BTR (i.e. min/max</t>
  </si>
  <si>
    <r>
      <t xml:space="preserve">formulas, visibility formulas, site configuration expressions, etc.)  These functions are </t>
    </r>
    <r>
      <rPr>
        <b/>
        <sz val="10"/>
        <rFont val="Arial"/>
        <family val="2"/>
      </rPr>
      <t>in addition</t>
    </r>
    <r>
      <rPr>
        <sz val="10"/>
        <rFont val="Arial"/>
        <family val="2"/>
      </rPr>
      <t xml:space="preserve"> to supported subset of the standard Excel functions.</t>
    </r>
  </si>
  <si>
    <r>
      <t>bool InStrings( string value, ParamArray strings ):</t>
    </r>
    <r>
      <rPr>
        <sz val="10"/>
        <rFont val="Arial"/>
        <family val="2"/>
      </rPr>
      <t xml:space="preserve"> Returns whether or not </t>
    </r>
    <r>
      <rPr>
        <i/>
        <sz val="10"/>
        <rFont val="Arial"/>
        <family val="2"/>
      </rPr>
      <t>value</t>
    </r>
    <r>
      <rPr>
        <sz val="10"/>
        <rFont val="Arial"/>
        <family val="2"/>
      </rPr>
      <t xml:space="preserve">is present in the list of </t>
    </r>
    <r>
      <rPr>
        <i/>
        <sz val="10"/>
        <rFont val="Arial"/>
        <family val="2"/>
      </rPr>
      <t>strings</t>
    </r>
    <r>
      <rPr>
        <sz val="10"/>
        <rFont val="Arial"/>
        <family val="2"/>
      </rPr>
      <t>.  =InStrings("AZI", "Alberta Igloo", "Acme", "AZI" ) would return true.</t>
    </r>
  </si>
  <si>
    <r>
      <t>bool IsNull( string value ):</t>
    </r>
    <r>
      <rPr>
        <sz val="10"/>
        <rFont val="Arial"/>
        <family val="2"/>
      </rPr>
      <t xml:space="preserve"> Returns whether or not </t>
    </r>
    <r>
      <rPr>
        <i/>
        <sz val="10"/>
        <rFont val="Arial"/>
        <family val="2"/>
      </rPr>
      <t>value</t>
    </r>
    <r>
      <rPr>
        <sz val="10"/>
        <rFont val="Arial"/>
        <family val="2"/>
      </rPr>
      <t>is null.  =IsNull( GetProfileString( "name-mi" ) ) would return true if the profile record didn't contain a name-mi value.</t>
    </r>
  </si>
  <si>
    <r>
      <t>double CalcPower( double x, double y ):</t>
    </r>
    <r>
      <rPr>
        <sz val="10"/>
        <rFont val="Arial"/>
        <family val="2"/>
      </rPr>
      <t xml:space="preserve"> Returns x ^ y.</t>
    </r>
  </si>
  <si>
    <t>UTC Offset</t>
  </si>
  <si>
    <t>Calculation Testing Audit</t>
  </si>
  <si>
    <t>Reports.CalculationTestingAudit.Description</t>
  </si>
  <si>
    <t>Excel formatted report containing test runs for everyone in Control group.</t>
  </si>
  <si>
    <t>Reports.CalculationTestingAudit</t>
  </si>
  <si>
    <t>test-calc-ind</t>
  </si>
  <si>
    <t>Testing Calculation Control Indicator</t>
  </si>
  <si>
    <t>Invalid Password</t>
  </si>
  <si>
    <t>The supplied password is invalid.  Please provide a password of at least seven-characters.  Note that the password is case sensitive.</t>
  </si>
  <si>
    <r>
      <t>string ToString( object value ):</t>
    </r>
    <r>
      <rPr>
        <sz val="10"/>
        <rFont val="Arial"/>
        <family val="2"/>
      </rPr>
      <t xml:space="preserve"> Attempts to convert </t>
    </r>
    <r>
      <rPr>
        <i/>
        <sz val="10"/>
        <rFont val="Arial"/>
        <family val="2"/>
      </rPr>
      <t>value</t>
    </r>
    <r>
      <rPr>
        <sz val="10"/>
        <rFont val="Arial"/>
        <family val="2"/>
      </rPr>
      <t xml:space="preserve"> to a string representation of itself (useful if you have a numeric value you want to compare against a string 'key', 1="1" is invalid)</t>
    </r>
  </si>
  <si>
    <r>
      <t>double AgeAtDate( DateTime startDate, DateTime targetDate ):</t>
    </r>
    <r>
      <rPr>
        <sz val="10"/>
        <rFont val="Arial"/>
        <family val="2"/>
      </rPr>
      <t xml:space="preserve"> Returns fractional age from start to target dates.</t>
    </r>
  </si>
  <si>
    <t>Administration</t>
  </si>
  <si>
    <t>SiteSettings.Participant.SiteName</t>
  </si>
  <si>
    <t>SiteSettings.Administration.SiteName</t>
  </si>
  <si>
    <t>Arizona Igloo Retirement Modeling</t>
  </si>
  <si>
    <t>Arizona Igloo Pension Administration</t>
  </si>
  <si>
    <r>
      <t xml:space="preserve">Use this sheet to specify any lookup tables </t>
    </r>
    <r>
      <rPr>
        <b/>
        <i/>
        <sz val="10"/>
        <rFont val="Arial"/>
        <family val="2"/>
      </rPr>
      <t>required</t>
    </r>
    <r>
      <rPr>
        <sz val="10"/>
        <rFont val="Arial"/>
        <family val="2"/>
      </rPr>
      <t xml:space="preserve"> for the data elements specified on </t>
    </r>
    <r>
      <rPr>
        <i/>
        <sz val="10"/>
        <rFont val="Arial"/>
        <family val="2"/>
      </rPr>
      <t>Flat Data</t>
    </r>
    <r>
      <rPr>
        <sz val="10"/>
        <rFont val="Arial"/>
        <family val="2"/>
      </rPr>
      <t xml:space="preserve"> or </t>
    </r>
    <r>
      <rPr>
        <i/>
        <sz val="10"/>
        <rFont val="Arial"/>
        <family val="2"/>
      </rPr>
      <t>Historical Data</t>
    </r>
  </si>
  <si>
    <r>
      <t xml:space="preserve">or input parameters specified on </t>
    </r>
    <r>
      <rPr>
        <i/>
        <sz val="10"/>
        <rFont val="Arial"/>
        <family val="2"/>
      </rPr>
      <t>Calc Inputs</t>
    </r>
    <r>
      <rPr>
        <sz val="10"/>
        <rFont val="Arial"/>
        <family val="2"/>
      </rPr>
      <t>.</t>
    </r>
  </si>
  <si>
    <t>You are attempting to impersonate a user, but you are currently not able to log into the system because you have been locked out due to too many invalid sign in attempts.  Report this immediately if you feel someone else has been attempting to sign in to your account!  Please contact technical support to resolve this issue.</t>
  </si>
  <si>
    <r>
      <t xml:space="preserve">ProjectionLifeOnly (D15) was =ROUND(qSLA/12,2) so </t>
    </r>
    <r>
      <rPr>
        <b/>
        <sz val="10"/>
        <rFont val="Arial"/>
        <family val="2"/>
      </rPr>
      <t>qSLA</t>
    </r>
    <r>
      <rPr>
        <sz val="10"/>
        <rFont val="Arial"/>
        <family val="2"/>
      </rPr>
      <t xml:space="preserve"> needs to be solved for</t>
    </r>
  </si>
  <si>
    <r>
      <t xml:space="preserve">ProjectionEarlyBen (E15) was =ROUND(qSLAAcc/12,2) so </t>
    </r>
    <r>
      <rPr>
        <b/>
        <sz val="10"/>
        <rFont val="Arial"/>
        <family val="2"/>
      </rPr>
      <t>qSLAAcc</t>
    </r>
    <r>
      <rPr>
        <sz val="10"/>
        <rFont val="Arial"/>
        <family val="2"/>
      </rPr>
      <t xml:space="preserve"> needs to be solved for</t>
    </r>
  </si>
  <si>
    <r>
      <t xml:space="preserve">below and moves the DOT and DOR fields into the </t>
    </r>
    <r>
      <rPr>
        <i/>
        <sz val="10"/>
        <rFont val="Arial"/>
        <family val="2"/>
      </rPr>
      <t>Calculated Projection</t>
    </r>
    <r>
      <rPr>
        <sz val="10"/>
        <rFont val="Arial"/>
        <family val="2"/>
      </rPr>
      <t xml:space="preserve"> row so that the 'Life Only' and 'Early Benefit' columns can </t>
    </r>
  </si>
  <si>
    <t>FolderItem</t>
  </si>
  <si>
    <t>FolderItem Type</t>
  </si>
  <si>
    <t>If SheetType = 'FolderItem' and FolderItemType &lt;&gt; "", then the result will be persisted to the BtrProfile data store.</t>
  </si>
  <si>
    <t>FolderItem Replace</t>
  </si>
  <si>
    <t>Keep5</t>
  </si>
  <si>
    <t>Determines lifetime of previously persisted results when persisting this result.</t>
  </si>
  <si>
    <t>Table Descriptions</t>
  </si>
  <si>
    <t>variable:</t>
  </si>
  <si>
    <t xml:space="preserve">This section is used to put 'worker' variables in that you might want to use later for substitution </t>
  </si>
  <si>
    <t>Complete Message</t>
  </si>
  <si>
    <t xml:space="preserve"> </t>
  </si>
  <si>
    <t>Original Goal Variable</t>
  </si>
  <si>
    <t xml:space="preserve"> short. You would need to make up this amount through personal savings.  Assuming a </t>
  </si>
  <si>
    <t>Replacement Ratio</t>
  </si>
  <si>
    <t xml:space="preserve"> annual investment return, you would need to set aside an additional  </t>
  </si>
  <si>
    <t>Total Savings</t>
  </si>
  <si>
    <t>Goal Differential</t>
  </si>
  <si>
    <t>Required Goal Contributions</t>
  </si>
  <si>
    <t>Projected Contribution Balance</t>
  </si>
  <si>
    <t>Proj Cont Bal Annuitized</t>
  </si>
  <si>
    <t>Total Annuity</t>
  </si>
  <si>
    <t>Enter the amount of savings that you'd like to accumulate for retirement. Note, this will be the total of all account based retirement plans offered by the Bank.</t>
  </si>
  <si>
    <t>iGoalRate</t>
  </si>
  <si>
    <t>Enter the percent of your income that you'd like to be able to continue in retirement. For example if you are making $50,000 and want to have $40,000 in retirement income you would enter 80.  Enter as an integer, example, for 80% you would enter 80.</t>
  </si>
  <si>
    <t>iAdditionalDates</t>
  </si>
  <si>
    <t>Checkbox</t>
  </si>
  <si>
    <t>Would you like to model additional retirement ages?</t>
  </si>
  <si>
    <t>iDateDeath</t>
  </si>
  <si>
    <t>iDateBenComm</t>
  </si>
  <si>
    <t>GreaterThanEqual</t>
  </si>
  <si>
    <t>Enter the date of death. Format: mm/dd/yyyy.</t>
  </si>
  <si>
    <t>iDateDisability</t>
  </si>
  <si>
    <t>Date of Disability</t>
  </si>
  <si>
    <t>Enter the date of disability. Format: mm/dd/yyyy.</t>
  </si>
  <si>
    <t>iDateTerm</t>
  </si>
  <si>
    <t>AgeDate</t>
  </si>
  <si>
    <t>Date/Age of Termination</t>
  </si>
  <si>
    <t>the table.</t>
  </si>
  <si>
    <t>Date Birth Field</t>
  </si>
  <si>
    <t>Skip Audit Expression</t>
  </si>
  <si>
    <t>Use this sheet to specify general Plan information to be used throughout MadHatter sites.  The following describes the use of each section.</t>
  </si>
  <si>
    <t>save of the file, a dialog will prompt for information regarding version history that can be used to automatically populate the Version History table.</t>
  </si>
  <si>
    <t>Company Name</t>
  </si>
  <si>
    <t>Enter the age at which you wish to begin receiving benefits from the plan. This should be an integer not less than your age at your next birth and not greater than 70.</t>
  </si>
  <si>
    <t>iVariable</t>
  </si>
  <si>
    <t>List:PlanningVariable</t>
  </si>
  <si>
    <t>In planning for retirement what would you like to vary</t>
  </si>
  <si>
    <t>Select the assumption you would like to vary - the expected rate of return or your savings rate - in order to meet your retirement goal.</t>
  </si>
  <si>
    <t>iGoalVariable</t>
  </si>
  <si>
    <t>List:RetirementGoal</t>
  </si>
  <si>
    <t>What Is Your Retirement Goal?</t>
  </si>
  <si>
    <t>iGoalSavings</t>
  </si>
  <si>
    <t>Enter Your Retirement Goal</t>
  </si>
  <si>
    <t>Basic Data</t>
  </si>
  <si>
    <t>header1</t>
  </si>
  <si>
    <t>text1:2</t>
  </si>
  <si>
    <t>note1</t>
  </si>
  <si>
    <t>The section below is for standard retirement calculations - Not Deminimus Cashouts, Mid Cashouts, TV, or Deaths</t>
  </si>
  <si>
    <t>Section on?</t>
  </si>
  <si>
    <t>Item</t>
  </si>
  <si>
    <t>param1</t>
  </si>
  <si>
    <t>Pay/Salary</t>
  </si>
  <si>
    <t>Plan1Screen1a</t>
  </si>
  <si>
    <t>Plan</t>
  </si>
  <si>
    <t>item2</t>
  </si>
  <si>
    <t>param2</t>
  </si>
  <si>
    <t>Retirement</t>
  </si>
  <si>
    <t>item3</t>
  </si>
  <si>
    <t>Date of Birth of Beneficiary</t>
  </si>
  <si>
    <t>Payment Start</t>
  </si>
  <si>
    <t>Resources</t>
  </si>
  <si>
    <t>Below are variables that should be moved into Basic Info when working with a Severance administration site.</t>
  </si>
  <si>
    <t>Combined Documents and Links table into Resources.</t>
  </si>
  <si>
    <t>Fourth Date/Age of Benefit Commencement</t>
  </si>
  <si>
    <t>iDateBenComm5</t>
  </si>
  <si>
    <t>Fifth Date/Age of Benefit Commencement</t>
  </si>
  <si>
    <t>iCurPay</t>
  </si>
  <si>
    <t>Current Year's Pay</t>
  </si>
  <si>
    <t>Enter your current year's pay in the format of 0.00 - Note this will apply to the current calendar year.</t>
  </si>
  <si>
    <t>iCurHours</t>
  </si>
  <si>
    <t>Current Year's Hours</t>
  </si>
  <si>
    <t>Enter your current year's hours in the format of 0.00 - Note this will apply to the current calendar year.</t>
  </si>
  <si>
    <t>iFinalPay</t>
  </si>
  <si>
    <t>Final Year's Pay</t>
  </si>
  <si>
    <t>Enter the final pay for the year of termination.</t>
  </si>
  <si>
    <t>iFinalHours</t>
  </si>
  <si>
    <t>Final Year's Hours</t>
  </si>
  <si>
    <t>Enter the total hours worked in the year of terminaton.</t>
  </si>
  <si>
    <t>iSalScale</t>
  </si>
  <si>
    <t>Estimated Annual Increase in Pay</t>
  </si>
  <si>
    <t>Enter the rate (without the percent sign) you think your annual salary will increase each year. For example, enter 3.25 for 3.25%.  This value must be between {MinValue}% and {MaxValue}%.</t>
  </si>
  <si>
    <t>iSaveBal</t>
  </si>
  <si>
    <t>CalcInputs.iNameLastBen.Help</t>
  </si>
  <si>
    <t>CalcInputs.iDateBirthBen.Help</t>
  </si>
  <si>
    <t>CalcInputs.iAddress1.Help</t>
  </si>
  <si>
    <t>CalcInputs.iAddress2.Help</t>
  </si>
  <si>
    <t>CalcInputs.iCity.Help</t>
  </si>
  <si>
    <t>CalcInputs.iState.Help</t>
  </si>
  <si>
    <t>CalcInputs.iZip.Help</t>
  </si>
  <si>
    <t>CalcInputs.iDatePPAAccrued.Help</t>
  </si>
  <si>
    <t>CalcInputs.iFAPOver.Help</t>
  </si>
  <si>
    <t>CalcInputs.iVestServiceOver.Help</t>
  </si>
  <si>
    <t>CalcInputs.iBenServiceOver.Help</t>
  </si>
  <si>
    <t>CalcInputs.iAccBenOver.Help</t>
  </si>
  <si>
    <r>
      <t>Last-{N}:</t>
    </r>
    <r>
      <rPr>
        <b/>
        <sz val="10"/>
        <rFont val="Arial"/>
        <family val="2"/>
      </rPr>
      <t xml:space="preserve"> </t>
    </r>
    <r>
      <rPr>
        <sz val="10"/>
        <rFont val="Arial"/>
        <family val="2"/>
      </rPr>
      <t xml:space="preserve">Grabs the data element from the row positioned at Max(Rows-{N}, 0).  For example, </t>
    </r>
    <r>
      <rPr>
        <i/>
        <sz val="10"/>
        <rFont val="Arial"/>
        <family val="2"/>
      </rPr>
      <t>Last-1</t>
    </r>
    <r>
      <rPr>
        <sz val="10"/>
        <rFont val="Arial"/>
        <family val="2"/>
      </rPr>
      <t xml:space="preserve"> would return the data element from the row 2th from last or the first row if less than 2 rows present.</t>
    </r>
  </si>
  <si>
    <r>
      <t>object CopyFormula( Range range )</t>
    </r>
    <r>
      <rPr>
        <sz val="10"/>
        <rFont val="Arial"/>
        <family val="2"/>
      </rPr>
      <t>: For the Spec Sheet to work, all cells that can be used in a formula (i.e. Min/Max columns on Calc Inputs) have to be processed and converted into valid C# code.</t>
    </r>
  </si>
  <si>
    <t>CalcInputs.iDateTerm.MHA.Label</t>
  </si>
  <si>
    <t>CalcInputs.iDateBenComm.MHA.Label</t>
  </si>
  <si>
    <t>CalcInputs.CalculationOverrides</t>
  </si>
  <si>
    <r>
      <t>First</t>
    </r>
    <r>
      <rPr>
        <b/>
        <sz val="10"/>
        <rFont val="Arial"/>
        <family val="2"/>
      </rPr>
      <t xml:space="preserve"> or </t>
    </r>
    <r>
      <rPr>
        <b/>
        <i/>
        <sz val="10"/>
        <rFont val="Arial"/>
        <family val="2"/>
      </rPr>
      <t>Last:</t>
    </r>
    <r>
      <rPr>
        <b/>
        <sz val="10"/>
        <rFont val="Arial"/>
        <family val="2"/>
      </rPr>
      <t xml:space="preserve"> </t>
    </r>
    <r>
      <rPr>
        <sz val="10"/>
        <rFont val="Arial"/>
        <family val="2"/>
      </rPr>
      <t>Grabs the data element from the first or last row.</t>
    </r>
  </si>
  <si>
    <r>
      <t>First+{N}:</t>
    </r>
    <r>
      <rPr>
        <b/>
        <sz val="10"/>
        <rFont val="Arial"/>
        <family val="2"/>
      </rPr>
      <t xml:space="preserve"> </t>
    </r>
    <r>
      <rPr>
        <sz val="10"/>
        <rFont val="Arial"/>
        <family val="2"/>
      </rPr>
      <t xml:space="preserve">Grabs the data element positioned at Max(rows, 1+{N}).  For example, </t>
    </r>
    <r>
      <rPr>
        <i/>
        <sz val="10"/>
        <rFont val="Arial"/>
        <family val="2"/>
      </rPr>
      <t>First+4</t>
    </r>
    <r>
      <rPr>
        <sz val="10"/>
        <rFont val="Arial"/>
        <family val="2"/>
      </rPr>
      <t xml:space="preserve"> would return the data element from the 5th row or the last row if less than 5 rows present.</t>
    </r>
  </si>
  <si>
    <t>Congratulations! Based upon the assumptions you entered it's &lt;&lt;b&gt;&gt;estimated&lt;&lt;/b&gt;&gt; that you do not need to make any changes to achieve your retirement goal.</t>
  </si>
  <si>
    <t>Total Annuity as Pct of Pay</t>
  </si>
  <si>
    <t>navigation</t>
  </si>
  <si>
    <t>contents</t>
  </si>
  <si>
    <t>assumptions</t>
  </si>
  <si>
    <t>payment-options</t>
  </si>
  <si>
    <t>optional-benefits</t>
  </si>
  <si>
    <t>planning-table</t>
  </si>
  <si>
    <t>drilldown-401k</t>
  </si>
  <si>
    <t>imp-notes</t>
  </si>
  <si>
    <t>help-items</t>
  </si>
  <si>
    <t>section</t>
  </si>
  <si>
    <t>link</t>
  </si>
  <si>
    <t>selected</t>
  </si>
  <si>
    <t>divider</t>
  </si>
  <si>
    <t>text2</t>
  </si>
  <si>
    <t>value4</t>
  </si>
  <si>
    <t>drilldown</t>
  </si>
  <si>
    <t>display</t>
  </si>
  <si>
    <t>help</t>
  </si>
  <si>
    <t>tooltip</t>
  </si>
  <si>
    <r>
      <t xml:space="preserve">Rate Table Usage: </t>
    </r>
    <r>
      <rPr>
        <sz val="10"/>
        <rFont val="Arial"/>
        <family val="2"/>
      </rPr>
      <t>You can specify which rate tables a calculation needs by putting in a comma delimitted list of table names (global or client)</t>
    </r>
  </si>
  <si>
    <t>in a column named RateTables.  You need to do this in order for RBL framework to properly pass that table into the CalcEngine job.</t>
  </si>
  <si>
    <t>A19</t>
  </si>
  <si>
    <t>RateTables</t>
  </si>
  <si>
    <t>InterestRates,CbRates</t>
  </si>
  <si>
    <t>If this input is present it will put a 1 if the Test SpreadEngine is being used.</t>
  </si>
  <si>
    <t>iDebugInputNames</t>
  </si>
  <si>
    <t>If this input is present it will just put a | delimited list of all the input names passed into the SE in case you are having a hard time getting the inputs to match up.</t>
  </si>
  <si>
    <t>Sample Data</t>
  </si>
  <si>
    <t>Field</t>
  </si>
  <si>
    <t>Value</t>
  </si>
  <si>
    <t>Client Input Definitions</t>
  </si>
  <si>
    <t>*DO NOT DELETE THIS ROW*</t>
  </si>
  <si>
    <t>Set Input Value</t>
  </si>
  <si>
    <t>Data Default</t>
  </si>
  <si>
    <t>Spin</t>
  </si>
  <si>
    <t>Compare To</t>
  </si>
  <si>
    <t>Compare Operator</t>
  </si>
  <si>
    <t>FDOM</t>
  </si>
  <si>
    <t>Error Message</t>
  </si>
  <si>
    <t>Help Text</t>
  </si>
  <si>
    <t>iRetAge</t>
  </si>
  <si>
    <t>What age do you wish to retire?</t>
  </si>
  <si>
    <t>Flat.PlanInformation.PlanService.SvcMisc2</t>
  </si>
  <si>
    <t>Flat.PlanInformation.PlanService.SvcMisc3</t>
  </si>
  <si>
    <t>Flat.PlanInformation.PlanService.SvcMisc4</t>
  </si>
  <si>
    <t>Flat.PlanInformation.PlanService.SvcMisc5</t>
  </si>
  <si>
    <t>Flat.PlanInformation.PlanBenefits.BenFrz1</t>
  </si>
  <si>
    <t>Flat.PlanInformation.PlanBenefits.BenFrz2</t>
  </si>
  <si>
    <t>Flat.PlanInformation.PlanBenefits.BenFrz3</t>
  </si>
  <si>
    <t>Flat.PlanInformation.PlanBenefits.BenFrz4</t>
  </si>
  <si>
    <t>Historical.BenefitPayableHistory.PayableTo</t>
  </si>
  <si>
    <t>Historical.BeneficiaryInformation.Index</t>
  </si>
  <si>
    <t>Historical.BeneficiaryInformation.NameLast</t>
  </si>
  <si>
    <t>Historical.BeneficiaryInformation.NameFirst</t>
  </si>
  <si>
    <t>Historical.BeneficiaryInformation.NameMi</t>
  </si>
  <si>
    <t>Historical.BeneficiaryInformation.Sex</t>
  </si>
  <si>
    <t>Used during Admin (MHA) site 'calculation' data loads.  Value will be from the MHAUpdateTypes lookup table.</t>
  </si>
  <si>
    <t>iMHABatchType</t>
  </si>
  <si>
    <t>List:MHABatchTypes</t>
  </si>
  <si>
    <t>Select the goal you wish to achieve at retirement and the modeler will display either the rate of return or the savings rate required to meet that goal: Income Replacement Percentage - You can then enter the percentage of pay you hope to have replaced by combined retirement benefits at your selected retirement age. Accumulated Savings - You can then enter the amount you wish to have saved at your selected retirement age. Save a Million Dollars - Can you have a million dollars at retirement?</t>
  </si>
  <si>
    <r>
      <t>string PadLeft( string value, int totalWidth, string paddingChar ):</t>
    </r>
    <r>
      <rPr>
        <sz val="10"/>
        <rFont val="Arial"/>
        <family val="2"/>
      </rPr>
      <t xml:space="preserve"> Similar to C# string.PadLeft() function, this will ensure that a string variable is at least totalWidth in length.  If it is not, it will append</t>
    </r>
  </si>
  <si>
    <t>the appropriate number of paddingChar characters to the left of the string to ensure its width.  This is helpful when you need to zero pad a value when FormatValue() function is not available.</t>
  </si>
  <si>
    <t>Changed RegistrationID formula to use PadLeft because FormatValue wasn't available at this point because it would have been directly passed back to the SQL database and there is no equivalent function to use.</t>
  </si>
  <si>
    <r>
      <t xml:space="preserve">double? GetProfileNumber( string fieldName, string tableName = null, string tableIndex = null, string tablePosition = null ): </t>
    </r>
    <r>
      <rPr>
        <sz val="10"/>
        <rFont val="Arial"/>
        <family val="2"/>
      </rPr>
      <t>Same as GetProfileString() except returns double or null.</t>
    </r>
  </si>
  <si>
    <t>CalcInputs.iCity.Label</t>
  </si>
  <si>
    <t>French: Planner</t>
  </si>
  <si>
    <t>Lookup.MHCalculationTypes.Ppa</t>
  </si>
  <si>
    <t>French: PPA</t>
  </si>
  <si>
    <t>Lookup.MHACalculationTypes.Retire</t>
  </si>
  <si>
    <t>French: Retire</t>
  </si>
  <si>
    <t>Lookup.MHACalculationTypes.Estimate</t>
  </si>
  <si>
    <t>Lookup.MHACalculationTypes.TermVested</t>
  </si>
  <si>
    <t>French: Term Vested</t>
  </si>
  <si>
    <t>Default CalcEngine</t>
  </si>
  <si>
    <t>Default Render Version</t>
  </si>
  <si>
    <t>Default Input Tab</t>
  </si>
  <si>
    <t>Default version for CE back to 1.0</t>
  </si>
  <si>
    <t>Added UTC Offset property for a client to aid in storing the right date/time values when now() expression is used in calculated fields.</t>
  </si>
  <si>
    <t>Registration</t>
  </si>
  <si>
    <t>Welcome to the {SiteName}</t>
  </si>
  <si>
    <t>item35</t>
  </si>
  <si>
    <t>item36</t>
  </si>
  <si>
    <t>item37</t>
  </si>
  <si>
    <t>item38</t>
  </si>
  <si>
    <t>item39</t>
  </si>
  <si>
    <t>note2</t>
  </si>
  <si>
    <t>The section below is for Deminimus Cashouts of Participant</t>
  </si>
  <si>
    <t>item40</t>
  </si>
  <si>
    <t>item41</t>
  </si>
  <si>
    <t>Demin</t>
  </si>
  <si>
    <t>item42</t>
  </si>
  <si>
    <t>Error Message Prefix</t>
  </si>
  <si>
    <t>column set to N, then the table will not be available.  Normally, if a table is not required, it is best to simply remove the</t>
  </si>
  <si>
    <t>table from the sheet, however, if the table is there for documentation purposes or if there is a chance that the table</t>
  </si>
  <si>
    <t>Currently, any dynamic display of Data Lookup Table rows has to be coded specifically by directing BTR in Task Manager</t>
  </si>
  <si>
    <t>on the individual table row's Include column.  All items will either update an existing element if the Key matches, otherwise append.</t>
  </si>
  <si>
    <t>Table</t>
  </si>
  <si>
    <t>FormPayment</t>
  </si>
  <si>
    <t>N</t>
  </si>
  <si>
    <t>Table Include</t>
  </si>
  <si>
    <t>Key</t>
  </si>
  <si>
    <t>AC</t>
  </si>
  <si>
    <t>Active</t>
  </si>
  <si>
    <t>100js</t>
  </si>
  <si>
    <t>100% J&amp;S</t>
  </si>
  <si>
    <t>01</t>
  </si>
  <si>
    <t>Location 01</t>
  </si>
  <si>
    <t>TX</t>
  </si>
  <si>
    <t>Texas Heiroglyphics</t>
  </si>
  <si>
    <t>Salaried and Non Union Hourly Employees</t>
  </si>
  <si>
    <t>U</t>
  </si>
  <si>
    <t>Unknown</t>
  </si>
  <si>
    <t>AP</t>
  </si>
  <si>
    <t>Alternate Payee in Pay Status</t>
  </si>
  <si>
    <t>100pop</t>
  </si>
  <si>
    <t>100% J&amp;S w/POP Up</t>
  </si>
  <si>
    <t>02</t>
  </si>
  <si>
    <t>Location 02</t>
  </si>
  <si>
    <t>AL</t>
  </si>
  <si>
    <t>Alabama Tiki Huts</t>
  </si>
  <si>
    <t>Union: Kalamazoo</t>
  </si>
  <si>
    <t>Sample Remove, N doesn't exist</t>
  </si>
  <si>
    <t>Y/remove</t>
  </si>
  <si>
    <t>AN</t>
  </si>
  <si>
    <t>Alternate Payee in Deferred Status</t>
  </si>
  <si>
    <t>10cer</t>
  </si>
  <si>
    <t>Enter the percentage of your annual pay that you expect to contribute to the 401(k) plan each year. This value must be between {MinValue}% and {MaxValue}%.</t>
  </si>
  <si>
    <t>HR Phone</t>
  </si>
  <si>
    <t>HR Fax Phone</t>
  </si>
  <si>
    <t>dep1</t>
  </si>
  <si>
    <t>dep2</t>
  </si>
  <si>
    <t>FTP Address</t>
  </si>
  <si>
    <t>FTP Username</t>
  </si>
  <si>
    <t>FTP Password</t>
  </si>
  <si>
    <t>PGP Recipients</t>
  </si>
  <si>
    <t>PGP Signing Key</t>
  </si>
  <si>
    <t>PGP Signing Password</t>
  </si>
  <si>
    <t>Current / Previous</t>
  </si>
  <si>
    <t>Reports.StatusCount.AggregateLabel</t>
  </si>
  <si>
    <t>Reports.StatusLocationGrid.AggregateLabel</t>
  </si>
  <si>
    <t>Reports.FlowOfLives.AggregateLabel</t>
  </si>
  <si>
    <r>
      <t xml:space="preserve">historyPosition: </t>
    </r>
    <r>
      <rPr>
        <sz val="10"/>
        <rFont val="Arial"/>
        <family val="2"/>
      </rPr>
      <t xml:space="preserve">If the data element can only be located based on position (i.e. First or Last), then the </t>
    </r>
    <r>
      <rPr>
        <i/>
        <sz val="10"/>
        <rFont val="Arial"/>
        <family val="2"/>
      </rPr>
      <t>Index</t>
    </r>
    <r>
      <rPr>
        <sz val="10"/>
        <rFont val="Arial"/>
        <family val="2"/>
      </rPr>
      <t xml:space="preserve"> column should be ignored and this column should be popluated with one of the following:</t>
    </r>
  </si>
  <si>
    <r>
      <t xml:space="preserve">Historical data is always sorted by Index ascending (using a string sort).  Note that only </t>
    </r>
    <r>
      <rPr>
        <i/>
        <sz val="10"/>
        <rFont val="Arial"/>
        <family val="2"/>
      </rPr>
      <t>historyIndex</t>
    </r>
    <r>
      <rPr>
        <sz val="10"/>
        <rFont val="Arial"/>
        <family val="2"/>
      </rPr>
      <t xml:space="preserve"> </t>
    </r>
    <r>
      <rPr>
        <b/>
        <sz val="10"/>
        <rFont val="Arial"/>
        <family val="2"/>
      </rPr>
      <t>or</t>
    </r>
    <r>
      <rPr>
        <sz val="10"/>
        <rFont val="Arial"/>
        <family val="2"/>
      </rPr>
      <t xml:space="preserve"> </t>
    </r>
    <r>
      <rPr>
        <i/>
        <sz val="10"/>
        <rFont val="Arial"/>
        <family val="2"/>
      </rPr>
      <t>historyPosition</t>
    </r>
    <r>
      <rPr>
        <sz val="10"/>
        <rFont val="Arial"/>
        <family val="2"/>
      </rPr>
      <t xml:space="preserve"> can be used, not both.</t>
    </r>
  </si>
  <si>
    <t>Display Format</t>
  </si>
  <si>
    <r>
      <t>Field Config</t>
    </r>
    <r>
      <rPr>
        <b/>
        <sz val="10"/>
        <rFont val="Arial"/>
        <family val="2"/>
      </rPr>
      <t xml:space="preserve">: </t>
    </r>
    <r>
      <rPr>
        <sz val="10"/>
        <rFont val="Arial"/>
        <family val="2"/>
      </rPr>
      <t xml:space="preserve">Use </t>
    </r>
    <r>
      <rPr>
        <i/>
        <sz val="10"/>
        <rFont val="Arial"/>
        <family val="2"/>
      </rPr>
      <t>GetDataConfig(field, historyType, historyIndex, historyPosition)</t>
    </r>
    <r>
      <rPr>
        <sz val="10"/>
        <rFont val="Arial"/>
        <family val="2"/>
      </rPr>
      <t>function to specify how the default listing field is defined.</t>
    </r>
  </si>
  <si>
    <t>Field Config</t>
  </si>
  <si>
    <t>item18</t>
  </si>
  <si>
    <t>plan-contact-email</t>
  </si>
  <si>
    <t>plan-contact-title</t>
  </si>
  <si>
    <t>item19</t>
  </si>
  <si>
    <t>plan-contact-phone</t>
  </si>
  <si>
    <t>item20</t>
  </si>
  <si>
    <t>Plan1Screen1b</t>
  </si>
  <si>
    <t>item21</t>
  </si>
  <si>
    <t>item22</t>
  </si>
  <si>
    <t>item23</t>
  </si>
  <si>
    <t>header1b</t>
  </si>
  <si>
    <t>item24</t>
  </si>
  <si>
    <t>opt9</t>
  </si>
  <si>
    <t>header4</t>
  </si>
  <si>
    <t>opt10</t>
  </si>
  <si>
    <t>item25</t>
  </si>
  <si>
    <t>opt11</t>
  </si>
  <si>
    <t>item26</t>
  </si>
  <si>
    <t>opt12</t>
  </si>
  <si>
    <t>item27</t>
  </si>
  <si>
    <t>opt13</t>
  </si>
  <si>
    <t>item28</t>
  </si>
  <si>
    <t>opt14</t>
  </si>
  <si>
    <t>item29</t>
  </si>
  <si>
    <t>opt15</t>
  </si>
  <si>
    <t>Final Termination Date</t>
  </si>
  <si>
    <t>Demographic Information</t>
  </si>
  <si>
    <t>address1</t>
  </si>
  <si>
    <t>Address 1</t>
  </si>
  <si>
    <t>address2</t>
  </si>
  <si>
    <t>Address 2</t>
  </si>
  <si>
    <t>city</t>
  </si>
  <si>
    <t>City</t>
  </si>
  <si>
    <t>state</t>
  </si>
  <si>
    <t>State</t>
  </si>
  <si>
    <t>List:State</t>
  </si>
  <si>
    <t>zip</t>
  </si>
  <si>
    <t>Zip Code</t>
  </si>
  <si>
    <t>^\d{5}(-\d{4})?$</t>
  </si>
  <si>
    <t>Beneficiary Information</t>
  </si>
  <si>
    <t>name-last-ben</t>
  </si>
  <si>
    <t>name-first-ben</t>
  </si>
  <si>
    <t>name-mi-ben</t>
  </si>
  <si>
    <t>sex-ben</t>
  </si>
  <si>
    <t>ssn-ben</t>
  </si>
  <si>
    <t>date-birth-ben</t>
  </si>
  <si>
    <t>System Information</t>
  </si>
  <si>
    <t>Batch Indicator</t>
  </si>
  <si>
    <t>Specifies the number of minutes after the last activity date-time stamp for a user account during which the user is considered online.  The default is 30 minutes.</t>
  </si>
  <si>
    <t>Buck Consultants Representative</t>
  </si>
  <si>
    <t>Plan Contact Email</t>
  </si>
  <si>
    <t>onpoint@buckconsultants.com</t>
  </si>
  <si>
    <t>Plan Contact Title</t>
  </si>
  <si>
    <t>Pension Plan Administrator</t>
  </si>
  <si>
    <t>Plan Contact Phone</t>
  </si>
  <si>
    <t>(415) 555-1212</t>
  </si>
  <si>
    <t>Tech Contact</t>
  </si>
  <si>
    <t>Tech Contact Email</t>
  </si>
  <si>
    <t>Tech Contact Phone</t>
  </si>
  <si>
    <t>Participant</t>
  </si>
  <si>
    <t>Rate Tables</t>
  </si>
  <si>
    <t>A9</t>
  </si>
  <si>
    <t>Use this table to add global 'rate' tables that are available to both websites along with RBL Application Servers/CalcEngines.</t>
  </si>
  <si>
    <t>earns</t>
  </si>
  <si>
    <t>Participant Election Form received</t>
  </si>
  <si>
    <t>Final Calculation Done</t>
  </si>
  <si>
    <t>Payment Instructions sent out to Bank</t>
  </si>
  <si>
    <t>Lookup.RetProcStatus.UnusedCalculation</t>
  </si>
  <si>
    <t>French: Unused Calculation</t>
  </si>
  <si>
    <t>Lookup.RetProcStatus.InitialBenefitCalculation</t>
  </si>
  <si>
    <t>French: Initial Benefit Calculation</t>
  </si>
  <si>
    <t>Lookup.RetProcStatus.Estimate</t>
  </si>
  <si>
    <t>French: Estimate</t>
  </si>
  <si>
    <t>Lookup.RetProcStatus.AccruedVestedBenefitCalculation</t>
  </si>
  <si>
    <t>French: Accrued Vested Benefit Calculation</t>
  </si>
  <si>
    <t>10 Year Certain &amp; Life</t>
  </si>
  <si>
    <t>Credited Service at Termination</t>
  </si>
  <si>
    <t>item12</t>
  </si>
  <si>
    <t>opt8</t>
  </si>
  <si>
    <t>N/customize</t>
  </si>
  <si>
    <t>SampleRates</t>
  </si>
  <si>
    <t>(Normally remove this col if using rate tables)</t>
  </si>
  <si>
    <t>MHACalculationTypes:Estimate</t>
  </si>
  <si>
    <t>MHACalculationTypes:Retire</t>
  </si>
  <si>
    <t>MHACalculationTypes:Term Vested</t>
  </si>
  <si>
    <t>MHAUpdateTypes:Custom Batch Process #1</t>
  </si>
  <si>
    <t>MHCalculationTypes:Estimate</t>
  </si>
  <si>
    <t>MHCalculationTypes:Planner</t>
  </si>
  <si>
    <t>MHCalculationTypes:PPA</t>
  </si>
  <si>
    <t>MHCalculationTypes:Retirement</t>
  </si>
  <si>
    <t>&lt;name-first-ben&gt;</t>
  </si>
  <si>
    <t>&lt;name-mi-ben&gt;</t>
  </si>
  <si>
    <t>&lt;sex-ben&gt;</t>
  </si>
  <si>
    <t>&lt;ssn-ben&gt;</t>
  </si>
  <si>
    <t>&lt;date-birth-ben&gt;</t>
  </si>
  <si>
    <t>DataLoadGroupings.Actives</t>
  </si>
  <si>
    <t>Tables</t>
  </si>
  <si>
    <t>&lt;Pay&gt;</t>
  </si>
  <si>
    <t>&lt;Status&gt;</t>
  </si>
  <si>
    <t>Choices</t>
  </si>
  <si>
    <t>&lt;&lt;IrsLimits&gt;&gt;</t>
  </si>
  <si>
    <t>Age</t>
  </si>
  <si>
    <t>Choice</t>
  </si>
  <si>
    <t>id</t>
  </si>
  <si>
    <t>db-annuity</t>
  </si>
  <si>
    <t>dc-cont</t>
  </si>
  <si>
    <t>deferral</t>
  </si>
  <si>
    <t>sal-limit</t>
  </si>
  <si>
    <t>high-comp</t>
  </si>
  <si>
    <t>ss-wage</t>
  </si>
  <si>
    <r>
      <t xml:space="preserve">Note how this table is </t>
    </r>
    <r>
      <rPr>
        <b/>
        <sz val="10"/>
        <rFont val="Arial"/>
        <family val="2"/>
      </rPr>
      <t>2 columns</t>
    </r>
    <r>
      <rPr>
        <sz val="10"/>
        <rFont val="Arial"/>
        <family val="2"/>
      </rPr>
      <t xml:space="preserve"> over from previous table, as well as </t>
    </r>
    <r>
      <rPr>
        <b/>
        <sz val="10"/>
        <rFont val="Arial"/>
        <family val="2"/>
      </rPr>
      <t>1 row</t>
    </r>
    <r>
      <rPr>
        <sz val="10"/>
        <rFont val="Arial"/>
        <family val="2"/>
      </rPr>
      <t xml:space="preserve"> lower to ensure RBL doesn't process</t>
    </r>
  </si>
  <si>
    <t>Retirement Projection Assumptions</t>
  </si>
  <si>
    <t>Retirement Projection Assumptions Formula Changes</t>
  </si>
  <si>
    <t>Today's Date</t>
  </si>
  <si>
    <t>Today's Age</t>
  </si>
  <si>
    <t>Date of Commencement</t>
  </si>
  <si>
    <t>Reports.RecentRetirees</t>
  </si>
  <si>
    <t>Recent Retirees</t>
  </si>
  <si>
    <t>Reports.RecentRetirees.FileName</t>
  </si>
  <si>
    <t>AZI_Recent_Retirees.csv</t>
  </si>
  <si>
    <t>Reports.RecentRetirees.Description</t>
  </si>
  <si>
    <t>Participants changing status to Retired in last period.</t>
  </si>
  <si>
    <t>Reports.CalculationTestingAudit.FileName</t>
  </si>
  <si>
    <t>AZI_Calc_Audit.csv</t>
  </si>
  <si>
    <t>Listing:ListingValuationData</t>
  </si>
  <si>
    <t>Listing:ListingMailingLabels</t>
  </si>
  <si>
    <t>Listing:ListingBatchIndicators</t>
  </si>
  <si>
    <t>Listing:ListingBenefitPayableHistory</t>
  </si>
  <si>
    <t>Gets the minimum number (0-10) of special characters that must be present in a valid password.  The default is 0.</t>
  </si>
  <si>
    <t>Gets the minimum number (0-10) of numeric characters that must be present in a valid password.  The default is 0.</t>
  </si>
  <si>
    <t>Gets the minimum number (0-10) of upper case characters that must be present in a valid password.  The default is 0.</t>
  </si>
  <si>
    <t>Gets the minimum number (0-10) of lower case characters that must be present in a valid password.  The default is 0.</t>
  </si>
  <si>
    <t>Membership Settings (Optional)</t>
  </si>
  <si>
    <t>Application Settings (Required)</t>
  </si>
  <si>
    <t>Gets the specified client used to query the BtrProfile data store.</t>
  </si>
  <si>
    <t>Gets the specified client used to query the BtrMembership data store.</t>
  </si>
  <si>
    <t>The name/title of the site.</t>
  </si>
  <si>
    <t>The 'area' of client site(s) this settings table configures (Participant, Administration, etc.)</t>
  </si>
  <si>
    <t>Gets the client name (i.e. Arizona Igloo, Inc.) to be used for display purposes (i.e. site generated email signatures).</t>
  </si>
  <si>
    <t>Gets the phone number to be used for display purposes (i.e. 'contact us' emails/statements).</t>
  </si>
  <si>
    <t>Gets the whether or not the current site functions as an admin site (meaning the authenticated users are *not* part of the Profile datastore).</t>
  </si>
  <si>
    <t>Frozen Benefit 1</t>
  </si>
  <si>
    <t>Currency</t>
  </si>
  <si>
    <t>15000.00</t>
  </si>
  <si>
    <t>ben-frz2</t>
  </si>
  <si>
    <t>Frozen Benefit 2</t>
  </si>
  <si>
    <t>ben-frz3</t>
  </si>
  <si>
    <t>Frozen Benefit 3</t>
  </si>
  <si>
    <t>ben-frz4</t>
  </si>
  <si>
    <t>Frozen Benefit 4</t>
  </si>
  <si>
    <t>ben-frz5</t>
  </si>
  <si>
    <t>Frozen Benefit 5</t>
  </si>
  <si>
    <t>Historical Data</t>
  </si>
  <si>
    <t xml:space="preserve">This tab describes all data elements describing the data set for the current client.  For display purposes, the order that you specify </t>
  </si>
  <si>
    <t>iIsMiniBatch</t>
  </si>
  <si>
    <t>Lookup.Links.SocialSecurityOnline.Description</t>
  </si>
  <si>
    <t>Lookup.Documents.SummaryPlanDescription</t>
  </si>
  <si>
    <t>Lookup.Documents.SummaryAnnualReport</t>
  </si>
  <si>
    <t>Lookup.Documents.DecisionGuide</t>
  </si>
  <si>
    <t>Lookup.Documents.SummaryPlanDescription.Description</t>
  </si>
  <si>
    <t>CalcInputs.iSaveBal.Label</t>
  </si>
  <si>
    <t>CalcInputs.iReturn.Label</t>
  </si>
  <si>
    <t>CalcInputs.iSaveRate.Label</t>
  </si>
  <si>
    <t>CalcInputs.iNameFirstBen.Label</t>
  </si>
  <si>
    <t>CalcInputs.iNameLastBen.Label</t>
  </si>
  <si>
    <t>CalcInputs.iDateBirthBen.Label</t>
  </si>
  <si>
    <t>CalcInputs.iAddress1.Label</t>
  </si>
  <si>
    <t>CalcInputs.iAddress2.Label</t>
  </si>
  <si>
    <r>
      <t xml:space="preserve">DateTime? GetProfileDateTime( string fieldName, string tableName = null, string tableIndex = null, string tablePosition = null ): </t>
    </r>
    <r>
      <rPr>
        <sz val="10"/>
        <rFont val="Arial"/>
        <family val="2"/>
      </rPr>
      <t>Same as GetProfileString() except returns DateTime or null.</t>
    </r>
  </si>
  <si>
    <t>If a date is returned, it does contain the time portion of the date.</t>
  </si>
  <si>
    <t>DateTime? NewValueDate()</t>
  </si>
  <si>
    <t>however it can be any string combination.  The most common combinations are YYYY, YYYY-MM, YYYY-H, YYYY-Q, or YYYY-MM-DD.</t>
  </si>
  <si>
    <t>BTR Sheet Information</t>
  </si>
  <si>
    <t>Sheet Type</t>
  </si>
  <si>
    <t>Plan Info</t>
  </si>
  <si>
    <t>Description</t>
  </si>
  <si>
    <t xml:space="preserve">This tab describes all historical data tables (data that has recurring data based on specified period).  For display purposes, the order </t>
  </si>
  <si>
    <t xml:space="preserve">that you specify tables this tab is the order that they appear on the site. </t>
  </si>
  <si>
    <t xml:space="preserve">The index column in all tables has to be unique.  In a majority of these samples, the assumed value for an index in simply Year, </t>
  </si>
  <si>
    <t>Historical.StatusByPlanHistory.DateStatus</t>
  </si>
  <si>
    <t>Historical.StatusByPlanHistory.Appendix</t>
  </si>
  <si>
    <t>AZI_Mailing_Labels.csv</t>
  </si>
  <si>
    <t>03</t>
  </si>
  <si>
    <t>04</t>
  </si>
  <si>
    <t>05</t>
  </si>
  <si>
    <t>06</t>
  </si>
  <si>
    <t>07</t>
  </si>
  <si>
    <t>08</t>
  </si>
  <si>
    <t>09</t>
  </si>
  <si>
    <t>10</t>
  </si>
  <si>
    <t>20</t>
  </si>
  <si>
    <t>31</t>
  </si>
  <si>
    <t>32</t>
  </si>
  <si>
    <t>33</t>
  </si>
  <si>
    <t>34</t>
  </si>
  <si>
    <t>35</t>
  </si>
  <si>
    <t>36</t>
  </si>
  <si>
    <t>37</t>
  </si>
  <si>
    <t>Historical.StatusByPlanHistory.Status</t>
  </si>
  <si>
    <t>Historical.PayHistory.Pay.WarningMessage</t>
  </si>
  <si>
    <t>Lookup.Location.01</t>
  </si>
  <si>
    <t>Lookup.Location.02</t>
  </si>
  <si>
    <t>Lookup.Division.TX</t>
  </si>
  <si>
    <t>Lookup.Division.AL</t>
  </si>
  <si>
    <t>Lookup.Appendix.1</t>
  </si>
  <si>
    <t>Lookup.Appendix.2</t>
  </si>
  <si>
    <t>Lookup.Appendix.3</t>
  </si>
  <si>
    <t>Lookup.Appendix.4</t>
  </si>
  <si>
    <t>Lookup.Appendix.5</t>
  </si>
  <si>
    <t>Lookup.Appendix.6</t>
  </si>
  <si>
    <t>Lookup.Appendix.7</t>
  </si>
  <si>
    <t>Lookup.Appendix.8</t>
  </si>
  <si>
    <t>Lookup.Appendix.9</t>
  </si>
  <si>
    <t>Lookup.Appendix.10</t>
  </si>
  <si>
    <t>Lookup.Appendix.20</t>
  </si>
  <si>
    <t>Lookup.Appendix.31</t>
  </si>
  <si>
    <t>Lookup.Appendix.32</t>
  </si>
  <si>
    <t>Lookup.Appendix.33</t>
  </si>
  <si>
    <t>Lookup.Appendix.34</t>
  </si>
  <si>
    <t>Lookup.Appendix.35</t>
  </si>
  <si>
    <t>Lookup.Appendix.36</t>
  </si>
  <si>
    <t>Lookup.Appendix.37</t>
  </si>
  <si>
    <t>Lookup.Sex.U</t>
  </si>
  <si>
    <t>Lookup.SeveranceInfo.SeveranceCompany</t>
  </si>
  <si>
    <t>Lookup.SeveranceInfo.SeverancePlanName</t>
  </si>
  <si>
    <t>Lookup.SeveranceInfo.ParticipantURL</t>
  </si>
  <si>
    <t>Lookup.SeveranceInfo.ParticipantURL.Text</t>
  </si>
  <si>
    <t>Lookup.SeveranceInfo.SeverancePlanName.Text</t>
  </si>
  <si>
    <t>Lookup.Links.SocialSecurityOnline.Link</t>
  </si>
  <si>
    <t>Lookup.Links.eActuary</t>
  </si>
  <si>
    <t>Lookup.Links.eActuary.Link</t>
  </si>
  <si>
    <t>CalcInputs.BeneficiaryInformation</t>
  </si>
  <si>
    <t>CalcInputs.CalculationParameters</t>
  </si>
  <si>
    <t>CalcInputs.DemographicInformation</t>
  </si>
  <si>
    <r>
      <t xml:space="preserve">with the same name to replace the default functionality.  If you wish to </t>
    </r>
    <r>
      <rPr>
        <i/>
        <sz val="10"/>
        <rFont val="Arial"/>
        <family val="2"/>
      </rPr>
      <t>customize</t>
    </r>
    <r>
      <rPr>
        <sz val="10"/>
        <rFont val="Arial"/>
        <family val="2"/>
      </rPr>
      <t xml:space="preserve"> the behavior of a global table, you can </t>
    </r>
  </si>
  <si>
    <r>
      <t xml:space="preserve">also use the </t>
    </r>
    <r>
      <rPr>
        <i/>
        <sz val="10"/>
        <rFont val="Arial"/>
        <family val="2"/>
      </rPr>
      <t>/customize</t>
    </r>
    <r>
      <rPr>
        <sz val="10"/>
        <rFont val="Arial"/>
        <family val="2"/>
      </rPr>
      <t xml:space="preserve"> flag in the </t>
    </r>
    <r>
      <rPr>
        <i/>
        <sz val="10"/>
        <rFont val="Arial"/>
        <family val="2"/>
      </rPr>
      <t xml:space="preserve">Table Include </t>
    </r>
    <r>
      <rPr>
        <sz val="10"/>
        <rFont val="Arial"/>
        <family val="2"/>
      </rPr>
      <t xml:space="preserve">value (i.e. Y/customize) in conjunction with the </t>
    </r>
    <r>
      <rPr>
        <i/>
        <sz val="10"/>
        <rFont val="Arial"/>
        <family val="2"/>
      </rPr>
      <t>/remove</t>
    </r>
    <r>
      <rPr>
        <sz val="10"/>
        <rFont val="Arial"/>
        <family val="2"/>
      </rPr>
      <t xml:space="preserve"> flag </t>
    </r>
  </si>
  <si>
    <r>
      <t xml:space="preserve">Use this sheet to </t>
    </r>
    <r>
      <rPr>
        <b/>
        <i/>
        <sz val="10"/>
        <rFont val="Arial"/>
        <family val="2"/>
      </rPr>
      <t>modify</t>
    </r>
    <r>
      <rPr>
        <sz val="10"/>
        <rFont val="Arial"/>
        <family val="2"/>
      </rPr>
      <t xml:space="preserve"> (no additions/deletions should be necessary) all lookup tables </t>
    </r>
    <r>
      <rPr>
        <b/>
        <i/>
        <sz val="10"/>
        <rFont val="Arial"/>
        <family val="2"/>
      </rPr>
      <t>required</t>
    </r>
    <r>
      <rPr>
        <sz val="10"/>
        <rFont val="Arial"/>
        <family val="2"/>
      </rPr>
      <t xml:space="preserve"> by the system.</t>
    </r>
  </si>
  <si>
    <r>
      <t>Static</t>
    </r>
    <r>
      <rPr>
        <sz val="10"/>
        <rFont val="Arial"/>
        <family val="2"/>
      </rPr>
      <t xml:space="preserve">: Setting the </t>
    </r>
    <r>
      <rPr>
        <i/>
        <sz val="10"/>
        <rFont val="Arial"/>
        <family val="2"/>
      </rPr>
      <t>Include</t>
    </r>
    <r>
      <rPr>
        <sz val="10"/>
        <rFont val="Arial"/>
        <family val="2"/>
      </rPr>
      <t xml:space="preserve"> column to </t>
    </r>
    <r>
      <rPr>
        <b/>
        <i/>
        <sz val="10"/>
        <rFont val="Arial"/>
        <family val="2"/>
      </rPr>
      <t>N</t>
    </r>
    <r>
      <rPr>
        <sz val="10"/>
        <rFont val="Arial"/>
        <family val="2"/>
      </rPr>
      <t xml:space="preserve"> will force the row to be ignored.</t>
    </r>
  </si>
  <si>
    <r>
      <t xml:space="preserve">profileSelected: </t>
    </r>
    <r>
      <rPr>
        <sz val="10"/>
        <rFont val="Arial"/>
        <family val="2"/>
      </rPr>
      <t>Whether or not a participant is currently 'selected' on the MHA system.</t>
    </r>
  </si>
  <si>
    <r>
      <t>Note:</t>
    </r>
    <r>
      <rPr>
        <sz val="10"/>
        <rFont val="Arial"/>
        <family val="2"/>
      </rPr>
      <t xml:space="preserve"> To see a description for the use of each table supplied below, you can hover over the name of the table and read the comment.</t>
    </r>
  </si>
  <si>
    <t>RBL Framework™ Add-In Utility Version History</t>
  </si>
  <si>
    <t>Valid Field Types [Calculated]</t>
  </si>
  <si>
    <t>DateTime</t>
  </si>
  <si>
    <t>Worksheet name</t>
  </si>
  <si>
    <t>item34</t>
  </si>
  <si>
    <t>RetProcStatus</t>
  </si>
  <si>
    <t>Unused Calculation</t>
  </si>
  <si>
    <t>Initial Benefit Calculation</t>
  </si>
  <si>
    <t>Estimate</t>
  </si>
  <si>
    <t>Accrued Vested Benefit Calculation</t>
  </si>
  <si>
    <t>Benefit Calculation reviewed and approved</t>
  </si>
  <si>
    <t>Package sent out to participant</t>
  </si>
  <si>
    <t>Letter sent out to participant Non Vested</t>
  </si>
  <si>
    <t>Letter sent out to participant Terminated Vested</t>
  </si>
  <si>
    <t>Package undelivered due to invalid address</t>
  </si>
  <si>
    <t>Pre-Tax</t>
  </si>
  <si>
    <t>Post-Tax</t>
  </si>
  <si>
    <t>in4</t>
  </si>
  <si>
    <t>cur-pay</t>
  </si>
  <si>
    <t>ca100</t>
  </si>
  <si>
    <t>ben2</t>
  </si>
  <si>
    <t>d1</t>
  </si>
  <si>
    <t>Pension Plan</t>
  </si>
  <si>
    <t>RetGrowth</t>
  </si>
  <si>
    <t>ca75</t>
  </si>
  <si>
    <t>ben3</t>
  </si>
  <si>
    <t>d2</t>
  </si>
  <si>
    <t>Savings - Current Balance</t>
  </si>
  <si>
    <t>Annuity Values</t>
  </si>
  <si>
    <t>ProjectedIncome</t>
  </si>
  <si>
    <t>date-bc</t>
  </si>
  <si>
    <t>ca50</t>
  </si>
  <si>
    <t>ben4</t>
  </si>
  <si>
    <t>total</t>
  </si>
  <si>
    <t>Total</t>
  </si>
  <si>
    <t>d3</t>
  </si>
  <si>
    <t>Savings - Future Company Match</t>
  </si>
  <si>
    <r>
      <t>Date Birth Field:</t>
    </r>
    <r>
      <rPr>
        <b/>
        <sz val="10"/>
        <rFont val="Arial"/>
        <family val="2"/>
      </rPr>
      <t xml:space="preserve"> </t>
    </r>
    <r>
      <rPr>
        <sz val="10"/>
        <rFont val="Arial"/>
        <family val="2"/>
      </rPr>
      <t xml:space="preserve">By default, a data element that is the date of birth for participant to be used in any formulas to calculate a participants age, normally date-birth.  You can however specify any date field (i.e. an </t>
    </r>
    <r>
      <rPr>
        <i/>
        <sz val="10"/>
        <rFont val="Arial"/>
        <family val="2"/>
      </rPr>
      <t>dob</t>
    </r>
    <r>
      <rPr>
        <sz val="10"/>
        <rFont val="Arial"/>
        <family val="2"/>
      </rPr>
      <t xml:space="preserve"> or something).</t>
    </r>
  </si>
  <si>
    <t>Use 'Benefit Payable' table when the plan needs to track retirement payments.  Note that the Index needs to be padded 3 digits on loads.</t>
  </si>
  <si>
    <t>Beneficiary</t>
  </si>
  <si>
    <t>StatusPlan1</t>
  </si>
  <si>
    <t>Status By Plan Table</t>
  </si>
  <si>
    <t>Status for Plan 1</t>
  </si>
  <si>
    <t>Sample status tables that share the same layout as well as having calculated index formula</t>
  </si>
  <si>
    <t>StatusPlan2</t>
  </si>
  <si>
    <t>Flat.PlanInformation.PlanDates.DateAhire</t>
  </si>
  <si>
    <t>Flat.PlanInformation.PlanDates.DateEntry</t>
  </si>
  <si>
    <t>Flat.PlanInformation.PlanDates.DateVest</t>
  </si>
  <si>
    <t>Flat.PlanInformation.PlanDates.DateNrd</t>
  </si>
  <si>
    <t>Flat.PlanInformation.PlanDates.DateErd</t>
  </si>
  <si>
    <t>Flat.PlanInformation.PlanService.SvcBen</t>
  </si>
  <si>
    <t>Flat.PlanInformation.PlanService.SvcVest</t>
  </si>
  <si>
    <t>Flat.PlanInformation.PlanService.SvcMisc1</t>
  </si>
  <si>
    <t>Site Settings</t>
  </si>
  <si>
    <r>
      <t xml:space="preserve">By default, a data element configured for a </t>
    </r>
    <r>
      <rPr>
        <i/>
        <sz val="10"/>
        <rFont val="Arial"/>
        <family val="2"/>
      </rPr>
      <t>listing configuration column</t>
    </r>
    <r>
      <rPr>
        <sz val="10"/>
        <rFont val="Arial"/>
        <family val="2"/>
      </rPr>
      <t xml:space="preserve"> (Listing:{ID}) will use the element name as the header.</t>
    </r>
  </si>
  <si>
    <r>
      <t>Y</t>
    </r>
    <r>
      <rPr>
        <sz val="10"/>
        <rFont val="Arial"/>
        <family val="2"/>
      </rPr>
      <t xml:space="preserve"> - Only supported if the listing has </t>
    </r>
    <r>
      <rPr>
        <i/>
        <sz val="10"/>
        <rFont val="Arial"/>
        <family val="2"/>
      </rPr>
      <t>Row Based History Dump</t>
    </r>
    <r>
      <rPr>
        <sz val="10"/>
        <rFont val="Arial"/>
        <family val="2"/>
      </rPr>
      <t xml:space="preserve"> configured on the Reports tab or on the </t>
    </r>
    <r>
      <rPr>
        <i/>
        <sz val="10"/>
        <rFont val="Arial"/>
        <family val="2"/>
      </rPr>
      <t>index</t>
    </r>
    <r>
      <rPr>
        <sz val="10"/>
        <rFont val="Arial"/>
        <family val="2"/>
      </rPr>
      <t xml:space="preserve"> column.  </t>
    </r>
    <r>
      <rPr>
        <b/>
        <sz val="10"/>
        <rFont val="Arial"/>
        <family val="2"/>
      </rPr>
      <t>Note</t>
    </r>
    <r>
      <rPr>
        <sz val="10"/>
        <rFont val="Arial"/>
        <family val="2"/>
      </rPr>
      <t>: Y is the only</t>
    </r>
  </si>
  <si>
    <r>
      <t xml:space="preserve">Y/Last </t>
    </r>
    <r>
      <rPr>
        <sz val="10"/>
        <rFont val="Arial"/>
        <family val="2"/>
      </rPr>
      <t>- Return the data element from the last row.</t>
    </r>
  </si>
  <si>
    <t>The sum of the participant's Opening Account Balance, Deposit Credits (based on years of service) and Investment Credits</t>
  </si>
  <si>
    <t>estimate</t>
  </si>
  <si>
    <t>retire</t>
  </si>
  <si>
    <t>bp1</t>
  </si>
  <si>
    <t>Custom Batch Process #1</t>
  </si>
  <si>
    <t>a</t>
  </si>
  <si>
    <t>Adhoc Report</t>
  </si>
  <si>
    <t>All</t>
  </si>
  <si>
    <t>Plan Sponsor</t>
  </si>
  <si>
    <t>Arizona Igloo, Inc.</t>
  </si>
  <si>
    <t>Severance Plan Name</t>
  </si>
  <si>
    <t>AZI SUB Plan</t>
  </si>
  <si>
    <t>Social Security Online</t>
  </si>
  <si>
    <t>http://www.ssa.gov</t>
  </si>
  <si>
    <t>Estimate Letter</t>
  </si>
  <si>
    <t>Retirement Packet</t>
  </si>
  <si>
    <t>Term Vested Letter</t>
  </si>
  <si>
    <t>Death Benefit Letter</t>
  </si>
  <si>
    <t>Cash Out Letter</t>
  </si>
  <si>
    <t>Estimate.doc</t>
  </si>
  <si>
    <t>Retirement.doc</t>
  </si>
  <si>
    <t>TermVested.doc</t>
  </si>
  <si>
    <t>Death.doc</t>
  </si>
  <si>
    <t>CashOut.doc</t>
  </si>
  <si>
    <t>document-type</t>
  </si>
  <si>
    <t>word-auto-bookmarks</t>
  </si>
  <si>
    <t>Specifies the name of the encryption algorithm that is used to hash password values.  The default is SHA1 and any client migration that was originally coded against a framework less than 6.0 and used a Hash algorithm on their passwords needs to use SHA1 to be compatible.</t>
  </si>
  <si>
    <t>Max Invalid Password Attempts</t>
  </si>
  <si>
    <t>Gets the number of invalid password or password-answer attempts allowed before the membership user is locked out.  The default is 10.</t>
  </si>
  <si>
    <t>Password Attempt Window</t>
  </si>
  <si>
    <t>Gets the number of minutes in which a maximum number of invalid password or password-answer attempts are allowed before the membership user is locked out.  The default is 10 minutes.</t>
  </si>
  <si>
    <t>Gets the number of days (1-144) for the password expiration feature.  The default is 72.</t>
  </si>
  <si>
    <t>Force Password Expiration</t>
  </si>
  <si>
    <t>Gets a value indicating whether the password should expire automatically every PasswordExpirationDays period.  The default is false.</t>
  </si>
  <si>
    <t>Gets a value indicating whether the registration process requires the user to accept an agreement before continuing.  The default is true.</t>
  </si>
  <si>
    <t>Gets a value indicating whether the BTR membership provider is configured to allow users to reset their passwords.  The default is true.</t>
  </si>
  <si>
    <t>French: Death</t>
  </si>
  <si>
    <t>Lookup.MHACalculationTypes.Disability</t>
  </si>
  <si>
    <t>French: Disability</t>
  </si>
  <si>
    <t>RetProcBenType</t>
  </si>
  <si>
    <t>Lookup.RetProcBenType.LumpSum</t>
  </si>
  <si>
    <t>French: Lump Sum</t>
  </si>
  <si>
    <t>item30</t>
  </si>
  <si>
    <t>opt16</t>
  </si>
  <si>
    <t>item31</t>
  </si>
  <si>
    <t>item32</t>
  </si>
  <si>
    <t>item33</t>
  </si>
  <si>
    <t>CalcInputs.iDateDisability.Help</t>
  </si>
  <si>
    <t>CalcInputs.iDateTerm.Help</t>
  </si>
  <si>
    <t>CalcInputs.iDateBenComm.Help</t>
  </si>
  <si>
    <t>CalcInputs.iDateTerm2.Help</t>
  </si>
  <si>
    <t>CalcInputs.iDateTerm3.Help</t>
  </si>
  <si>
    <t>CalcInputs.iDateTerm4.Help</t>
  </si>
  <si>
    <t>CalcInputs.iDateTerm5.Help</t>
  </si>
  <si>
    <t>CalcInputs.iDateBenComm2.Help</t>
  </si>
  <si>
    <t>CalcInputs.iDateBenComm3.Help</t>
  </si>
  <si>
    <t>CalcInputs.iDateBenComm4.Help</t>
  </si>
  <si>
    <t>CalcInputs.iDateBenComm5.Help</t>
  </si>
  <si>
    <t>CalcInputs.iCurPay.Help</t>
  </si>
  <si>
    <t>CalcInputs.iCurHours.Help</t>
  </si>
  <si>
    <t>CalcInputs.iFinalPay.Help</t>
  </si>
  <si>
    <t>CalcInputs.iFinalHours.Help</t>
  </si>
  <si>
    <t>CalcInputs.iSalScale.Help</t>
  </si>
  <si>
    <t>CalcInputs.iSaveBal.Help</t>
  </si>
  <si>
    <t>CalcInputs.iReturn.Help</t>
  </si>
  <si>
    <t>CalcInputs.iSaveRate.Help</t>
  </si>
  <si>
    <t>CalcInputs.iNameFirstBen.Help</t>
  </si>
  <si>
    <t>Table is optional and allows SE to control any additional validation/logic not performed by website.  If any rows in this table are exported (on=1) then no results will be displayed and the errors will be displayed on the site.</t>
  </si>
  <si>
    <t>warnings:</t>
  </si>
  <si>
    <t>Lookup.Status.CX</t>
  </si>
  <si>
    <t>Lookup.Status.DE</t>
  </si>
  <si>
    <t>Lookup.Status.LT</t>
  </si>
  <si>
    <t>Lookup.Status.LV</t>
  </si>
  <si>
    <t>Lookup.Status.NP</t>
  </si>
  <si>
    <t>Lookup.Status.NV</t>
  </si>
  <si>
    <t>Lookup.Status.XC</t>
  </si>
  <si>
    <t>Lookup.Status.RE</t>
  </si>
  <si>
    <t>Lookup.Status.SV</t>
  </si>
  <si>
    <t>Lookup.Status.TR</t>
  </si>
  <si>
    <t>Lookup.Status.XA</t>
  </si>
  <si>
    <t>Lookup.Status.XO</t>
  </si>
  <si>
    <t>Lookup.FormPayment.100js</t>
  </si>
  <si>
    <t>Lookup.FormPayment.100pop</t>
  </si>
  <si>
    <t>Lookup.FormPayment.10cer</t>
  </si>
  <si>
    <t>Lookup.FormPayment.10cl</t>
  </si>
  <si>
    <t>Lookup.FormPayment.15cer</t>
  </si>
  <si>
    <t>Lookup.FormPayment.15cl</t>
  </si>
  <si>
    <t>Lookup.FormPayment.1inc</t>
  </si>
  <si>
    <t>Lookup.FormPayment.20cer</t>
  </si>
  <si>
    <t>Lookup.FormPayment.20cl</t>
  </si>
  <si>
    <t>Lookup.FormPayment.25js</t>
  </si>
  <si>
    <t>Lookup.FormPayment.25pop</t>
  </si>
  <si>
    <t>Lookup.FormPayment.2inc</t>
  </si>
  <si>
    <t>Lookup.FormPayment.3inc</t>
  </si>
  <si>
    <t>Lookup.FormPayment.4inc</t>
  </si>
  <si>
    <t>Lookup.FormPayment.50js</t>
  </si>
  <si>
    <t>Lookup.FormPayment.50jc</t>
  </si>
  <si>
    <t>Lookup.FormPayment.50pop</t>
  </si>
  <si>
    <t>Lookup.FormPayment.5cer</t>
  </si>
  <si>
    <t>Lookup.FormPayment.5cl</t>
  </si>
  <si>
    <t>Lookup.FormPayment.5inc</t>
  </si>
  <si>
    <t>Lookup.FormPayment.66js</t>
  </si>
  <si>
    <t>Profile Display Expression</t>
  </si>
  <si>
    <t>Validation RegEx</t>
  </si>
  <si>
    <t>Validation RegEx Error Type</t>
  </si>
  <si>
    <t>Warning Expression</t>
  </si>
  <si>
    <t>Documents/Sample_SPD.pdf</t>
  </si>
  <si>
    <t>Documents/Sample_SAR.pdf</t>
  </si>
  <si>
    <t>Documents/decision_guide.pdf</t>
  </si>
  <si>
    <t>Fixed format of document urls in Resources table.</t>
  </si>
  <si>
    <t>The ProcessWorkbook() macro projects retirement for 10 ages in addition to the actual inputs.  It loops through each of the ages</t>
  </si>
  <si>
    <t>calculate, then those values are moved down into their corresponding columns for age being calculated.</t>
  </si>
  <si>
    <t>Lifetime Annuity (Monthly)</t>
  </si>
  <si>
    <t>Custom Projection 1</t>
  </si>
  <si>
    <t>Custom Projection 2</t>
  </si>
  <si>
    <t>Calculated Projection Row</t>
  </si>
  <si>
    <t>Participant URL</t>
  </si>
  <si>
    <t>Decision Guide</t>
  </si>
  <si>
    <t>Years of Service</t>
  </si>
  <si>
    <t>Plan Years with at least 1000 hours worked</t>
  </si>
  <si>
    <t>planner</t>
  </si>
  <si>
    <t>termvested</t>
  </si>
  <si>
    <t>current</t>
  </si>
  <si>
    <t>Current Participant</t>
  </si>
  <si>
    <t>Plan Number</t>
  </si>
  <si>
    <t>001</t>
  </si>
  <si>
    <t>Age 65</t>
  </si>
  <si>
    <t>ppa</t>
  </si>
  <si>
    <t>death</t>
  </si>
  <si>
    <t>Effective Date</t>
  </si>
  <si>
    <t>disability</t>
  </si>
  <si>
    <t>Plan Contact</t>
  </si>
  <si>
    <t>Estimated Annual Return on 401(k) Account</t>
  </si>
  <si>
    <t>Use 'Employment History' table when the plan needs to track historical hire and termination dates.  If plan needs only hire date, or adjusted hire date, no need for this table.</t>
  </si>
  <si>
    <t>BenPay</t>
  </si>
  <si>
    <t>BenPay Table</t>
  </si>
  <si>
    <t>Benefit Payable History</t>
  </si>
  <si>
    <r>
      <t>Controling Availability of Reports</t>
    </r>
    <r>
      <rPr>
        <sz val="10"/>
        <rFont val="Arial"/>
        <family val="2"/>
      </rPr>
      <t xml:space="preserve">: You can control disable a report by placing a </t>
    </r>
    <r>
      <rPr>
        <b/>
        <i/>
        <sz val="10"/>
        <rFont val="Arial"/>
        <family val="2"/>
      </rPr>
      <t>N</t>
    </r>
    <r>
      <rPr>
        <sz val="10"/>
        <rFont val="Arial"/>
        <family val="2"/>
      </rPr>
      <t xml:space="preserve"> inside the </t>
    </r>
    <r>
      <rPr>
        <i/>
        <sz val="10"/>
        <rFont val="Arial"/>
        <family val="2"/>
      </rPr>
      <t>Include</t>
    </r>
    <r>
      <rPr>
        <sz val="10"/>
        <rFont val="Arial"/>
        <family val="2"/>
      </rPr>
      <t xml:space="preserve"> column.</t>
    </r>
  </si>
  <si>
    <r>
      <t>Note:</t>
    </r>
    <r>
      <rPr>
        <sz val="10"/>
        <rFont val="Arial"/>
        <family val="2"/>
      </rPr>
      <t xml:space="preserve"> To see a description for the use of each column supplied below, you can hover over the column name and read the comment.</t>
    </r>
  </si>
  <si>
    <r>
      <t xml:space="preserve">See the </t>
    </r>
    <r>
      <rPr>
        <i/>
        <sz val="10"/>
        <rFont val="Arial"/>
        <family val="2"/>
      </rPr>
      <t>Culture Names and Identifiers</t>
    </r>
    <r>
      <rPr>
        <sz val="10"/>
        <rFont val="Arial"/>
        <family val="2"/>
      </rPr>
      <t xml:space="preserve"> section at http://technet.microsoft.com/en-us/library/system.globalization.cultureinfo(VS.80).aspx for</t>
    </r>
  </si>
  <si>
    <t>LT</t>
  </si>
  <si>
    <t>Disabled</t>
  </si>
  <si>
    <t>20cl</t>
  </si>
  <si>
    <t>20 Year CL</t>
  </si>
  <si>
    <t>Union:GCC/IBT</t>
  </si>
  <si>
    <t>LV</t>
  </si>
  <si>
    <t>Leave</t>
  </si>
  <si>
    <t>25js</t>
  </si>
  <si>
    <t>25% J&amp;S</t>
  </si>
  <si>
    <t>Benefit earned under prior Universal Packaging Corporation Pension Plan</t>
  </si>
  <si>
    <t>NP</t>
  </si>
  <si>
    <t>Non Participant</t>
  </si>
  <si>
    <t>25pop</t>
  </si>
  <si>
    <t>25% J&amp;S w/POP Up</t>
  </si>
  <si>
    <t>N/A</t>
  </si>
  <si>
    <t>NV</t>
  </si>
  <si>
    <t>Non Vested Term</t>
  </si>
  <si>
    <t>2inc</t>
  </si>
  <si>
    <t>2% Increasing Annuity</t>
  </si>
  <si>
    <t>Bakersfield</t>
  </si>
  <si>
    <t>XC</t>
  </si>
  <si>
    <t>Not Eligible</t>
  </si>
  <si>
    <t>3inc</t>
  </si>
  <si>
    <t>3% Increasing Annuity</t>
  </si>
  <si>
    <t>Cincinnati</t>
  </si>
  <si>
    <t>RE</t>
  </si>
  <si>
    <t>Retiree</t>
  </si>
  <si>
    <t>4inc</t>
  </si>
  <si>
    <t>4% Increasing Annuity</t>
  </si>
  <si>
    <t>Clinton</t>
  </si>
  <si>
    <t>SV</t>
  </si>
  <si>
    <t>Severance</t>
  </si>
  <si>
    <t>50js</t>
  </si>
  <si>
    <t>50% J&amp;S</t>
  </si>
  <si>
    <t>Fort Atkinson</t>
  </si>
  <si>
    <t>TR</t>
  </si>
  <si>
    <t>Terminated Vested</t>
  </si>
  <si>
    <t>{0:c0}</t>
  </si>
  <si>
    <t>{0:c2}</t>
  </si>
  <si>
    <r>
      <t>Y/First</t>
    </r>
    <r>
      <rPr>
        <sz val="10"/>
        <rFont val="Arial"/>
        <family val="2"/>
      </rPr>
      <t xml:space="preserve"> - Return the data element from the first row.</t>
    </r>
  </si>
  <si>
    <r>
      <t>Y/Last:N</t>
    </r>
    <r>
      <rPr>
        <sz val="10"/>
        <rFont val="Arial"/>
        <family val="2"/>
      </rPr>
      <t xml:space="preserve"> - Return the data element from the last </t>
    </r>
    <r>
      <rPr>
        <i/>
        <sz val="10"/>
        <rFont val="Arial"/>
        <family val="2"/>
      </rPr>
      <t>N</t>
    </r>
    <r>
      <rPr>
        <sz val="10"/>
        <rFont val="Arial"/>
        <family val="2"/>
      </rPr>
      <t xml:space="preserve"> rows (one column per row).</t>
    </r>
  </si>
  <si>
    <r>
      <t>Y/First:N</t>
    </r>
    <r>
      <rPr>
        <sz val="10"/>
        <rFont val="Arial"/>
        <family val="2"/>
      </rPr>
      <t xml:space="preserve"> - Return the data element from the first </t>
    </r>
    <r>
      <rPr>
        <i/>
        <sz val="10"/>
        <rFont val="Arial"/>
        <family val="2"/>
      </rPr>
      <t>N</t>
    </r>
    <r>
      <rPr>
        <sz val="10"/>
        <rFont val="Arial"/>
        <family val="2"/>
      </rPr>
      <t xml:space="preserve"> rows.</t>
    </r>
  </si>
  <si>
    <r>
      <t>Y/All</t>
    </r>
    <r>
      <rPr>
        <sz val="10"/>
        <rFont val="Arial"/>
        <family val="2"/>
      </rPr>
      <t xml:space="preserve"> - Returns the data element from </t>
    </r>
    <r>
      <rPr>
        <i/>
        <sz val="10"/>
        <rFont val="Arial"/>
        <family val="2"/>
      </rPr>
      <t>all</t>
    </r>
    <r>
      <rPr>
        <sz val="10"/>
        <rFont val="Arial"/>
        <family val="2"/>
      </rPr>
      <t xml:space="preserve"> rows.  Note, with Historical Data that has several </t>
    </r>
    <r>
      <rPr>
        <i/>
        <sz val="10"/>
        <rFont val="Arial"/>
        <family val="2"/>
      </rPr>
      <t>distinct</t>
    </r>
    <r>
      <rPr>
        <sz val="10"/>
        <rFont val="Arial"/>
        <family val="2"/>
      </rPr>
      <t xml:space="preserve"> indexes across the data population, you</t>
    </r>
  </si>
  <si>
    <r>
      <t xml:space="preserve">When using the </t>
    </r>
    <r>
      <rPr>
        <i/>
        <sz val="10"/>
        <rFont val="Arial"/>
        <family val="2"/>
      </rPr>
      <t>Last</t>
    </r>
    <r>
      <rPr>
        <sz val="10"/>
        <rFont val="Arial"/>
        <family val="2"/>
      </rPr>
      <t xml:space="preserve"> syntax, the names will be:</t>
    </r>
  </si>
  <si>
    <r>
      <t xml:space="preserve">When using the </t>
    </r>
    <r>
      <rPr>
        <i/>
        <sz val="10"/>
        <rFont val="Arial"/>
        <family val="2"/>
      </rPr>
      <t>First</t>
    </r>
    <r>
      <rPr>
        <sz val="10"/>
        <rFont val="Arial"/>
        <family val="2"/>
      </rPr>
      <t xml:space="preserve"> or </t>
    </r>
    <r>
      <rPr>
        <i/>
        <sz val="10"/>
        <rFont val="Arial"/>
        <family val="2"/>
      </rPr>
      <t>All</t>
    </r>
    <r>
      <rPr>
        <sz val="10"/>
        <rFont val="Arial"/>
        <family val="2"/>
      </rPr>
      <t xml:space="preserve"> syntax, the names will be:</t>
    </r>
  </si>
  <si>
    <r>
      <t>string</t>
    </r>
    <r>
      <rPr>
        <sz val="10"/>
        <rFont val="Arial"/>
        <family val="2"/>
      </rPr>
      <t xml:space="preserve"> it finds to export, it'll first search in this table to find a match.  If a match is found, it'll 'hook up' localization so that if the site is rendered</t>
    </r>
  </si>
  <si>
    <r>
      <t xml:space="preserve">string ConvertTo( string table, string value ): </t>
    </r>
    <r>
      <rPr>
        <sz val="10"/>
        <rFont val="Arial"/>
        <family val="2"/>
      </rPr>
      <t>If you are assigning a calculated field that is of type 'List' to a formula that returns a string, you need to wrap that inside a ConvertTo() method.</t>
    </r>
  </si>
  <si>
    <t>For example, a 'sex' field would be =ConvertTo( "Sex", "M" )</t>
  </si>
  <si>
    <r>
      <t xml:space="preserve">variant GetModelValue( Range field, variant value ): </t>
    </r>
    <r>
      <rPr>
        <sz val="10"/>
        <rFont val="Arial"/>
        <family val="2"/>
      </rPr>
      <t>This method is simply to help keeping the formulas from breaking.  For example in a calculated expression formula, if you need to reference another</t>
    </r>
  </si>
  <si>
    <t>field in flat data, you usually insert A# address (pointing to field column) in your formula, but if the value from A# is not supposed to be string, your formula breaks.  If you want to wrap that in GetModelValue</t>
  </si>
  <si>
    <r>
      <t xml:space="preserve">you can provide any value you want as the second parameter and it is used only for display purposes </t>
    </r>
    <r>
      <rPr>
        <b/>
        <sz val="10"/>
        <rFont val="Arial"/>
        <family val="2"/>
      </rPr>
      <t>in Excel</t>
    </r>
    <r>
      <rPr>
        <sz val="10"/>
        <rFont val="Arial"/>
        <family val="2"/>
      </rPr>
      <t xml:space="preserve"> it is not used at all on the actual site.</t>
    </r>
  </si>
  <si>
    <r>
      <t>DateTime EndOfYear( DateTime targetDate ):</t>
    </r>
    <r>
      <rPr>
        <sz val="10"/>
        <rFont val="Arial"/>
        <family val="2"/>
      </rPr>
      <t xml:space="preserve"> Returns the last day of the year (always 12/31/year) that </t>
    </r>
    <r>
      <rPr>
        <i/>
        <sz val="10"/>
        <rFont val="Arial"/>
        <family val="2"/>
      </rPr>
      <t>targetDate</t>
    </r>
    <r>
      <rPr>
        <sz val="10"/>
        <rFont val="Arial"/>
        <family val="2"/>
      </rPr>
      <t xml:space="preserve"> exists in.</t>
    </r>
  </si>
  <si>
    <r>
      <t>DateTime EndOfMonth( DateTime targetDate ):</t>
    </r>
    <r>
      <rPr>
        <sz val="10"/>
        <rFont val="Arial"/>
        <family val="2"/>
      </rPr>
      <t xml:space="preserve"> Returns the last day of the month that </t>
    </r>
    <r>
      <rPr>
        <i/>
        <sz val="10"/>
        <rFont val="Arial"/>
        <family val="2"/>
      </rPr>
      <t>targetDate</t>
    </r>
    <r>
      <rPr>
        <sz val="10"/>
        <rFont val="Arial"/>
        <family val="2"/>
      </rPr>
      <t xml:space="preserve"> exists in.</t>
    </r>
  </si>
  <si>
    <r>
      <t>int DaysElapsed( DateTime startDate, DateTime targetDate ):</t>
    </r>
    <r>
      <rPr>
        <sz val="10"/>
        <rFont val="Arial"/>
        <family val="2"/>
      </rPr>
      <t xml:space="preserve"> Returns number of whole days between </t>
    </r>
    <r>
      <rPr>
        <i/>
        <sz val="10"/>
        <rFont val="Arial"/>
        <family val="2"/>
      </rPr>
      <t>startDate</t>
    </r>
    <r>
      <rPr>
        <sz val="10"/>
        <rFont val="Arial"/>
        <family val="2"/>
      </rPr>
      <t xml:space="preserve"> and </t>
    </r>
    <r>
      <rPr>
        <i/>
        <sz val="10"/>
        <rFont val="Arial"/>
        <family val="2"/>
      </rPr>
      <t>targetDate</t>
    </r>
    <r>
      <rPr>
        <sz val="10"/>
        <rFont val="Arial"/>
        <family val="2"/>
      </rPr>
      <t>.</t>
    </r>
  </si>
  <si>
    <t>CalcInputs.iState.Label</t>
  </si>
  <si>
    <t>CalcInputs.iZip.Label</t>
  </si>
  <si>
    <t>CalcInputs.iDatePPAAccrued.Label</t>
  </si>
  <si>
    <t>CalcInputs.iFAPOver.Label</t>
  </si>
  <si>
    <t>CalcInputs.iVestServiceOver.Label</t>
  </si>
  <si>
    <t>CalcInputs.iBenServiceOver.Label</t>
  </si>
  <si>
    <t>CalcInputs.iAccBenOver.Label</t>
  </si>
  <si>
    <t>CalcInputs.iAge65Over.Label</t>
  </si>
  <si>
    <t>CalcInputs.iPaymentForm.Label</t>
  </si>
  <si>
    <t>CalcInputs.iReportDate.Label</t>
  </si>
  <si>
    <t>CalcInputs.iBatchIndicator.Label</t>
  </si>
  <si>
    <t>CalcInputs.iRetAge.Help</t>
  </si>
  <si>
    <t>CalcInputs.iVariable.Help</t>
  </si>
  <si>
    <t>CalcInputs.iGoalVariable.Help</t>
  </si>
  <si>
    <t>CalcInputs.iGoalSavings.Help</t>
  </si>
  <si>
    <t>CalcInputs.iGoalRate.Help</t>
  </si>
  <si>
    <t>CalcInputs.iDateDeath.Help</t>
  </si>
  <si>
    <t>In a listing configuration column, to control which fields are displayed on the listing, the following are supported for Historical Data elements:</t>
  </si>
  <si>
    <t>supported option on index columns because per historical data table, a column can be configured to export different ways (i.e. more columns</t>
  </si>
  <si>
    <t>for one field than another) so you cannot set the index explicitly.</t>
  </si>
  <si>
    <t>CalcInputs.Parameters</t>
  </si>
  <si>
    <t>Reports.StatusCount</t>
  </si>
  <si>
    <t>Reports.StatusLocationGrid</t>
  </si>
  <si>
    <t>Reports.FlowOfLives</t>
  </si>
  <si>
    <t>Reports.ValuationData</t>
  </si>
  <si>
    <t>Reports.MailingLabels</t>
  </si>
  <si>
    <t>Reports.BenefitPayableHistory</t>
  </si>
  <si>
    <t>Reports.BatchIndicators</t>
  </si>
  <si>
    <t>Reports.ActiveDisabledTvOver55</t>
  </si>
  <si>
    <t>Reports.ActiveDisabledTvTurning65InNext12Months</t>
  </si>
  <si>
    <t>Reports.StatusCount.Description</t>
  </si>
  <si>
    <t>Reports.StatusLocationGrid.Description</t>
  </si>
  <si>
    <t>Reports.FlowOfLives.Description</t>
  </si>
  <si>
    <t>Reports.ValuationData.Description</t>
  </si>
  <si>
    <t>Reports.MailingLabels.Description</t>
  </si>
  <si>
    <t>AZI</t>
  </si>
  <si>
    <t>Auth ID Field</t>
  </si>
  <si>
    <t>ssn</t>
  </si>
  <si>
    <t>iDebugInputNames-Off</t>
  </si>
  <si>
    <t>MHACalc</t>
  </si>
  <si>
    <t>Developer Assumptions (Not a user input)</t>
  </si>
  <si>
    <t>aAcctBalDate</t>
  </si>
  <si>
    <t>Date from which to project DC account balances</t>
  </si>
  <si>
    <t>aCurrentYear</t>
  </si>
  <si>
    <t>Current Year</t>
  </si>
  <si>
    <t>a401a17</t>
  </si>
  <si>
    <t>Projection of IRS Pay Limit</t>
  </si>
  <si>
    <t>a402g</t>
  </si>
  <si>
    <t>Projection of IRS DC Deferral Limit</t>
  </si>
  <si>
    <t>aBackSalType</t>
  </si>
  <si>
    <t>Past pay regression for PIA calculation: "N" is NAW, "C" is constant rate, "S" is NAW and constant split (see below).</t>
  </si>
  <si>
    <t>aBackSalRate</t>
  </si>
  <si>
    <t>Back pay regression rate for PIA calculation.  If NAW (N), this rate is added to the NAW rate.  If NAW split (S), this applied only to years after last-known NAW rate (the NAW rate is used for earlier years).</t>
  </si>
  <si>
    <t>cBenInd</t>
  </si>
  <si>
    <t>Default Rate Tables</t>
  </si>
  <si>
    <t>Enter the date (in the format m/d/yyyy)  to determine your accrued benefit as of.</t>
  </si>
  <si>
    <t>iFAPOver</t>
  </si>
  <si>
    <t>Final Average Pay</t>
  </si>
  <si>
    <t>Enter the Final Average Pay, this will override the calculated Final Average Pay.</t>
  </si>
  <si>
    <t>iVestServiceOver</t>
  </si>
  <si>
    <t>Initial Data Is Bad</t>
  </si>
  <si>
    <t>List:Boolean</t>
  </si>
  <si>
    <t>Employee Allowed on Self Service Site?</t>
  </si>
  <si>
    <t>Pin for Registration</t>
  </si>
  <si>
    <t>Plan Information</t>
  </si>
  <si>
    <t>Plan Dates</t>
  </si>
  <si>
    <t>date-ahire</t>
  </si>
  <si>
    <t>Adjusted Date of Hire</t>
  </si>
  <si>
    <t>date-entry</t>
  </si>
  <si>
    <t>Date of Entry</t>
  </si>
  <si>
    <t>date-vest</t>
  </si>
  <si>
    <t>Date Vesting Service Starts</t>
  </si>
  <si>
    <t>date-nrd</t>
  </si>
  <si>
    <t>Normal Retirement Date</t>
  </si>
  <si>
    <t>date-erd</t>
  </si>
  <si>
    <t>Early Retirement Date</t>
  </si>
  <si>
    <t>Plan Service</t>
  </si>
  <si>
    <t>svc-ben</t>
  </si>
  <si>
    <t>Benefit Crediting Service</t>
  </si>
  <si>
    <t>Double</t>
  </si>
  <si>
    <t>0.00</t>
  </si>
  <si>
    <t>40.00</t>
  </si>
  <si>
    <t>svc-vest</t>
  </si>
  <si>
    <t>Vesting Service</t>
  </si>
  <si>
    <t>svc-misc1</t>
  </si>
  <si>
    <t>Miscellaneous Service 1</t>
  </si>
  <si>
    <t>svc-misc2</t>
  </si>
  <si>
    <t>Miscellaneous Service 2</t>
  </si>
  <si>
    <t>svc-misc3</t>
  </si>
  <si>
    <t>Miscellaneous Service 3</t>
  </si>
  <si>
    <t>svc-misc4</t>
  </si>
  <si>
    <t>Lookup.MHCalculationTypes.Retirement</t>
  </si>
  <si>
    <r>
      <t xml:space="preserve">Inserts the </t>
    </r>
    <r>
      <rPr>
        <b/>
        <i/>
        <sz val="10"/>
        <rFont val="Arial"/>
        <family val="2"/>
      </rPr>
      <t xml:space="preserve">id </t>
    </r>
    <r>
      <rPr>
        <sz val="10"/>
        <rFont val="Arial"/>
        <family val="2"/>
      </rPr>
      <t xml:space="preserve">of the current page in the website.  This is useful if you have a modeling calculation that needs to run differently based on which page you </t>
    </r>
  </si>
  <si>
    <t>Ages to Project</t>
  </si>
  <si>
    <t>Notes</t>
  </si>
  <si>
    <t>TableInputs</t>
  </si>
  <si>
    <t>Vesting Service at Termination</t>
  </si>
  <si>
    <t>AdditionalDates</t>
  </si>
  <si>
    <t>Table Row Inputs</t>
  </si>
  <si>
    <t>iDateTerm,iDateBenComm</t>
  </si>
  <si>
    <t>Current 401(k) Plan Balance</t>
  </si>
  <si>
    <t>Enter the current balance of your 401(k) account.</t>
  </si>
  <si>
    <t>iReturn</t>
  </si>
  <si>
    <t>Lookup.FormPayment.75js</t>
  </si>
  <si>
    <t>Lookup.FormPayment.75pop</t>
  </si>
  <si>
    <t>Lookup.FormPayment.co</t>
  </si>
  <si>
    <t>Lookup.FormPayment.lo</t>
  </si>
  <si>
    <t>Lookup.FormPayment.sla</t>
  </si>
  <si>
    <t>Lookup.FormPayment.50js10</t>
  </si>
  <si>
    <t>Lookup.FormPayment.100js10</t>
  </si>
  <si>
    <t>Lookup.PlanInfo.PlanName</t>
  </si>
  <si>
    <t>Lookup.PlanInfo.PlanSponsor</t>
  </si>
  <si>
    <t>note3</t>
  </si>
  <si>
    <t>The section below is for Mid-Level Cashouts of Participants (In this case 1,000 &lt; LS &lt;= 20,000</t>
  </si>
  <si>
    <t>item43</t>
  </si>
  <si>
    <t>Plan1Screen3a</t>
  </si>
  <si>
    <t>item44</t>
  </si>
  <si>
    <t>item45</t>
  </si>
  <si>
    <t>item46</t>
  </si>
  <si>
    <t>header3a</t>
  </si>
  <si>
    <t>item47</t>
  </si>
  <si>
    <t>opt17</t>
  </si>
  <si>
    <t>item48</t>
  </si>
  <si>
    <t>opt18</t>
  </si>
  <si>
    <t>item49</t>
  </si>
  <si>
    <t>opt19</t>
  </si>
  <si>
    <t>item50</t>
  </si>
  <si>
    <t>item51</t>
  </si>
  <si>
    <t>Helper Variables (not exported)</t>
  </si>
  <si>
    <t>item52</t>
  </si>
  <si>
    <t>clump-sum</t>
  </si>
  <si>
    <t>item53</t>
  </si>
  <si>
    <t>Plan1Screen3b</t>
  </si>
  <si>
    <t>item54</t>
  </si>
  <si>
    <t>header5</t>
  </si>
  <si>
    <t>Benefit Information</t>
  </si>
  <si>
    <t>item55</t>
  </si>
  <si>
    <t>Date of Benefit Commencement</t>
  </si>
  <si>
    <t>header3b</t>
  </si>
  <si>
    <t>item56</t>
  </si>
  <si>
    <t>Historical.EmploymentHistory.Label</t>
  </si>
  <si>
    <t>Historical.BenefitPayableHistory.Label</t>
  </si>
  <si>
    <t>Historical.BeneficiaryInformation.Label</t>
  </si>
  <si>
    <t>Historical.StatusforPlan1.Label</t>
  </si>
  <si>
    <t>Show all input assumptions?</t>
  </si>
  <si>
    <t>iDateTerm2</t>
  </si>
  <si>
    <t>Second Date/Age of Termination</t>
  </si>
  <si>
    <t>iDateTerm3</t>
  </si>
  <si>
    <t>Third Date/Age of Termination</t>
  </si>
  <si>
    <t>iDateTerm4</t>
  </si>
  <si>
    <t>Fourth Date/Age of Termination</t>
  </si>
  <si>
    <t>iDateTerm5</t>
  </si>
  <si>
    <t>Fifth Date/Age of Termination</t>
  </si>
  <si>
    <t>iDateBenComm2</t>
  </si>
  <si>
    <t>Second Date/Age of Benefit Commencement</t>
  </si>
  <si>
    <t>iDateBenComm3</t>
  </si>
  <si>
    <t>Third Date/Age of Benefit Commencement</t>
  </si>
  <si>
    <t>iDateBenComm4</t>
  </si>
  <si>
    <t>https://www.myseverancebenefits.com/azi</t>
  </si>
  <si>
    <t>Lookup.MHAUpdateTypes.test</t>
  </si>
  <si>
    <t>Lookup.PlanProvisions.AccountBalance</t>
  </si>
  <si>
    <t>Lookup.PlanProvisions.MinimumAccountBalance</t>
  </si>
  <si>
    <t>Lookup.PlanProvisions.YearsOfService</t>
  </si>
  <si>
    <t>Lookup.PlanProvisions.NormalRetirementDate</t>
  </si>
  <si>
    <t>Lookup.PlanProvisions.AccountBalance.Text</t>
  </si>
  <si>
    <t>The language code of the GUI is passed into the site.  In case you need to provide different versions of result text based on language.</t>
  </si>
  <si>
    <t>iCurrentPage</t>
  </si>
  <si>
    <t>are on (for example if you have a page that doesn't require sign in, this id would let you know that and make sure you use/disregard certain inputs/data elements.</t>
  </si>
  <si>
    <t>iAWSAdminAuthID</t>
  </si>
  <si>
    <t>If an Admin is running a calculation on a Modeling site, the auth id (i.e. philip.parker) is passed in to this parameter and you can use it if needed (i.e. to provide 'helper' text/tables or something)</t>
  </si>
  <si>
    <t>iJobToken</t>
  </si>
  <si>
    <t>This is just a guaranteed unique ID that should be output on the variable table (value job-token).  The RBL Framework uses this to ensure that the results coming back are the proper results for the current participant.</t>
  </si>
  <si>
    <t>iIsTestSE</t>
  </si>
  <si>
    <t>Registration Id</t>
  </si>
  <si>
    <t>Registration Password Strength</t>
  </si>
  <si>
    <t>Lookup.PlanProvisions.MinimumAccountBalance.Text</t>
  </si>
  <si>
    <t>Lookup.PlanProvisions.YearsOfService.Text</t>
  </si>
  <si>
    <t>Lookup.PlanProvisions.NormalRetirementDate.Text</t>
  </si>
  <si>
    <t>Lookup.MHAUpdateTypes.bp1</t>
  </si>
  <si>
    <t>Lookup.MHABatchTypes.a</t>
  </si>
  <si>
    <t>Lookup.RBLProcessFilters.all</t>
  </si>
  <si>
    <t>Lookup.RBLProcessFilters.batchind</t>
  </si>
  <si>
    <t>Lookup.RBLProcessFilters.current</t>
  </si>
  <si>
    <t>CalcInputs.iRetAge.Label</t>
  </si>
  <si>
    <t>CalcInputs.iVariable.Label</t>
  </si>
  <si>
    <t>CalcInputs.iGoalVariable.Label</t>
  </si>
  <si>
    <t>CalcInputs.iGoalSavings.Label</t>
  </si>
  <si>
    <t>CalcInputs.iGoalRate.Label</t>
  </si>
  <si>
    <t>CalcInputs.iAdditionalDates.Label</t>
  </si>
  <si>
    <t>CalcInputs.iDateDeath.Label</t>
  </si>
  <si>
    <t>CalcInputs.iDateDisability.Label</t>
  </si>
  <si>
    <t>CalcInputs.iDateTerm.Label</t>
  </si>
  <si>
    <t>Flat.EmployeeInformation.BasicInformation.NameLast</t>
  </si>
  <si>
    <t>Flat.EmployeeInformation.BasicInformation.NameFirst</t>
  </si>
  <si>
    <t>Flat.EmployeeInformation.BasicInformation.NameMi</t>
  </si>
  <si>
    <t>Flat.EmployeeInformation.BasicInformation.DateBirth</t>
  </si>
  <si>
    <t>Flat.EmployeeInformation.BasicInformation.DateDeath</t>
  </si>
  <si>
    <t>Flat.EmployeeInformation.EmploymentInformation.CodeDivision</t>
  </si>
  <si>
    <t>Flat.EmployeeInformation.EmploymentInformation.Title</t>
  </si>
  <si>
    <t>Flat.EmployeeInformation.EmploymentInformation.DateHire</t>
  </si>
  <si>
    <t>Flat.EmployeeInformation.EmploymentInformation.DateTerm</t>
  </si>
  <si>
    <t>Flat.EmployeeInformation.DemographicInformation.Zip</t>
  </si>
  <si>
    <t>Flat.EmployeeInformation.BeneficiaryInformation.NameLastBen</t>
  </si>
  <si>
    <t>Flat.EmployeeInformation.BeneficiaryInformation.NameFirstBen</t>
  </si>
  <si>
    <t>Flat.EmployeeInformation.BeneficiaryInformation.NameMiBen</t>
  </si>
  <si>
    <t>Flat.EmployeeInformation.BeneficiaryInformation.SexBen</t>
  </si>
  <si>
    <t>Flat.EmployeeInformation.BeneficiaryInformation.SsnBen</t>
  </si>
  <si>
    <t>Flat.EmployeeInformation.BeneficiaryInformation.DateBirthBen</t>
  </si>
  <si>
    <t>Flat.EmployeeInformation.SystemInformation.BatchInd</t>
  </si>
  <si>
    <t>Flat.EmployeeInformation.SystemInformation.CodeBadData</t>
  </si>
  <si>
    <t>Flat.EmployeeInformation.SystemInformation.AllowedEss</t>
  </si>
  <si>
    <t>Flat.EmployeeInformation.SystemInformation.RegistrationPin</t>
  </si>
  <si>
    <t>Calc Inputs</t>
  </si>
  <si>
    <t>Framework Input Definitions - These inputs are programmatically set based on situations in the GUI, the user does not enter them.</t>
  </si>
  <si>
    <t>Input</t>
  </si>
  <si>
    <t>Sample Value</t>
  </si>
  <si>
    <t>Default</t>
  </si>
  <si>
    <t>Layout Type</t>
  </si>
  <si>
    <t>iMHACalcType</t>
  </si>
  <si>
    <t>List:MHACalculationTypes</t>
  </si>
  <si>
    <t>MHA</t>
  </si>
  <si>
    <t>Calculation Type passed during Admin (MHA) site calculations.  The value will be from the MHACalculationTypes lookup table.</t>
  </si>
  <si>
    <t>iMHCalcType</t>
  </si>
  <si>
    <t>List:MHCalculationTypes</t>
  </si>
  <si>
    <t>MH</t>
  </si>
  <si>
    <t>date-calculation</t>
  </si>
  <si>
    <t>Plan Sponsor DBA</t>
  </si>
  <si>
    <t>Participant Severance URL</t>
  </si>
  <si>
    <t>Severance Service Center Phone</t>
  </si>
  <si>
    <t>(800) 555-1212</t>
  </si>
  <si>
    <t>Message</t>
  </si>
  <si>
    <t>Use this table to provide text translations for any text you have in the Specification sheet when site must provide multi language supports.</t>
  </si>
  <si>
    <t>more the available list of culture names supported.</t>
  </si>
  <si>
    <t>To implement localization, fill in the en-US column with every English version of a string.  When the configuration files are generated, for every</t>
  </si>
  <si>
    <t>in a different version, it will find the matching string in this table and look for the appropriate culture name that matches the current culture the</t>
  </si>
  <si>
    <t>site is being rendered in.</t>
  </si>
  <si>
    <t>text items can be sorted/grouped together if the IDs are set up appropriately.  The ID can be any string as long as it is not duplicated.</t>
  </si>
  <si>
    <t>Unique ID</t>
  </si>
  <si>
    <t>fr-FR</t>
  </si>
  <si>
    <r>
      <t>Historical data is always sorted by Index ascending (using a string sort)</t>
    </r>
    <r>
      <rPr>
        <sz val="10"/>
        <rFont val="Arial"/>
        <family val="2"/>
      </rPr>
      <t xml:space="preserve">If the data element is located on Historical Data tab, then additional information is required to configure the fields.  When using the </t>
    </r>
    <r>
      <rPr>
        <i/>
        <sz val="10"/>
        <rFont val="Arial"/>
        <family val="2"/>
      </rPr>
      <t xml:space="preserve">Position </t>
    </r>
    <r>
      <rPr>
        <sz val="10"/>
        <rFont val="Arial"/>
        <family val="2"/>
      </rPr>
      <t>parameter, note that</t>
    </r>
  </si>
  <si>
    <r>
      <t xml:space="preserve">historyType: </t>
    </r>
    <r>
      <rPr>
        <sz val="10"/>
        <rFont val="Arial"/>
        <family val="2"/>
      </rPr>
      <t>The type of the historical data table.</t>
    </r>
  </si>
  <si>
    <r>
      <t xml:space="preserve">historyIndex: </t>
    </r>
    <r>
      <rPr>
        <sz val="10"/>
        <rFont val="Arial"/>
        <family val="2"/>
      </rPr>
      <t>If the index is a known value (i.e. 2007), it can be supplied here for 'initial setup'.  Once an admin system is running, this can be reset/changed based on data present in the system.</t>
    </r>
  </si>
  <si>
    <t>401(k) Savings</t>
  </si>
  <si>
    <t>Social Security</t>
  </si>
  <si>
    <t>Total Retirement Income</t>
  </si>
  <si>
    <t>Benefit</t>
  </si>
  <si>
    <t>Account</t>
  </si>
  <si>
    <t>Monthly Annuity</t>
  </si>
  <si>
    <t>Income Replacement</t>
  </si>
  <si>
    <t>row</t>
  </si>
  <si>
    <t>in3</t>
  </si>
  <si>
    <t>For actual Social Security projections, contact the Social Security Administration at 1-800-772-1213 or visit its Web site at &lt;&lt;a href="http://www.ssa.gov" target="_new"&gt;&gt;www.ssa.gov&lt;&lt;/a&gt;&gt;.</t>
  </si>
  <si>
    <t>Projected Total Retirement Income</t>
  </si>
  <si>
    <t>ben1</t>
  </si>
  <si>
    <t>Source</t>
  </si>
  <si>
    <t>item4</t>
  </si>
  <si>
    <t>header1a</t>
  </si>
  <si>
    <t>Option</t>
  </si>
  <si>
    <t>Factor</t>
  </si>
  <si>
    <t>city-state-zip</t>
  </si>
  <si>
    <t>item5</t>
  </si>
  <si>
    <t>opt1</t>
  </si>
  <si>
    <t>Lump Sum</t>
  </si>
  <si>
    <t>n/a</t>
  </si>
  <si>
    <t>Calculation Dates</t>
  </si>
  <si>
    <t>item6</t>
  </si>
  <si>
    <t>opt2</t>
  </si>
  <si>
    <t>Lifetime Annuity</t>
  </si>
  <si>
    <t>date-now</t>
  </si>
  <si>
    <t>item7</t>
  </si>
  <si>
    <t>opt3</t>
  </si>
  <si>
    <t>100% Joint &amp; Survivor</t>
  </si>
  <si>
    <t>Age at Retirement Date</t>
  </si>
  <si>
    <t>item8</t>
  </si>
  <si>
    <t>opt4</t>
  </si>
  <si>
    <t>75% Joint &amp; Survivor</t>
  </si>
  <si>
    <t>Beneficiary Age at Retirement Date</t>
  </si>
  <si>
    <t>date-commence-ltr</t>
  </si>
  <si>
    <t>item9</t>
  </si>
  <si>
    <t>opt5</t>
  </si>
  <si>
    <t>50% Joint &amp; Survivor</t>
  </si>
  <si>
    <t>header2</t>
  </si>
  <si>
    <t>Calculation Highlights</t>
  </si>
  <si>
    <t>date-commence</t>
  </si>
  <si>
    <t>item10</t>
  </si>
  <si>
    <t>opt6</t>
  </si>
  <si>
    <t>5 Year Certain &amp; Life</t>
  </si>
  <si>
    <t>Final Average Earnings</t>
  </si>
  <si>
    <t>date-commence-alternate</t>
  </si>
  <si>
    <t>item11</t>
  </si>
  <si>
    <t>opt7</t>
  </si>
  <si>
    <t>item66</t>
  </si>
  <si>
    <t>item67</t>
  </si>
  <si>
    <t>opt24</t>
  </si>
  <si>
    <t>item68</t>
  </si>
  <si>
    <t>item69</t>
  </si>
  <si>
    <t>item70</t>
  </si>
  <si>
    <t>item71</t>
  </si>
  <si>
    <t>item72</t>
  </si>
  <si>
    <t>item73</t>
  </si>
  <si>
    <t>Update</t>
  </si>
  <si>
    <t>Profile</t>
  </si>
  <si>
    <t>BenefitInfo</t>
  </si>
  <si>
    <t>item</t>
  </si>
  <si>
    <t>amt-bop</t>
  </si>
  <si>
    <t>amt-intcred</t>
  </si>
  <si>
    <t>amt-depcred</t>
  </si>
  <si>
    <t>amt-eop</t>
  </si>
  <si>
    <t>amt-min</t>
  </si>
  <si>
    <t>delete</t>
  </si>
  <si>
    <t>DeleteTables</t>
  </si>
  <si>
    <t>new plan</t>
  </si>
  <si>
    <t>2004-1</t>
  </si>
  <si>
    <t>2003-2</t>
  </si>
  <si>
    <t>Enter the date (in the format m/d/yyyy) or age (whole numbers only) that you think you will terminate from the company.</t>
  </si>
  <si>
    <t>Date/Age of Benefit Commencement</t>
  </si>
  <si>
    <t>Enter the date (in the format m/d/yyyy) or age (whole numbers only) that you wish to commence receiving benefits. Please note, this must be later than both 'early retirement date' and your current age.</t>
  </si>
  <si>
    <t>iShowGlobalVariables</t>
  </si>
  <si>
    <t>test/delete</t>
  </si>
  <si>
    <t>/delete</t>
  </si>
  <si>
    <t>/export</t>
  </si>
  <si>
    <t>Reports.BenefitPayableHistory.Description</t>
  </si>
  <si>
    <t>Reports.BatchIndicators.Description</t>
  </si>
  <si>
    <r>
      <t>string StringFormat( string format, ParamArray tokens ):</t>
    </r>
    <r>
      <rPr>
        <sz val="10"/>
        <rFont val="Arial"/>
        <family val="2"/>
      </rPr>
      <t xml:space="preserve"> Similar to C# string.Format() function, this will substitute the positional element from </t>
    </r>
    <r>
      <rPr>
        <i/>
        <sz val="10"/>
        <rFont val="Arial"/>
        <family val="2"/>
      </rPr>
      <t>tokens</t>
    </r>
    <r>
      <rPr>
        <sz val="10"/>
        <rFont val="Arial"/>
        <family val="2"/>
      </rPr>
      <t xml:space="preserve"> into the </t>
    </r>
    <r>
      <rPr>
        <i/>
        <sz val="10"/>
        <rFont val="Arial"/>
        <family val="2"/>
      </rPr>
      <t>format</t>
    </r>
    <r>
      <rPr>
        <sz val="10"/>
        <rFont val="Arial"/>
        <family val="2"/>
      </rPr>
      <t xml:space="preserve"> string.  For example, </t>
    </r>
  </si>
  <si>
    <t>=StringFormat( "I like {0} when they give me {1:c} in bonuses.", "Buck", 20000 ) would return "I like Buck when they give me $20,0000 in bonuses." (note the :c after {1}, you can use format strings</t>
  </si>
  <si>
    <t>documented in RBL Utilities - Help - String Formatting Documentation in this formula as well.</t>
  </si>
  <si>
    <t>[Benefit:{yyyy-mm1}]amt-cashbalance</t>
  </si>
  <si>
    <t>[Benefit:{yyyy-mm2}]amt-cashbalance</t>
  </si>
  <si>
    <t>Brewer</t>
  </si>
  <si>
    <t>date-stock</t>
  </si>
  <si>
    <t>amt-stock</t>
  </si>
  <si>
    <t>Lookup.RetProcStatus.BenefitCalculationReviewedAndApproved</t>
  </si>
  <si>
    <t>French: Benefit Calculation reviewed and approved</t>
  </si>
  <si>
    <t>Lookup.RetProcStatus.PackageSentOutToParticipant</t>
  </si>
  <si>
    <t>French: Package sent out to participant</t>
  </si>
  <si>
    <t>Lookup.RetProcStatus.LetterSentOutToParticipantNonVested</t>
  </si>
  <si>
    <t>French: Letter sent out to participant Non Vested</t>
  </si>
  <si>
    <t>Lookup.RetProcStatus.LetterSentOutToParticipantTerminatedVested</t>
  </si>
  <si>
    <t>French: Letter sent out to participant Terminated Vested</t>
  </si>
  <si>
    <t>Lookup.RetProcStatus.PackageUndeliveredDueToInvalidAddress</t>
  </si>
  <si>
    <t>French: Package undelivered due to invalid address</t>
  </si>
  <si>
    <t>Lookup.RetProcStatus.ParticipantElectionFormReceived</t>
  </si>
  <si>
    <t>French: Participant Election Form received</t>
  </si>
  <si>
    <t>Lookup.RetProcStatus.FinalCalculationDone</t>
  </si>
  <si>
    <t>French: Final Calculation Done</t>
  </si>
  <si>
    <t>Lookup.RetProcStatus.PaymentInstructionsSentOutToBank</t>
  </si>
  <si>
    <t>French: Payment Instructions sent out to Bank</t>
  </si>
  <si>
    <t>Retire</t>
  </si>
  <si>
    <t>Term Vested</t>
  </si>
  <si>
    <t>Death</t>
  </si>
  <si>
    <t>Disability</t>
  </si>
  <si>
    <t>Planner</t>
  </si>
  <si>
    <t>Lookup.MHCalculationTypes.Estimate</t>
  </si>
  <si>
    <t>Historical.HireHistory.Index</t>
  </si>
  <si>
    <t>Historical.HireHistory.DateTerm</t>
  </si>
  <si>
    <t>Historical.BenefitPayableHistory.Index</t>
  </si>
  <si>
    <t>Historical.BenefitPayableHistory.Amt</t>
  </si>
  <si>
    <t>Historical.BenefitPayableHistory.CodeFreq</t>
  </si>
  <si>
    <t>Historical.BenefitPayableHistory.CodeForm</t>
  </si>
  <si>
    <t>Historical.BenefitPayableHistory.DateStart</t>
  </si>
  <si>
    <t>Historical.BenefitPayableHistory.DateEnd</t>
  </si>
  <si>
    <t>Historical.BenefitPayableHistory.DateStop</t>
  </si>
  <si>
    <t>Used during Admin (MHA) site batch jobs (processes that simply insert FolderItems and do not update data).  The value will come from the MHABatchTypes lookup table.</t>
  </si>
  <si>
    <t>iCurrentUICulture</t>
  </si>
  <si>
    <t>en-US</t>
  </si>
  <si>
    <t xml:space="preserve">Nothing is ‘required’ in the table per say, but the actual table is required.  Every row in this table with a 1 in the letter column will be rendered in the ‘Personal Data’ section </t>
  </si>
  <si>
    <t>of the calculation letters, so don’t add any rows that you don’t want displayed.</t>
  </si>
  <si>
    <t>calcdetail:</t>
  </si>
  <si>
    <t>Nothing is ‘required’ in the table per say, but the actual table is required.  Every row in this table will be rendered in the ‘Personal Data’ section of the calculation letters, so don’t add any rows that you don’t want displayed.</t>
  </si>
  <si>
    <t>option:</t>
  </si>
  <si>
    <t>calcsummary:</t>
  </si>
  <si>
    <t>download-package:</t>
  </si>
  <si>
    <t>This table allows you to control how download packages are constructed along with their availability.</t>
  </si>
  <si>
    <t>final-calc:</t>
  </si>
  <si>
    <t>Table is optional and allows SE to control the ability for a 'Final Calculation Update' to occur by listing the fields they wish to have updated.</t>
  </si>
  <si>
    <t>errors</t>
  </si>
  <si>
    <t>Sample</t>
  </si>
  <si>
    <t>John</t>
  </si>
  <si>
    <t>Hire Table</t>
  </si>
  <si>
    <t>Term</t>
  </si>
  <si>
    <t>{0:000}</t>
  </si>
  <si>
    <t>Integer</t>
  </si>
  <si>
    <t>amt</t>
  </si>
  <si>
    <t>Amount</t>
  </si>
  <si>
    <t>code-freq</t>
  </si>
  <si>
    <t>Frequency</t>
  </si>
  <si>
    <t>List:Frequency</t>
  </si>
  <si>
    <t>code-form</t>
  </si>
  <si>
    <t>Form</t>
  </si>
  <si>
    <t>List:FormPayment</t>
  </si>
  <si>
    <t>date-start</t>
  </si>
  <si>
    <r>
      <t xml:space="preserve">Filtering Reports: </t>
    </r>
    <r>
      <rPr>
        <sz val="10"/>
        <rFont val="Arial"/>
        <family val="2"/>
      </rPr>
      <t>You can control the filtering of reports/listings by providing a filter expression formula.</t>
    </r>
  </si>
  <si>
    <t>run the risk of exceeding the Excel column restriction of 255 columns when exporting to CSV.  Please take care to make the proper decision</t>
  </si>
  <si>
    <t>when using this export flag.</t>
  </si>
  <si>
    <t>M</t>
  </si>
  <si>
    <t>&lt;date-birth&gt;</t>
  </si>
  <si>
    <t>&lt;date-hire&gt;</t>
  </si>
  <si>
    <t>Date of Hire</t>
  </si>
  <si>
    <t>&lt;date-death&gt;</t>
  </si>
  <si>
    <t>&lt;ben-frz1&gt;</t>
  </si>
  <si>
    <t>&lt;ben-frz2&gt;</t>
  </si>
  <si>
    <t>&lt;ben-frz3&gt;</t>
  </si>
  <si>
    <t>&lt;ben-frz4&gt;</t>
  </si>
  <si>
    <t>&lt;svc-ben&gt;</t>
  </si>
  <si>
    <t>&lt;svc-vest&gt;</t>
  </si>
  <si>
    <t>&lt;address1&gt;</t>
  </si>
  <si>
    <t>1000 Street St.</t>
  </si>
  <si>
    <t>&lt;address2&gt;</t>
  </si>
  <si>
    <t>&lt;city&gt;</t>
  </si>
  <si>
    <t>Walnut Creek</t>
  </si>
  <si>
    <t>&lt;state&gt;</t>
  </si>
  <si>
    <t>&lt;zip&gt;</t>
  </si>
  <si>
    <t>&lt;name-last-ben&gt;</t>
  </si>
  <si>
    <t>Paula</t>
  </si>
  <si>
    <t>French: Retirement</t>
  </si>
  <si>
    <t>Lookup.MHCalculationTypes.Planner</t>
  </si>
  <si>
    <t>double? NewValueNumber()</t>
  </si>
  <si>
    <t>PPA Calculations</t>
  </si>
  <si>
    <t>Estimate Calculations</t>
  </si>
  <si>
    <t>Retirement Calculations</t>
  </si>
  <si>
    <t>MHABatchCalc</t>
  </si>
  <si>
    <t>Framework Inputs</t>
  </si>
  <si>
    <t>&lt;p&gt;&lt;b&gt;Invalid Security Access Attempt&lt;/b&gt;&lt;/p&gt;
&lt;p&gt;You are receiving this email because an unauthorized attempt to access the {SiteName} website was attempted and logged.&lt;/p&gt;
&lt;ul&gt;
  &lt;li&gt;User: {UserName}&lt;/li&gt;
  &lt;li&gt;IP Address: {IPAddress}&lt;/li&gt;
  &lt;li&gt;Number of Failed Attempts: {FailedAttempts}&lt;/li&gt;
&lt;/ul&gt;
&lt;p&gt;&lt;b&gt;Note:&lt;/b&gt;&lt;br/&gt;You are currently no longer able to log into the system because you have been locked out due to too many invalid sign in attempts.  Report this immediately if you feel someone else has been attempting to sign in to your account!  Talk to your local Human Resources representative about reinstating your account priveledges.&lt;/p&gt;</t>
  </si>
  <si>
    <t>Unauthorized {SiteName} Website Access Attempt</t>
  </si>
  <si>
    <t>"{0} Customer Support" &lt;support@{1}&gt;</t>
  </si>
  <si>
    <t>isn't expected, but rather just a configuration pointing to a valid data location (i.e. Default Listings, Save To, etc.).  This formula will create an expression BTR can use to properly locate a data value</t>
  </si>
  <si>
    <t>in the current xDS profile's data.</t>
  </si>
  <si>
    <r>
      <t>string FormatValue( object value, string format ):</t>
    </r>
    <r>
      <rPr>
        <sz val="10"/>
        <rFont val="Arial"/>
        <family val="2"/>
      </rPr>
      <t xml:space="preserve"> Allows Buck to format values (numbers/dates) in specified C# format strings.  For help on C# formats, </t>
    </r>
  </si>
  <si>
    <t>see RBL Utilities - Help - String Formatting Documentation.  =FormatValue(TODAY(),"{0:yyyy_MM_dd}") would return 2010_05_09 for 5/9/2010.</t>
  </si>
  <si>
    <t>PPA</t>
  </si>
  <si>
    <t>dep3</t>
  </si>
  <si>
    <t>Severance Company</t>
  </si>
  <si>
    <t>A12</t>
  </si>
  <si>
    <t>A20</t>
  </si>
  <si>
    <t>A28</t>
  </si>
  <si>
    <t>A36</t>
  </si>
  <si>
    <t>A41</t>
  </si>
  <si>
    <t>A45</t>
  </si>
  <si>
    <t>A52</t>
  </si>
  <si>
    <t>Column Based Export - Updating flat, preserving current values, formatting columns, and historical indexes in the column headers</t>
  </si>
  <si>
    <t>address/noreplace</t>
  </si>
  <si>
    <t>[Pay:2010]hours</t>
  </si>
  <si>
    <t>[Pay:2010]pay/format:0.00</t>
  </si>
  <si>
    <t>Billy</t>
  </si>
  <si>
    <t>Original Address</t>
  </si>
  <si>
    <t>Bobby</t>
  </si>
  <si>
    <t>Julie</t>
  </si>
  <si>
    <t>Jane</t>
  </si>
  <si>
    <t>Rafa</t>
  </si>
  <si>
    <t>Column Based Export - Using historical index 'constant' in the header to 'link' columns, then index 'value' is defined in the rows, additionally shows how to control exporting of specific history row.</t>
  </si>
  <si>
    <t>[Pay:pay1]index</t>
  </si>
  <si>
    <t>[Pay:pay1]hours</t>
  </si>
  <si>
    <t>[Pay:pay1]pay</t>
  </si>
  <si>
    <t>[Pay:pay2]index</t>
  </si>
  <si>
    <t>Comments about the supported functionality of each column is provided via an Excel comment on the cells.  A note about the Error Message column:</t>
  </si>
  <si>
    <t>If you do not want the standard error message template from BTR, you can provide a custom message in the column.  When using custom error messages, you</t>
  </si>
  <si>
    <t>Column Based Export - Showing How to Add Notes (Any field that starts with 'ProfileNotes' will be appended as a note)</t>
  </si>
  <si>
    <t>ProfileNotes1</t>
  </si>
  <si>
    <t>ProfileNotes2</t>
  </si>
  <si>
    <t>Row Based Export - Using /clearall to first remove all rows of type ClearTable, then load supplied data</t>
  </si>
  <si>
    <t>ssn/key/Table:ClearTable/clearall</t>
  </si>
  <si>
    <t>Row Based Export - Using /delete and /export fields to control deleting the row before updating and conditionally controlling whether row is exported from data file.</t>
  </si>
  <si>
    <t>Gets a value indicating whether the BTR membership provider is configured to allow users to persist cookies to remember their login credentials.  The default is false.</t>
  </si>
  <si>
    <t>Gets a value indicating whether the BTR membership provider is configured to allow users to persist cookies to remember their login credentials.  The default is true.</t>
  </si>
  <si>
    <r>
      <t>[Text in Red]</t>
    </r>
    <r>
      <rPr>
        <sz val="10"/>
        <rFont val="Arial"/>
        <family val="2"/>
      </rPr>
      <t xml:space="preserve"> is conditional based on whether Required is empty, Fatal, or Warning.  </t>
    </r>
    <r>
      <rPr>
        <i/>
        <sz val="10"/>
        <rFont val="Arial"/>
        <family val="2"/>
      </rPr>
      <t>Please</t>
    </r>
    <r>
      <rPr>
        <sz val="10"/>
        <rFont val="Arial"/>
        <family val="2"/>
      </rPr>
      <t xml:space="preserve">, </t>
    </r>
    <r>
      <rPr>
        <i/>
        <sz val="10"/>
        <rFont val="Arial"/>
        <family val="2"/>
      </rPr>
      <t>You must</t>
    </r>
    <r>
      <rPr>
        <sz val="10"/>
        <rFont val="Arial"/>
        <family val="2"/>
      </rPr>
      <t xml:space="preserve"> and </t>
    </r>
    <r>
      <rPr>
        <i/>
        <sz val="10"/>
        <rFont val="Arial"/>
        <family val="2"/>
      </rPr>
      <t>You should</t>
    </r>
    <r>
      <rPr>
        <sz val="10"/>
        <rFont val="Arial"/>
        <family val="2"/>
      </rPr>
      <t xml:space="preserve"> respectively.</t>
    </r>
  </si>
  <si>
    <r>
      <t>[Text in Orange]</t>
    </r>
    <r>
      <rPr>
        <sz val="10"/>
        <rFont val="Arial"/>
        <family val="2"/>
      </rPr>
      <t xml:space="preserve"> is conditional based on whether or not a CompareTo value was supplied.</t>
    </r>
  </si>
  <si>
    <r>
      <t xml:space="preserve">Non Text Input: </t>
    </r>
    <r>
      <rPr>
        <b/>
        <sz val="11"/>
        <color indexed="10"/>
        <rFont val="Calibri"/>
        <family val="2"/>
      </rPr>
      <t>[Please/You must/You should]</t>
    </r>
    <r>
      <rPr>
        <sz val="11"/>
        <rFont val="Calibri"/>
        <family val="2"/>
      </rPr>
      <t xml:space="preserve"> supply a {DataType} value ({DataFormat}) between {Min:DisplayFormat} and {Max:DisplayFormat}</t>
    </r>
    <r>
      <rPr>
        <b/>
        <sz val="11"/>
        <color indexed="53"/>
        <rFont val="Calibri"/>
        <family val="2"/>
      </rPr>
      <t xml:space="preserve">[ and </t>
    </r>
    <r>
      <rPr>
        <b/>
        <sz val="11"/>
        <color indexed="12"/>
        <rFont val="Calibri"/>
        <family val="2"/>
      </rPr>
      <t>[must/cannot]</t>
    </r>
    <r>
      <rPr>
        <b/>
        <sz val="11"/>
        <color indexed="53"/>
        <rFont val="Calibri"/>
        <family val="2"/>
      </rPr>
      <t xml:space="preserve"> be equal to {CompareToLabel}]</t>
    </r>
    <r>
      <rPr>
        <sz val="11"/>
        <rFont val="Calibri"/>
        <family val="2"/>
      </rPr>
      <t>.</t>
    </r>
  </si>
  <si>
    <r>
      <t>[Text in Blue]</t>
    </r>
    <r>
      <rPr>
        <sz val="10"/>
        <rFont val="Arial"/>
        <family val="2"/>
      </rPr>
      <t xml:space="preserve"> is conditional based on the CompareToOperator value (taking into account the data type of the input).</t>
    </r>
  </si>
  <si>
    <r>
      <t xml:space="preserve">AgeDate Input: </t>
    </r>
    <r>
      <rPr>
        <b/>
        <sz val="11"/>
        <color indexed="10"/>
        <rFont val="Calibri"/>
        <family val="2"/>
      </rPr>
      <t>[Please/You must/You should]</t>
    </r>
    <r>
      <rPr>
        <sz val="11"/>
        <rFont val="Calibri"/>
        <family val="2"/>
      </rPr>
      <t xml:space="preserve"> supply an age or date value ({DateFormat}) between {Min:DisplayFormat} (age {MinAge}) and {Max:DisplayFormat} (age {MaxAge})</t>
    </r>
    <r>
      <rPr>
        <b/>
        <sz val="11"/>
        <color indexed="53"/>
        <rFont val="Calibri"/>
        <family val="2"/>
      </rPr>
      <t xml:space="preserve">[ and occurs </t>
    </r>
    <r>
      <rPr>
        <b/>
        <sz val="11"/>
        <color indexed="12"/>
        <rFont val="Calibri"/>
        <family val="2"/>
      </rPr>
      <t>[on or after/after/on or before/before]</t>
    </r>
    <r>
      <rPr>
        <b/>
        <sz val="11"/>
        <color indexed="53"/>
        <rFont val="Calibri"/>
        <family val="2"/>
      </rPr>
      <t xml:space="preserve"> {CompareToLabel}]</t>
    </r>
    <r>
      <rPr>
        <sz val="11"/>
        <rFont val="Calibri"/>
        <family val="2"/>
      </rPr>
      <t>.</t>
    </r>
  </si>
  <si>
    <r>
      <t xml:space="preserve">Date/DateTime Input: </t>
    </r>
    <r>
      <rPr>
        <b/>
        <sz val="11"/>
        <color indexed="10"/>
        <rFont val="Calibri"/>
        <family val="2"/>
      </rPr>
      <t>[Please/You must/You should]</t>
    </r>
    <r>
      <rPr>
        <sz val="11"/>
        <rFont val="Calibri"/>
        <family val="2"/>
      </rPr>
      <t xml:space="preserve"> supply a [Date/Date-Time] value ({DateFormat}) between {Min:DisplayFormat} and {Max:DisplayFormat}</t>
    </r>
    <r>
      <rPr>
        <b/>
        <sz val="11"/>
        <color indexed="53"/>
        <rFont val="Calibri"/>
        <family val="2"/>
      </rPr>
      <t xml:space="preserve">[ and occurs </t>
    </r>
    <r>
      <rPr>
        <b/>
        <sz val="11"/>
        <color indexed="12"/>
        <rFont val="Calibri"/>
        <family val="2"/>
      </rPr>
      <t>[on or after/after/on or before/before]</t>
    </r>
    <r>
      <rPr>
        <b/>
        <sz val="11"/>
        <color indexed="53"/>
        <rFont val="Calibri"/>
        <family val="2"/>
      </rPr>
      <t xml:space="preserve"> {CompareToLabel}]</t>
    </r>
    <r>
      <rPr>
        <sz val="11"/>
        <rFont val="Calibri"/>
        <family val="2"/>
      </rPr>
      <t>.</t>
    </r>
  </si>
  <si>
    <r>
      <t xml:space="preserve">Number Input: </t>
    </r>
    <r>
      <rPr>
        <b/>
        <sz val="11"/>
        <color indexed="10"/>
        <rFont val="Calibri"/>
        <family val="2"/>
      </rPr>
      <t>[Please/You must/You should]</t>
    </r>
    <r>
      <rPr>
        <sz val="11"/>
        <rFont val="Calibri"/>
        <family val="2"/>
      </rPr>
      <t xml:space="preserve"> supply a {DataType:Number} value ({DataFormat}) between {Min:DisplayFormat} and {Max:DisplayFormat}</t>
    </r>
    <r>
      <rPr>
        <b/>
        <sz val="11"/>
        <color indexed="53"/>
        <rFont val="Calibri"/>
        <family val="2"/>
      </rPr>
      <t xml:space="preserve">[ and is </t>
    </r>
    <r>
      <rPr>
        <b/>
        <sz val="11"/>
        <color indexed="12"/>
        <rFont val="Calibri"/>
        <family val="2"/>
      </rPr>
      <t>[greater than or equal to/greater than/less than or equal to/less than]</t>
    </r>
    <r>
      <rPr>
        <b/>
        <sz val="11"/>
        <color indexed="53"/>
        <rFont val="Calibri"/>
        <family val="2"/>
      </rPr>
      <t xml:space="preserve"> {CompareToLabel}]</t>
    </r>
    <r>
      <rPr>
        <sz val="11"/>
        <rFont val="Calibri"/>
        <family val="2"/>
      </rPr>
      <t>.</t>
    </r>
  </si>
  <si>
    <r>
      <t xml:space="preserve">Required Text Input: </t>
    </r>
    <r>
      <rPr>
        <b/>
        <sz val="11"/>
        <color indexed="10"/>
        <rFont val="Calibri"/>
        <family val="2"/>
      </rPr>
      <t>[You must/You should]</t>
    </r>
    <r>
      <rPr>
        <sz val="11"/>
        <rFont val="Calibri"/>
        <family val="2"/>
      </rPr>
      <t xml:space="preserve"> supply a value before continuing.</t>
    </r>
  </si>
  <si>
    <t>Secret Answer</t>
  </si>
  <si>
    <t>IVR Alias</t>
  </si>
  <si>
    <t>IVR Pin</t>
  </si>
  <si>
    <t>Sample Lives (Optional)</t>
  </si>
  <si>
    <t>Password</t>
  </si>
  <si>
    <t>Secret Questions (Optional)</t>
  </si>
  <si>
    <t>User Not Found</t>
  </si>
  <si>
    <t>Reset User Not Found</t>
  </si>
  <si>
    <t>Impersonated User Not Found</t>
  </si>
  <si>
    <t>Impersonating User Not Found</t>
  </si>
  <si>
    <t>Impersonating User Locked</t>
  </si>
  <si>
    <t>Impersonating User Not Active</t>
  </si>
  <si>
    <t>No Rights To Client</t>
  </si>
  <si>
    <t>No Rights To Profile</t>
  </si>
  <si>
    <t>User Locked</t>
  </si>
  <si>
    <t>User Not Active</t>
  </si>
  <si>
    <t>Invalid Credentials</t>
  </si>
  <si>
    <t>Password Expired</t>
  </si>
  <si>
    <t>Already Registered</t>
  </si>
  <si>
    <r>
      <t>Static</t>
    </r>
    <r>
      <rPr>
        <sz val="10"/>
        <rFont val="Arial"/>
        <family val="2"/>
      </rPr>
      <t xml:space="preserve">: Setting the </t>
    </r>
    <r>
      <rPr>
        <i/>
        <sz val="10"/>
        <rFont val="Arial"/>
        <family val="2"/>
      </rPr>
      <t>Include</t>
    </r>
    <r>
      <rPr>
        <sz val="10"/>
        <rFont val="Arial"/>
        <family val="2"/>
      </rPr>
      <t xml:space="preserve"> column to </t>
    </r>
    <r>
      <rPr>
        <b/>
        <i/>
        <sz val="10"/>
        <rFont val="Arial"/>
        <family val="2"/>
      </rPr>
      <t>N</t>
    </r>
    <r>
      <rPr>
        <sz val="10"/>
        <rFont val="Arial"/>
        <family val="2"/>
      </rPr>
      <t xml:space="preserve"> or </t>
    </r>
    <r>
      <rPr>
        <b/>
        <i/>
        <sz val="10"/>
        <rFont val="Arial"/>
        <family val="2"/>
      </rPr>
      <t>[Blank]</t>
    </r>
    <r>
      <rPr>
        <sz val="10"/>
        <rFont val="Arial"/>
        <family val="2"/>
      </rPr>
      <t xml:space="preserve"> will force the row to be ignored. (only items with </t>
    </r>
    <r>
      <rPr>
        <b/>
        <i/>
        <sz val="10"/>
        <rFont val="Arial"/>
        <family val="2"/>
      </rPr>
      <t>Y</t>
    </r>
    <r>
      <rPr>
        <sz val="10"/>
        <rFont val="Arial"/>
        <family val="2"/>
      </rPr>
      <t xml:space="preserve"> are exported).</t>
    </r>
  </si>
  <si>
    <r>
      <t xml:space="preserve">If there is no </t>
    </r>
    <r>
      <rPr>
        <i/>
        <sz val="10"/>
        <rFont val="Arial"/>
        <family val="2"/>
      </rPr>
      <t>Include</t>
    </r>
    <r>
      <rPr>
        <sz val="10"/>
        <rFont val="Arial"/>
        <family val="2"/>
      </rPr>
      <t xml:space="preserve"> column on the table, then all items are exported.</t>
    </r>
  </si>
  <si>
    <r>
      <t>Dynamic</t>
    </r>
    <r>
      <rPr>
        <sz val="10"/>
        <rFont val="Arial"/>
        <family val="2"/>
      </rPr>
      <t>: In conjunction with BTR, additional columns can be set up and coded off of (i.e. a Condition column).</t>
    </r>
  </si>
  <si>
    <r>
      <t>Modifying Global Tables:</t>
    </r>
    <r>
      <rPr>
        <sz val="10"/>
        <rFont val="Arial"/>
        <family val="2"/>
      </rPr>
      <t xml:space="preserve"> If you wish to </t>
    </r>
    <r>
      <rPr>
        <i/>
        <sz val="10"/>
        <rFont val="Arial"/>
        <family val="2"/>
      </rPr>
      <t>replace</t>
    </r>
    <r>
      <rPr>
        <sz val="10"/>
        <rFont val="Arial"/>
        <family val="2"/>
      </rPr>
      <t xml:space="preserve"> the entire definition of a table provided in </t>
    </r>
    <r>
      <rPr>
        <i/>
        <sz val="10"/>
        <rFont val="Arial"/>
        <family val="2"/>
      </rPr>
      <t>MadHatter GlobalTables.xls</t>
    </r>
    <r>
      <rPr>
        <sz val="10"/>
        <rFont val="Arial"/>
        <family val="2"/>
      </rPr>
      <t xml:space="preserve">, create a table </t>
    </r>
  </si>
  <si>
    <t>Lookup.Status.AC</t>
  </si>
  <si>
    <t>Lookup.Status.AP</t>
  </si>
  <si>
    <t>Lookup.Status.AN</t>
  </si>
  <si>
    <t>Lookup.Status.BN</t>
  </si>
  <si>
    <t>Lookup.Status.BP</t>
  </si>
  <si>
    <t>Lookup.Status.CA</t>
  </si>
  <si>
    <t xml:space="preserve">Table is optional and allows SE to control any additional validation/logic not performed by website and display *warning* messages only (note this feature is not supported in Participant Modeler sites). </t>
  </si>
  <si>
    <t>If any rows in this table are exported (on=1) then a warning table will be displayed on the calculation result on the Summary and Important notes sections (if they exist).</t>
  </si>
  <si>
    <t>variable</t>
  </si>
  <si>
    <t>data</t>
  </si>
  <si>
    <t>calcdetail</t>
  </si>
  <si>
    <t>calcsummary</t>
  </si>
  <si>
    <t>download-package</t>
  </si>
  <si>
    <t>warnings</t>
  </si>
  <si>
    <t>value</t>
  </si>
  <si>
    <t>on</t>
  </si>
  <si>
    <t>code</t>
  </si>
  <si>
    <t>class</t>
  </si>
  <si>
    <t>text</t>
  </si>
  <si>
    <t>span</t>
  </si>
  <si>
    <t>text1</t>
  </si>
  <si>
    <t>value1</t>
  </si>
  <si>
    <t>file</t>
  </si>
  <si>
    <t>append-to</t>
  </si>
  <si>
    <t>label</t>
  </si>
  <si>
    <t>field</t>
  </si>
  <si>
    <t>type</t>
  </si>
  <si>
    <t>allow-edit</t>
  </si>
  <si>
    <t>Framework Variables</t>
  </si>
  <si>
    <t>header</t>
  </si>
  <si>
    <t>Personal Information</t>
  </si>
  <si>
    <t>name</t>
  </si>
  <si>
    <t>item1</t>
  </si>
  <si>
    <t>Termination Date</t>
  </si>
  <si>
    <t>job-token</t>
  </si>
  <si>
    <t>width</t>
  </si>
  <si>
    <t>Status Information</t>
  </si>
  <si>
    <t>Put any errors you want displayed based on SE calculation issues.</t>
  </si>
  <si>
    <t>Put any warnings you want displayed on the Summary and Important Notes sections (if they are present)</t>
  </si>
  <si>
    <t>Fatal Expression</t>
  </si>
  <si>
    <t>Fatal Expression Message</t>
  </si>
  <si>
    <t>Warning Expression Message</t>
  </si>
  <si>
    <t>Value can not increase by more than 50%.</t>
  </si>
  <si>
    <t>Enter the average annual rate of return you expect your investements in the 401(k) plan to earn each year. This value must be between {MinValue}% and {MaxValue}%.</t>
  </si>
  <si>
    <t>iSaveRate</t>
  </si>
  <si>
    <t>Employee Deferral to 401(k) Plan as a Percentage of Pay</t>
  </si>
  <si>
    <r>
      <t>Not Implemented Yet</t>
    </r>
    <r>
      <rPr>
        <i/>
        <sz val="10"/>
        <rFont val="Arial"/>
        <family val="2"/>
      </rPr>
      <t xml:space="preserve"> - Dynamic</t>
    </r>
    <r>
      <rPr>
        <sz val="10"/>
        <rFont val="Arial"/>
        <family val="2"/>
      </rPr>
      <t xml:space="preserve">: Setting the </t>
    </r>
    <r>
      <rPr>
        <i/>
        <sz val="10"/>
        <rFont val="Arial"/>
        <family val="2"/>
      </rPr>
      <t>Include</t>
    </r>
    <r>
      <rPr>
        <sz val="10"/>
        <rFont val="Arial"/>
        <family val="2"/>
      </rPr>
      <t xml:space="preserve"> column to </t>
    </r>
    <r>
      <rPr>
        <b/>
        <i/>
        <sz val="10"/>
        <rFont val="Arial"/>
        <family val="2"/>
      </rPr>
      <t>Y/visible:{stateID}</t>
    </r>
    <r>
      <rPr>
        <sz val="10"/>
        <rFont val="Arial"/>
        <family val="2"/>
      </rPr>
      <t xml:space="preserve">.  Currently supported </t>
    </r>
    <r>
      <rPr>
        <i/>
        <sz val="10"/>
        <rFont val="Arial"/>
        <family val="2"/>
      </rPr>
      <t xml:space="preserve">stateID </t>
    </r>
    <r>
      <rPr>
        <sz val="10"/>
        <rFont val="Arial"/>
        <family val="2"/>
      </rPr>
      <t>values are listed below.</t>
    </r>
  </si>
  <si>
    <r>
      <t>Hide</t>
    </r>
    <r>
      <rPr>
        <sz val="10"/>
        <rFont val="Arial"/>
        <family val="2"/>
      </rPr>
      <t xml:space="preserve">: Setting the </t>
    </r>
    <r>
      <rPr>
        <i/>
        <sz val="10"/>
        <rFont val="Arial"/>
        <family val="2"/>
      </rPr>
      <t>Include</t>
    </r>
    <r>
      <rPr>
        <sz val="10"/>
        <rFont val="Arial"/>
        <family val="2"/>
      </rPr>
      <t xml:space="preserve"> column to </t>
    </r>
    <r>
      <rPr>
        <b/>
        <i/>
        <sz val="10"/>
        <rFont val="Arial"/>
        <family val="2"/>
      </rPr>
      <t>Y/hide</t>
    </r>
    <r>
      <rPr>
        <sz val="10"/>
        <rFont val="Arial"/>
        <family val="2"/>
      </rPr>
      <t xml:space="preserve"> will include the value for 'coding' purposes, but will not display the value on screens that generically dump</t>
    </r>
  </si>
  <si>
    <t>Valid Calculation Layouts [Calculated]</t>
  </si>
  <si>
    <t>MHABatchTypes:Adhoc Report</t>
  </si>
  <si>
    <t>MHACalculationTypes:Death</t>
  </si>
  <si>
    <t>MHACalculationTypes:Disability</t>
  </si>
  <si>
    <t>Plan Provisions</t>
  </si>
  <si>
    <t>MHCalculationTypes</t>
  </si>
  <si>
    <t>MHACalculationTypes</t>
  </si>
  <si>
    <t>MHAUpdateTypes</t>
  </si>
  <si>
    <t>MHABatchTypes</t>
  </si>
  <si>
    <t>RBLProcessFilters</t>
  </si>
  <si>
    <t>Name</t>
  </si>
  <si>
    <t>Url</t>
  </si>
  <si>
    <t>Plan Name</t>
  </si>
  <si>
    <t>Arizona Igloo Retirement Plan</t>
  </si>
  <si>
    <t>Gets a value indicating whether the BTR membership provider is configured to require an e-mail address as the user name.  If this is set to true, the during registration, there will not be seperate inputs for both the user name and the e-mail.  The default is true.&lt;</t>
  </si>
  <si>
    <t>Enable Password Reset</t>
  </si>
  <si>
    <t>Enable Remember UserName</t>
  </si>
  <si>
    <t>Use Email As UserName</t>
  </si>
  <si>
    <t>Members Preregistered</t>
  </si>
  <si>
    <t>Gets a value indicating whether the BTR membership provider is configured so that all members are registered automatically by system not requiring a registration step for the actual member.  The default is false.</t>
  </si>
  <si>
    <t>Enable IVR Access</t>
  </si>
  <si>
    <t>Gets a value indicating whether the BTR membership provider is configured to allow IVR Access to the site.  The default is false.</t>
  </si>
  <si>
    <t>Min Required Password Length</t>
  </si>
  <si>
    <t>Max Password Length</t>
  </si>
  <si>
    <t>Min Required Nonalphanumeric Characters</t>
  </si>
  <si>
    <t>Min Required Numeric Characters</t>
  </si>
  <si>
    <t>Min Required Upper Case Characters</t>
  </si>
  <si>
    <t>Min Required Lower Case Characters</t>
  </si>
  <si>
    <t>Gets the minimum length (1-20) required for a password.  The default is 7.</t>
  </si>
  <si>
    <t>Gets the maximum length (20-128) allowed for a password.  The default is 30.</t>
  </si>
  <si>
    <t xml:space="preserve">Some cells are 'registered' with the process that will convert them into code, but you simply want to reference the cell so as not to duplicate text/formula (i.e. Labels in Calc Layouts).  You can use the </t>
  </si>
  <si>
    <t>CopyFormula() function in this situation.</t>
  </si>
  <si>
    <t>date-birth</t>
  </si>
  <si>
    <t>Current Status</t>
  </si>
  <si>
    <t>status</t>
  </si>
  <si>
    <t>Status</t>
  </si>
  <si>
    <t>Previous Status</t>
  </si>
  <si>
    <t>Batch Ind</t>
  </si>
  <si>
    <t>batch-ind</t>
  </si>
  <si>
    <t>Version History</t>
  </si>
  <si>
    <t>Version</t>
  </si>
  <si>
    <t>Date</t>
  </si>
  <si>
    <t>Author</t>
  </si>
  <si>
    <t>Flat Data</t>
  </si>
  <si>
    <t>Gets the specified site domain (i.e. azigloo.com) to be used in any site generated emails.</t>
  </si>
  <si>
    <t>Membership Error Messages (Optional)</t>
  </si>
  <si>
    <t>Membership Inputs (Optional)</t>
  </si>
  <si>
    <t>Watermark</t>
  </si>
  <si>
    <t>Regular Expression</t>
  </si>
  <si>
    <t>Hint</t>
  </si>
  <si>
    <t>Subject</t>
  </si>
  <si>
    <t>From</t>
  </si>
  <si>
    <t>Use Email Container</t>
  </si>
  <si>
    <t>Body</t>
  </si>
  <si>
    <t>Email Confirmation Settings (Optional)</t>
  </si>
  <si>
    <t>Bcc</t>
  </si>
  <si>
    <t>Send To Member</t>
  </si>
  <si>
    <t>Lockout Email Settings (Optional)</t>
  </si>
  <si>
    <t>Failure Count</t>
  </si>
  <si>
    <t>Warning</t>
  </si>
  <si>
    <t>Filter Expression</t>
  </si>
  <si>
    <t>CalcInputs.iDateTerm3.Label</t>
  </si>
  <si>
    <t>CalcInputs.iDateTerm4.Label</t>
  </si>
  <si>
    <t>CalcInputs.iDateTerm5.Label</t>
  </si>
  <si>
    <t>CalcInputs.iDateBenComm2.Label</t>
  </si>
  <si>
    <t>CalcInputs.iDateBenComm3.Label</t>
  </si>
  <si>
    <t>CalcInputs.iDateBenComm4.Label</t>
  </si>
  <si>
    <t>CalcInputs.iDateBenComm5.Label</t>
  </si>
  <si>
    <t>CalcInputs.iCurPay.Label</t>
  </si>
  <si>
    <t>CalcInputs.iCurHours.Label</t>
  </si>
  <si>
    <t>CalcInputs.iFinalPay.Label</t>
  </si>
  <si>
    <t>CalcInputs.iFinalHours.Label</t>
  </si>
  <si>
    <t>CalcInputs.iSalScale.Label</t>
  </si>
  <si>
    <t>Historical.BeneficiaryInformation.DateBirth</t>
  </si>
  <si>
    <t>Historical.StatusByPlanHistory.Index</t>
  </si>
  <si>
    <t>&lt;p&gt;Hello {UserName},&lt;/p&gt;
&lt;p&gt;Thank you for registering on the {SiteName} website.  Use the e-mail address &lt;b&gt;{UserName}&lt;/b&gt; and password you provided during registration to sign in at any time.&lt;/p&gt;
&lt;p&gt;This e-mail message contains important information on how to use your account, including what to do if you forget your password. Please save or print a copy so you can refer to it later.&lt;/p&gt;
&lt;p&gt;&lt;b&gt;To Sign In&lt;/b&gt;&lt;br/&gt;Click the sign in link at the {SiteName} site, and then type your username and password in the sign in box.&lt;/p&gt;
&lt;p&gt;You can also sign in with a single click, by choosing to save your username and password on your computer when you sign in.&lt;/p&gt;
&lt;p&gt;&lt;b&gt;To Sign Out&lt;/b&gt;&lt;br/&gt;Click the sign-out link to sign out the site.  Note that your online session will expire, causing an automatic signout if there is more than {UserIsOnlineTimeWindow} minutes of inactivity.&lt;/p&gt;
&lt;p&gt;&lt;b&gt;Other Important Links&lt;/b&gt;&lt;br/&gt;You can sign in to Account Services at: &lt;a href="{AccountServiceUrl}"&gt;{AccountServiceUrl}&lt;/a&gt;&lt;/p&gt;
&lt;p&gt;At Account Services you can see more useful information, and view or change your profile.&lt;/p&gt;
&lt;p&gt;&lt;b&gt;If You Forget Your Password&lt;/b&gt;&lt;br/&gt;You can reset your password at Account Services. We strongly recommend choosing a question and a secret answer, and an alternate e-mail address where we can send you a password reset message. To create these password safeguards, go to the Credentials page of Account Services.&lt;/p&gt;
&lt;p&gt;To reset your password, go to Account Services, click Forgot Your Password, and follow the instructions on the screen.&lt;/p&gt;
&lt;p&gt;We are committed to protecting your privacy. We encourage you to review the Privacy Statement at &lt;a href="{PrivacyStatementUrl}"&gt;{PrivacyStatementUrl}&lt;/a&gt;.&lt;/p&gt;
&lt;p&gt;If you have questions regarding the Privacy Statement, send an e-mail message to &lt;a href="mailto:{PrivacySupportEmail}?Subject=Questions on Privacy Statement"&gt;{PrivacySupportEmail}&lt;/a&gt;.&lt;/p&gt;
&lt;p&gt;{CustomerSupportName}&lt;/p&gt;
&lt;p&gt;&lt;b&gt;Note:&lt;/b&gt;&lt;br/&gt;Please do not reply to this message, which was sent from an unmonitored e-mail address. Mail sent to this address cannot be answered.&lt;/p&gt;</t>
  </si>
  <si>
    <t>Reset your {SiteName} Password</t>
  </si>
  <si>
    <t xml:space="preserve">&lt;p&gt;Hello {UserName},&lt;/p&gt;
&lt;p&gt;We received your request to reset your {SiteName} password. To confirm your request and reset your password, follow the instructions below. Confirming your request helps prevent unauthorized access to your account.&lt;/p&gt;
&lt;p&gt;If you didn't request that your password be reset, please follow the instructions below to cancel your request.&lt;/p&gt;
&lt;p&gt;&lt;b&gt;CONFIRM REQUEST AND RESET PASSWORD&lt;/b&gt;&lt;/p&gt;
&lt;p&gt;1. Copy the following web address:&lt;/p&gt;
&lt;p&gt;{ResetUrl}&lt;/p&gt;
&lt;p&gt;IMPORTANT:  Because fraudulent ("phishing") e-mail often uses misleading links, {ClientName} recommends that you do not click links in e-mail, but instead copy and paste them into your browsers, as described above.&lt;/p&gt;
&lt;p&gt;2. Open your web browser, paste the link in the address bar, and then press ENTER.&lt;/p&gt;
&lt;p&gt;IMPORTANT:  The password reset link above expires at {ResetExpires}.&lt;/p&gt;
&lt;p&gt;3. Follow the instructions on the web page that opens.&lt;/p&gt;
&lt;p&gt;&lt;b&gt;CANCEL PASSWORD RESET&lt;/b&gt;&lt;/p&gt;
&lt;p&gt;1. Copy the following web address.&lt;/p&gt;
&lt;p&gt;{CancelUrl}&lt;/p&gt;
&lt;p&gt;IMPORTANT:  Because fraudulent ("phishing") e-mail often uses misleading links, {ClientName} recommends that you do not click links in e-mail, but instead copy and paste them into your browsers, as described above.&lt;/p&gt;
&lt;p&gt;2. Open your web browser, paste the link in the address bar, and then press ENTER.&lt;/p&gt;
&lt;p&gt;3. Follow the instructions on the web page that opens.&lt;/p&gt;
&lt;p&gt;&lt;b&gt;OTHER INFORMATION&lt;/b&gt;&lt;/p&gt;
&lt;p&gt;{ClientName} is committed to protecting your privacy. We encourage you to review our privacy statement Privacy Statement at &lt;a href="{PrivacyStatementUrl}"&gt;{PrivacyStatementUrl}&lt;/a&gt;.&lt;/p&gt;
&lt;p&gt;Thank you,&lt;/p&gt;
&lt;p&gt;{CustomerSupportName}&lt;/p&gt;
&lt;p&gt;&lt;b&gt;Note:&lt;/b&gt;&lt;br/&gt;Please do not reply to this message, which was sent from an unmonitored e-mail address. Mail sent to this address cannot be answered.&lt;/p&gt;
</t>
  </si>
  <si>
    <t>{SiteName} - Alternate E-mail Change Confirmation</t>
  </si>
  <si>
    <t>&lt;p&gt;Hello {UserName},&lt;/p&gt;
&lt;p&gt;Thank you for using the {SiteName} website.&lt;/p&gt;
&lt;p&gt;This email serves as a confirmation that your alternate e-mail was changed from the {SiteName}.&lt;/p&gt;
&lt;p&gt;If you didn't request that your password be changed, immediately contact {ClientName} and inform them of fraudulent use of your account.&lt;/p&gt;
&lt;p&gt;{ClientName} is committed to protecting your privacy. We encourage you to review our privacy statement at &lt;a href="{PrivacyStatementUrl}"&gt;{PrivacyStatementUrl}&lt;/a&gt;.&lt;/p&gt;
&lt;p&gt;{CustomerSupportName}&lt;/p&gt;
&lt;p&gt;&lt;b&gt;Note:&lt;/b&gt;&lt;br/&gt;Please do not reply to this message, which was sent from an unmonitored e-mail address. Mail sent to this address cannot be answered.&lt;/p&gt;</t>
  </si>
  <si>
    <t>{SiteName} - Password Change Confirmation</t>
  </si>
  <si>
    <t>&lt;p&gt;Hello {UserName},&lt;/p&gt;
&lt;p&gt;Thank you for using the {SiteName} website.&lt;/p&gt;
&lt;p&gt;This email serves as a confirmation that your password was changed from the {SiteName}.&lt;/p&gt;
&lt;p&gt;If you didn't request that your password be changed, immediately contact {ClientName} and inform them of fraudulent use of your account.&lt;/p&gt;
&lt;p&gt;{ClientName} is committed to protecting your privacy. We encourage you to review our privacy statement at &lt;a href="{PrivacyStatementUrl}"&gt;{PrivacyStatementUrl}&lt;/a&gt;.&lt;/p&gt;
&lt;p&gt;{CustomerSupportName}&lt;/p&gt;
&lt;p&gt;&lt;b&gt;Note:&lt;/b&gt;&lt;br/&gt;Please do not reply to this message, which was sent from an unmonitored e-mail address. Mail sent to this address cannot be answered.&lt;/p&gt;</t>
  </si>
  <si>
    <t>&lt;p&gt;Hello {UserName},&lt;/p&gt;
&lt;p&gt;Thank you for using the {SiteName} website.&lt;/p&gt;
&lt;p&gt;This email serves as a confirmation that your user name was changed from {OldUserName} to {NewUserName}.&lt;/p&gt;
&lt;p&gt;If you didn't request that your e-mail address be changed, immediately contact {ClientName} and inform them of fraudulent use of your account.&lt;/p&gt;
&lt;p&gt;{ClientName} is committed to protecting your privacy. We encourage you to review our privacy statement Privacy Statement at &lt;a href="{PrivacyStatementUrl}"&gt;{PrivacyStatementUrl}&lt;/a&gt;.&lt;/p&gt;
&lt;p&gt;{CustomerSupportName}&lt;/p&gt;
&lt;p&gt;&lt;b&gt;Note:&lt;/b&gt;&lt;br/&gt;Please do not reply to this message, which was sent from an unmonitored e-mail address. Mail sent to this address cannot be answered.&lt;/p&gt;</t>
  </si>
  <si>
    <t>{SiteName} - User Name Change Confirmation</t>
  </si>
  <si>
    <t>&lt;p&gt;Hello {UserName},&lt;/p&gt;
&lt;p&gt;Thank you for using the {SiteName} website.&lt;/p&gt;
&lt;p&gt;This email serves as a confirmation that your secret question and answer choices have been changed.  Your secret question was changed to "{NewQuestion}".&lt;/p&gt;
&lt;p&gt;If you didn't request that your e-mail address be changed, immediately contact {ClientName} and inform them of fraudulent use of your account.&lt;/p&gt;
&lt;p&gt;{ClientName} is committed to protecting your privacy. We encourage you to review our privacy statement Privacy Statement at &lt;a href="{PrivacyStatementUrl}"&gt;{PrivacyStatementUrl}&lt;/a&gt;.&lt;/p&gt;
&lt;p&gt;{CustomerSupportName}&lt;/p&gt;
&lt;p&gt;&lt;b&gt;Note:&lt;/b&gt;&lt;br/&gt;Please do not reply to this message, which was sent from an unmonitored e-mail address. Mail sent to this address cannot be answered.&lt;/p&gt;</t>
  </si>
  <si>
    <t>{SiteName} - Secret Question and Answer Change Confirmation</t>
  </si>
  <si>
    <t>&lt;p&gt;Hello {UserName},&lt;/p&gt;
&lt;p&gt;Thank you for using the {SiteName} website.&lt;/p&gt;
&lt;p&gt;This email serves as a confirmation that your either your IVR alias or pin or both have been changed.  Your IVR alias was changed to "{IVRAlias}".&lt;/p&gt;
&lt;p&gt;If you didn't request that your e-mail address be changed, immediately contact {ClientName} and inform them of fraudulent use of your account.&lt;/p&gt;
&lt;p&gt;{ClientName} is committed to protecting your privacy. We encourage you to review our privacy statement Privacy Statement at &lt;a href="{PrivacyStatementUrl}"&gt;{PrivacyStatementUrl}&lt;/a&gt;.&lt;/p&gt;
&lt;p&gt;{CustomerSupportName}&lt;/p&gt;
&lt;p&gt;&lt;b&gt;Note:&lt;/b&gt;&lt;br/&gt;Please do not reply to this message, which was sent from an unmonitored e-mail address. Mail sent to this address cannot be answered.&lt;/p&gt;</t>
  </si>
  <si>
    <t>{SiteName} - IVR Credentials Change Confirmation</t>
  </si>
  <si>
    <t>Password Reset</t>
  </si>
  <si>
    <t>Password Change</t>
  </si>
  <si>
    <t>Alternate Email Change</t>
  </si>
  <si>
    <t>User Name Change</t>
  </si>
  <si>
    <t>Secret Question Answer Change</t>
  </si>
  <si>
    <t>IVR Change</t>
  </si>
  <si>
    <t>terry.aney@charter.net</t>
  </si>
  <si>
    <t>Property</t>
  </si>
  <si>
    <t>Error Type</t>
  </si>
  <si>
    <t>Confirmation Type</t>
  </si>
  <si>
    <r>
      <t xml:space="preserve">Use this sheet to specify general site settings specific to the area (site) specified below in the </t>
    </r>
    <r>
      <rPr>
        <i/>
        <sz val="10"/>
        <rFont val="Arial"/>
        <family val="2"/>
      </rPr>
      <t>Site Area</t>
    </r>
    <r>
      <rPr>
        <sz val="10"/>
        <rFont val="Arial"/>
        <family val="2"/>
      </rPr>
      <t xml:space="preserve"> property.</t>
    </r>
  </si>
  <si>
    <t xml:space="preserve">This tab is exhaustive and lets you control all aspects of membership on BTR sites without requiring BTR/Buck to produce any custom coding to </t>
  </si>
  <si>
    <t>changes several settings, messages, emails, etc.  By default, only the 'Application Settings' section is required to be filled out and all other sections/settings</t>
  </si>
  <si>
    <t>will use default properties that have been determined by BTR/Buck to satisfy almost all client needs.  However, when it comes time to make some customizations,</t>
  </si>
  <si>
    <r>
      <t xml:space="preserve">you can view the documentation / template by clicking RBL Addin - Help - View 5.0 Template Sheets and looking at the </t>
    </r>
    <r>
      <rPr>
        <i/>
        <sz val="10"/>
        <rFont val="Arial"/>
        <family val="2"/>
      </rPr>
      <t>Site Settings - Template</t>
    </r>
    <r>
      <rPr>
        <sz val="10"/>
        <rFont val="Arial"/>
        <family val="2"/>
      </rPr>
      <t xml:space="preserve"> tab for all the</t>
    </r>
  </si>
  <si>
    <t>properties available to customize and their default values when not configured in this tab.</t>
  </si>
  <si>
    <t>Sample Lives</t>
  </si>
  <si>
    <r>
      <t xml:space="preserve">Provide a list of sample lives you would like to enable for this site.  </t>
    </r>
    <r>
      <rPr>
        <i/>
        <sz val="10"/>
        <rFont val="Arial"/>
        <family val="2"/>
      </rPr>
      <t>Key</t>
    </r>
    <r>
      <rPr>
        <sz val="10"/>
        <rFont val="Arial"/>
        <family val="2"/>
      </rPr>
      <t xml:space="preserve"> is simply a unique value without spaces.  This value can be used in the ?sl=[Key] syntax</t>
    </r>
  </si>
  <si>
    <t>Membership Settings</t>
  </si>
  <si>
    <t>to automatically log in that sample (a key value of first.last is the norm).  If UserName is an email, please use the @samplelogin.com domain as BTR owns it.</t>
  </si>
  <si>
    <t>All columns are required.</t>
  </si>
  <si>
    <t>All the properties that configure how the membership provider should work for this site (i.e. Password Attempt Window, Max Invalid Password Attempts, etc.) are</t>
  </si>
  <si>
    <r>
      <t xml:space="preserve">controlled in this section.  View the </t>
    </r>
    <r>
      <rPr>
        <i/>
        <sz val="10"/>
        <rFont val="Arial"/>
        <family val="2"/>
      </rPr>
      <t>Site Settings - Template</t>
    </r>
    <r>
      <rPr>
        <sz val="10"/>
        <rFont val="Arial"/>
        <family val="2"/>
      </rPr>
      <t xml:space="preserve"> to see the available properties to configure.  If you wish to override any of the properties, copy the row</t>
    </r>
  </si>
  <si>
    <r>
      <t xml:space="preserve">from the </t>
    </r>
    <r>
      <rPr>
        <i/>
        <sz val="10"/>
        <rFont val="Arial"/>
        <family val="2"/>
      </rPr>
      <t>Site Settings - Template</t>
    </r>
    <r>
      <rPr>
        <sz val="10"/>
        <rFont val="Arial"/>
        <family val="2"/>
      </rPr>
      <t xml:space="preserve">sheet and paste it here (because the name of the </t>
    </r>
    <r>
      <rPr>
        <i/>
        <sz val="10"/>
        <rFont val="Arial"/>
        <family val="2"/>
      </rPr>
      <t>Property</t>
    </r>
    <r>
      <rPr>
        <sz val="10"/>
        <rFont val="Arial"/>
        <family val="2"/>
      </rPr>
      <t xml:space="preserve"> column must match exactly) and modify the </t>
    </r>
    <r>
      <rPr>
        <i/>
        <sz val="10"/>
        <rFont val="Arial"/>
        <family val="2"/>
      </rPr>
      <t>Value</t>
    </r>
    <r>
      <rPr>
        <sz val="10"/>
        <rFont val="Arial"/>
        <family val="2"/>
      </rPr>
      <t xml:space="preserve"> column.</t>
    </r>
  </si>
  <si>
    <t>Membership Inputs</t>
  </si>
  <si>
    <r>
      <t xml:space="preserve">All the properties that configure labels, hints, error messages, etc. for configurable membership inputs are controlled in this section.  View the </t>
    </r>
    <r>
      <rPr>
        <i/>
        <sz val="10"/>
        <rFont val="Arial"/>
        <family val="2"/>
      </rPr>
      <t>Site Settings - Template</t>
    </r>
    <r>
      <rPr>
        <sz val="10"/>
        <rFont val="Arial"/>
        <family val="2"/>
      </rPr>
      <t xml:space="preserve"> </t>
    </r>
  </si>
  <si>
    <t>to see the available inputs to configure and their default value.  If you wish to override any of the input settings properties, copy the row</t>
  </si>
  <si>
    <r>
      <t xml:space="preserve">from the </t>
    </r>
    <r>
      <rPr>
        <i/>
        <sz val="10"/>
        <rFont val="Arial"/>
        <family val="2"/>
      </rPr>
      <t>Site Settings - Template</t>
    </r>
    <r>
      <rPr>
        <sz val="10"/>
        <rFont val="Arial"/>
        <family val="2"/>
      </rPr>
      <t xml:space="preserve">sheet and paste it here (because the name of the </t>
    </r>
    <r>
      <rPr>
        <i/>
        <sz val="10"/>
        <rFont val="Arial"/>
        <family val="2"/>
      </rPr>
      <t xml:space="preserve">Input </t>
    </r>
    <r>
      <rPr>
        <sz val="10"/>
        <rFont val="Arial"/>
        <family val="2"/>
      </rPr>
      <t>column must match exactly) and modify any of the property columns.</t>
    </r>
  </si>
  <si>
    <t>Membership Error Messages</t>
  </si>
  <si>
    <r>
      <t xml:space="preserve">All error messages that are configurable that occur during various membership operations are controlled in this section.  View the </t>
    </r>
    <r>
      <rPr>
        <i/>
        <sz val="10"/>
        <rFont val="Arial"/>
        <family val="2"/>
      </rPr>
      <t>Site Settings - Template</t>
    </r>
    <r>
      <rPr>
        <sz val="10"/>
        <rFont val="Arial"/>
        <family val="2"/>
      </rPr>
      <t xml:space="preserve"> </t>
    </r>
  </si>
  <si>
    <t>to see the available messages to configure and their default value.  If you wish to override any of the default error messages, copy the row</t>
  </si>
  <si>
    <r>
      <t xml:space="preserve">from the </t>
    </r>
    <r>
      <rPr>
        <i/>
        <sz val="10"/>
        <rFont val="Arial"/>
        <family val="2"/>
      </rPr>
      <t>Site Settings - Template</t>
    </r>
    <r>
      <rPr>
        <sz val="10"/>
        <rFont val="Arial"/>
        <family val="2"/>
      </rPr>
      <t xml:space="preserve">sheet and paste it here (because the name of the </t>
    </r>
    <r>
      <rPr>
        <i/>
        <sz val="10"/>
        <rFont val="Arial"/>
        <family val="2"/>
      </rPr>
      <t xml:space="preserve">Error Type </t>
    </r>
    <r>
      <rPr>
        <sz val="10"/>
        <rFont val="Arial"/>
        <family val="2"/>
      </rPr>
      <t xml:space="preserve">column must match exactly) and modify the </t>
    </r>
    <r>
      <rPr>
        <i/>
        <sz val="10"/>
        <rFont val="Arial"/>
        <family val="2"/>
      </rPr>
      <t>Message</t>
    </r>
    <r>
      <rPr>
        <sz val="10"/>
        <rFont val="Arial"/>
        <family val="2"/>
      </rPr>
      <t xml:space="preserve"> column.</t>
    </r>
  </si>
  <si>
    <r>
      <t xml:space="preserve">Only copy over rows containing the </t>
    </r>
    <r>
      <rPr>
        <i/>
        <sz val="10"/>
        <rFont val="Arial"/>
        <family val="2"/>
      </rPr>
      <t>Error Type</t>
    </r>
    <r>
      <rPr>
        <sz val="10"/>
        <rFont val="Arial"/>
        <family val="2"/>
      </rPr>
      <t xml:space="preserve"> you wish to customize.</t>
    </r>
  </si>
  <si>
    <t>Email Confirmation Settings</t>
  </si>
  <si>
    <r>
      <t xml:space="preserve">All email confirmations that are configurable that occur during various membership operations are controlled in this section.  View the </t>
    </r>
    <r>
      <rPr>
        <i/>
        <sz val="10"/>
        <rFont val="Arial"/>
        <family val="2"/>
      </rPr>
      <t>Site Settings - Template</t>
    </r>
    <r>
      <rPr>
        <sz val="10"/>
        <rFont val="Arial"/>
        <family val="2"/>
      </rPr>
      <t xml:space="preserve"> </t>
    </r>
  </si>
  <si>
    <t>to see the available confirmation types to configure and their default settings.  If you wish to override any of the confirmation email properties, copy the row</t>
  </si>
  <si>
    <r>
      <t xml:space="preserve">from the </t>
    </r>
    <r>
      <rPr>
        <i/>
        <sz val="10"/>
        <rFont val="Arial"/>
        <family val="2"/>
      </rPr>
      <t>Site Settings - Template</t>
    </r>
    <r>
      <rPr>
        <sz val="10"/>
        <rFont val="Arial"/>
        <family val="2"/>
      </rPr>
      <t xml:space="preserve">sheet and paste it here (because the name of the </t>
    </r>
    <r>
      <rPr>
        <i/>
        <sz val="10"/>
        <rFont val="Arial"/>
        <family val="2"/>
      </rPr>
      <t xml:space="preserve">Confirmation Type </t>
    </r>
    <r>
      <rPr>
        <sz val="10"/>
        <rFont val="Arial"/>
        <family val="2"/>
      </rPr>
      <t>column must match exactly) and modify any of the property columns.</t>
    </r>
  </si>
  <si>
    <r>
      <t xml:space="preserve">Only copy over rows containing the </t>
    </r>
    <r>
      <rPr>
        <i/>
        <sz val="10"/>
        <rFont val="Arial"/>
        <family val="2"/>
      </rPr>
      <t>Input</t>
    </r>
    <r>
      <rPr>
        <sz val="10"/>
        <rFont val="Arial"/>
        <family val="2"/>
      </rPr>
      <t xml:space="preserve"> you wish to customize and only fill in property columns that you wish to override and leave any blank where the default value will suffice</t>
    </r>
  </si>
  <si>
    <r>
      <t xml:space="preserve">Only copy over rows containing the </t>
    </r>
    <r>
      <rPr>
        <i/>
        <sz val="10"/>
        <rFont val="Arial"/>
        <family val="2"/>
      </rPr>
      <t xml:space="preserve">Confirmation Type </t>
    </r>
    <r>
      <rPr>
        <sz val="10"/>
        <rFont val="Arial"/>
        <family val="2"/>
      </rPr>
      <t>you wish to customize and only fill in property columns that you wish to override and leave any blank where the default value will suffice</t>
    </r>
  </si>
  <si>
    <t>Lockout Email Settings</t>
  </si>
  <si>
    <r>
      <t xml:space="preserve">Same as </t>
    </r>
    <r>
      <rPr>
        <i/>
        <sz val="10"/>
        <rFont val="Arial"/>
        <family val="2"/>
      </rPr>
      <t>Email Confirmation Settings</t>
    </r>
    <r>
      <rPr>
        <sz val="10"/>
        <rFont val="Arial"/>
        <family val="2"/>
      </rPr>
      <t xml:space="preserve"> in that you are configuring warning and lockout emails during failed authentication.  By default there is a warning after 4 failures and 7 failures.</t>
    </r>
  </si>
  <si>
    <r>
      <t xml:space="preserve">You can have as many warnings as you desire.  Simply set the </t>
    </r>
    <r>
      <rPr>
        <i/>
        <sz val="10"/>
        <rFont val="Arial"/>
        <family val="2"/>
      </rPr>
      <t>Type</t>
    </r>
    <r>
      <rPr>
        <sz val="10"/>
        <rFont val="Arial"/>
        <family val="2"/>
      </rPr>
      <t xml:space="preserve"> column to 'Warning' and specify the </t>
    </r>
    <r>
      <rPr>
        <i/>
        <sz val="10"/>
        <rFont val="Arial"/>
        <family val="2"/>
      </rPr>
      <t>Failure Count</t>
    </r>
    <r>
      <rPr>
        <sz val="10"/>
        <rFont val="Arial"/>
        <family val="2"/>
      </rPr>
      <t xml:space="preserve"> that triggers that message.  To configure the 'Lockout' email, set </t>
    </r>
    <r>
      <rPr>
        <i/>
        <sz val="10"/>
        <rFont val="Arial"/>
        <family val="2"/>
      </rPr>
      <t>Type</t>
    </r>
  </si>
  <si>
    <t>you wish to override and leave any blank where the default value will suffice</t>
  </si>
  <si>
    <r>
      <t>to 'Lockout' (</t>
    </r>
    <r>
      <rPr>
        <i/>
        <sz val="10"/>
        <rFont val="Arial"/>
        <family val="2"/>
      </rPr>
      <t>Failure Count</t>
    </r>
    <r>
      <rPr>
        <sz val="10"/>
        <rFont val="Arial"/>
        <family val="2"/>
      </rPr>
      <t xml:space="preserve"> is ignored on this row) and provide your settings.  View the </t>
    </r>
    <r>
      <rPr>
        <i/>
        <sz val="10"/>
        <rFont val="Arial"/>
        <family val="2"/>
      </rPr>
      <t xml:space="preserve">Site Settings - Template </t>
    </r>
    <r>
      <rPr>
        <sz val="10"/>
        <rFont val="Arial"/>
        <family val="2"/>
      </rPr>
      <t xml:space="preserve">to see the default warnings at 4 and 7.  Only fill in property columns that </t>
    </r>
  </si>
  <si>
    <r>
      <t>Note:</t>
    </r>
    <r>
      <rPr>
        <sz val="10"/>
        <rFont val="Arial"/>
        <family val="2"/>
      </rPr>
      <t xml:space="preserve"> If you put any 'Warning' rows in here, it disables the default warnings of 4 and 7 and *only* uses the warnings you supply.</t>
    </r>
  </si>
  <si>
    <t>Secret Questions</t>
  </si>
  <si>
    <r>
      <t xml:space="preserve">In this section you can override the default Secret Questions used for the password reset option.  View the </t>
    </r>
    <r>
      <rPr>
        <i/>
        <sz val="10"/>
        <rFont val="Arial"/>
        <family val="2"/>
      </rPr>
      <t>Site Settings - Template</t>
    </r>
    <r>
      <rPr>
        <sz val="10"/>
        <rFont val="Arial"/>
        <family val="2"/>
      </rPr>
      <t xml:space="preserve"> to see the eight default messages.</t>
    </r>
  </si>
  <si>
    <r>
      <t>Note:</t>
    </r>
    <r>
      <rPr>
        <sz val="10"/>
        <rFont val="Arial"/>
        <family val="2"/>
      </rPr>
      <t xml:space="preserve"> If you put any 'Secret Question' rows in here, it disables the default eight questions and *only* uses the questions you supply.</t>
    </r>
  </si>
  <si>
    <t>Require IVR Pin Change</t>
  </si>
  <si>
    <t>Membership Settings - Admin to Participant</t>
  </si>
  <si>
    <t>This table describes expressions that are used to automatically populate/update the membership database for a participant site during updates to the database while in the administration site.</t>
  </si>
  <si>
    <t>Membership Settings For Admin Site to Communicate with Participant Site (Optional)</t>
  </si>
  <si>
    <t>If you do not need the administration site to automatically grant/revoke access to the associated participant site, you can delete all rows within this section (leaving the header rows intact).</t>
  </si>
  <si>
    <t>valuePastCalcs</t>
  </si>
  <si>
    <t>isAdminCalc</t>
  </si>
  <si>
    <t>Calculation Errors</t>
  </si>
  <si>
    <t>nav-intro-before</t>
  </si>
  <si>
    <t>nav-intro-after</t>
  </si>
  <si>
    <t>result-intro</t>
  </si>
  <si>
    <t>result-header</t>
  </si>
  <si>
    <t>result-footer</t>
  </si>
  <si>
    <t>&lt;&lt;div class=""hr noprint""&gt;&gt;&lt;&lt;/div&gt;&gt;&lt;&lt;p class=""noprint""&gt;&gt;&lt;&lt;a href=""javascript:ToggleInputs(true);""&gt;&gt;&lt;&lt;img src=""include/images/client/button_changeAssumptions.png"" border=""0""/&gt;&gt;&lt;&lt;/a&gt;&gt;&lt;&lt;/p&gt;&gt;</t>
  </si>
  <si>
    <t>{0:0.00}</t>
  </si>
  <si>
    <t>{0:c}</t>
  </si>
  <si>
    <t>Admin Site Data Load Groupings (Optional)</t>
  </si>
  <si>
    <t>Admin Site Data Load Groupings</t>
  </si>
  <si>
    <t xml:space="preserve">This table describes groupings (filtered views of data) to use as a comparison report during data loads.  The most common grouping is 'Actives'.  Then during data loads you can see a summary </t>
  </si>
  <si>
    <t>for each grouping stating how many people in that grouping are part of the update file, how many have changes, etc.  Expression that returns a boolean representing a filtered view of the entire data set.</t>
  </si>
  <si>
    <t>The most common is 'active' which normally is =GetProfileString("status","Status",,"Last")="AC"</t>
  </si>
  <si>
    <t>Final test of saving version history.</t>
  </si>
  <si>
    <t>Validation RegEx Message</t>
  </si>
  <si>
    <t>Please enter a valid standard 5 digit US Zip Code format (#####) or the US ZIP + 4 Standard format (#####-####).</t>
  </si>
  <si>
    <t>Flat.EmployeeInformation.DemographicInformation.Zip.RegExMessage</t>
  </si>
  <si>
    <t>CalcInputs.iSaveBal.ErrorMessage</t>
  </si>
  <si>
    <t>Please provide a numeric value (0.00) less than {Max} and it should be increments of 10,000.00.</t>
  </si>
  <si>
    <t>Flat/Historical - Added Validation RegEx Message.</t>
  </si>
  <si>
    <t>Calc Inputs - Removed Warning/Fatal Expression Message elements and just require a single custom ErrorMessage value.</t>
  </si>
  <si>
    <t>^[_a-zA-Z0-9-]+(\.[_a-zA-Z0-9-]+)*@[a-zA-Z0-9-]+(\.[a-zA-Z0-9-]+)*\.(([0-9]{1,3})|([a-zA-Z]{2,3})|(aero|coop|info|museum|name))$</t>
  </si>
  <si>
    <t>Modified the layout of Site Access tab.</t>
  </si>
  <si>
    <t>User Name</t>
  </si>
  <si>
    <t>Profile Filter</t>
  </si>
  <si>
    <r>
      <t>Note:</t>
    </r>
    <r>
      <rPr>
        <i/>
        <sz val="10"/>
        <rFont val="Arial"/>
        <family val="2"/>
      </rPr>
      <t xml:space="preserve">  </t>
    </r>
    <r>
      <rPr>
        <sz val="10"/>
        <rFont val="Arial"/>
        <family val="2"/>
      </rPr>
      <t>Position has one other possibility.  Normally, it just works on the absolute first and/or last item when determining the positional row to grab.  But if you need to have it work on a relative first and/or last item (i.e. Last row where index is on or</t>
    </r>
  </si>
  <si>
    <t>before XYZ) there is an additional psuedo expression syntax you can inject.  You can insert an expression in the format of {index[operator][value]} where [value] is a string representation of the index.  Meaning you have to format it accordingly so that sorting</t>
  </si>
  <si>
    <r>
      <t xml:space="preserve">and </t>
    </r>
    <r>
      <rPr>
        <i/>
        <sz val="10"/>
        <rFont val="Arial"/>
        <family val="2"/>
      </rPr>
      <t>GetProfileString("status","Status",,"Last{index&lt;=2009}-1")</t>
    </r>
  </si>
  <si>
    <r>
      <t xml:space="preserve">and comparisons works (i.e. make sure to zero pad in appropriate spots).  For example, if you wanted Current and Previous status to be relative to the year 2009, you could have formulas of </t>
    </r>
    <r>
      <rPr>
        <i/>
        <sz val="10"/>
        <rFont val="Arial"/>
        <family val="2"/>
      </rPr>
      <t>GetProfileString("status","Status",,"Last{index&lt;=2009}")</t>
    </r>
  </si>
  <si>
    <t>Added support for new relative/positional filtering for GetProfileXXX() methods.</t>
  </si>
  <si>
    <t xml:space="preserve">for positional querying.  Valid values are First[{index[operator][value]}], First+N[{index[operator][value]}], Last[{index[operator][value]}], Last-N[{index[operator][value]}] (where N is an integer value - First+1 </t>
  </si>
  <si>
    <t>would get the second row).  If no data exists, null will be returned.</t>
  </si>
  <si>
    <t>MHABatchDocumentTypes</t>
  </si>
  <si>
    <t>stmt</t>
  </si>
  <si>
    <t>Statement</t>
  </si>
  <si>
    <t>DocGenFiles</t>
  </si>
  <si>
    <t>Statement.doc</t>
  </si>
  <si>
    <t>term</t>
  </si>
  <si>
    <t>TermVestedNotification.doc</t>
  </si>
  <si>
    <t>NeedsDownloadPackage</t>
  </si>
  <si>
    <t>MergeDocuments</t>
  </si>
  <si>
    <t>FilesPerZip</t>
  </si>
  <si>
    <t>FileNamePrefix</t>
  </si>
  <si>
    <t>ResourceFiles</t>
  </si>
  <si>
    <t>TaxNotice.doc</t>
  </si>
  <si>
    <t>CalculationType</t>
  </si>
  <si>
    <t>Term Vested Notification</t>
  </si>
  <si>
    <t>tvn</t>
  </si>
  <si>
    <t>Added MHABatchDocumentTypes table to framework lookups.</t>
  </si>
  <si>
    <t>Added MHABatchDocumentTypes table to framework lookup tab.</t>
  </si>
  <si>
    <t>Changed Data Default for iDateBirthBen.</t>
  </si>
  <si>
    <t>Remove bad links.</t>
  </si>
  <si>
    <t>Report ID</t>
  </si>
  <si>
    <t>Export File Name</t>
  </si>
  <si>
    <t>Data Filter</t>
  </si>
  <si>
    <t>Default Listings</t>
  </si>
  <si>
    <t>Listing Name</t>
  </si>
  <si>
    <t>StatusCount</t>
  </si>
  <si>
    <t>StatusLocationGrid</t>
  </si>
  <si>
    <t>FlowOfLives</t>
  </si>
  <si>
    <t>FTP / PGP Details (Optional)</t>
  </si>
  <si>
    <t>Summary Count Reports</t>
  </si>
  <si>
    <t>Data Listing Reports</t>
  </si>
  <si>
    <t>Ad Hoc Reports</t>
  </si>
  <si>
    <t>Custom Reports</t>
  </si>
  <si>
    <t>Field 1 Config</t>
  </si>
  <si>
    <t>Field 2 Config</t>
  </si>
  <si>
    <t>ListingValuationData</t>
  </si>
  <si>
    <t>ListingMailingLabels</t>
  </si>
  <si>
    <t>ListingBenefitPayableHistory</t>
  </si>
  <si>
    <t>ListingTestingTable</t>
  </si>
  <si>
    <t>ListingBatchIndicators</t>
  </si>
  <si>
    <t>Fixed the compare override for death/disability.</t>
  </si>
  <si>
    <t>Basic Info</t>
  </si>
  <si>
    <t>Summary</t>
  </si>
  <si>
    <t>Optional Forms</t>
  </si>
  <si>
    <t>Detailed Calcs</t>
  </si>
  <si>
    <t>options</t>
  </si>
  <si>
    <t>RBL</t>
  </si>
  <si>
    <t>Document Downloads</t>
  </si>
  <si>
    <t>Process Status</t>
  </si>
  <si>
    <t>CalculationStatus</t>
  </si>
  <si>
    <t>DocumentDownload</t>
  </si>
  <si>
    <t>Added navigation/contents table to RBLBenCalc tab.</t>
  </si>
  <si>
    <t>Change column headers in Resources and Plan Provisions tables.</t>
  </si>
  <si>
    <t>PlanInfo.SelectedProfile.Display</t>
  </si>
  <si>
    <t>Participant: {0}, Status: {1}</t>
  </si>
  <si>
    <t>Selected Profile Header Display Expression</t>
  </si>
  <si>
    <r>
      <t xml:space="preserve">string GetLookupString( string fieldName, string tableName = null, string tableIndex = null, string tablePosition = null ): </t>
    </r>
    <r>
      <rPr>
        <sz val="10"/>
        <rFont val="Arial"/>
        <family val="2"/>
      </rPr>
      <t>Same as GetProfileString() except returns the actual label for a specified</t>
    </r>
  </si>
  <si>
    <r>
      <t xml:space="preserve">lookup field' or null.  </t>
    </r>
    <r>
      <rPr>
        <b/>
        <sz val="10"/>
        <rFont val="Arial"/>
        <family val="2"/>
      </rPr>
      <t>This function should only be called for fields that or hooked up to a code table lookup.</t>
    </r>
  </si>
  <si>
    <t>Area</t>
  </si>
  <si>
    <t>Allow AWS</t>
  </si>
  <si>
    <t>AWS Effective Date</t>
  </si>
  <si>
    <t>Assigned Roles</t>
  </si>
  <si>
    <r>
      <t>Allow AWS Expression</t>
    </r>
    <r>
      <rPr>
        <sz val="10"/>
        <rFont val="Arial"/>
        <family val="2"/>
      </rPr>
      <t xml:space="preserve"> - Expression that returns a boolean representing whether or not a profile record should have access to an associated employee site, normally GetProfileString("status","Status",,"Last")="AC"</t>
    </r>
  </si>
  <si>
    <r>
      <t xml:space="preserve">Display Name </t>
    </r>
    <r>
      <rPr>
        <sz val="10"/>
        <rFont val="Arial"/>
        <family val="2"/>
      </rPr>
      <t>Expression - Expression that returns a string representing the 'name' of the participant for their membership record, normally GetProfileString("name-first")&amp;" " &amp;GetProfileString("name-last")</t>
    </r>
  </si>
  <si>
    <t>AWS Effective Date Expression - Expression that returns a datetime representing when a membership record should become 'active', normally =Today() or blank (meaning immediately).  You would only use this expression if you load a profile record(s) early that should have access to the employee site but not be granted access until a later date.</t>
  </si>
  <si>
    <t>Registration ID Expression - Expression that returns a string representing the registration ID a member has to use when registering for employee site, normally =GetProfileString("ssn")</t>
  </si>
  <si>
    <t>Registration Password Expression - Expression that returns a string representing the registration password a member has to use when registering for employee site, normally =LEFT(GetProfileString("ssn"),4)&amp;YEAR(GetProfileDate("date-birth")).</t>
  </si>
  <si>
    <t>IVR Alias Expression - Expression that returns a string representing the IVR alias a member has to use when accessing the IVR system, normally =GetProfileString("ssn").  Only provide this if IVR access is allowed.</t>
  </si>
  <si>
    <t>IVR Pin Expression - Expression that returns a string representing the IVR pin a member has to use when accessing the IVR system, normally =FormatValue(GetProfileDate("date-birth"),"{0:MMyyyy}").  Only provide this if IVR access is allowed.</t>
  </si>
  <si>
    <t>Require IVR Pin Change - Whether or not a member is required to change their IVR Pin when they access the IVR system.</t>
  </si>
  <si>
    <t>Roles Expression - Expression that returns a string representing a comma delimitted list of roles that should be applied when granting access to an employee site.  Normally, there are not roles associated with member sites, but an example might be =IF(GetProfileString("code-plan")="abc","Role1,Role2","")</t>
  </si>
  <si>
    <t>Changed MembershipSettings from Admin to Particpant sites to support more than one participant site.</t>
  </si>
  <si>
    <t>AZI.Administration</t>
  </si>
  <si>
    <t>Changed membership client for admin area.</t>
  </si>
  <si>
    <t>Fixed the Calculated Expression column.</t>
  </si>
  <si>
    <t>Index Value Substitutions</t>
  </si>
  <si>
    <t>CurrentStatus</t>
  </si>
  <si>
    <t>PriorStatus</t>
  </si>
  <si>
    <r>
      <t>Index Value Substitutions</t>
    </r>
    <r>
      <rPr>
        <sz val="10"/>
        <rFont val="Arial"/>
        <family val="2"/>
      </rPr>
      <t xml:space="preserve">: This table allows the ability to use the function CurrentIndex( {name} ) to return a hard coded index.  This aid in the ability to set an index to a fixed value if you don't want to use position configurations on settings such as </t>
    </r>
  </si>
  <si>
    <t>reports when a client wants the ability to 'pre-load' values that are reported on but does not want the pre-loaded values to affect the report.  For example, if you have a CurrentStatus index of 2010-1 and a PreviousStatus index of 2009-4 and you want</t>
  </si>
  <si>
    <t>to force the Status Count and Flow of Lives reports to work off of these indexes and the client pre-loaded a 2010-2 row.  If you were using {Last} and {Last-1} positional configurations, your report would now use the 2010-2 row for the affected participants.</t>
  </si>
  <si>
    <r>
      <t xml:space="preserve">However, if you now use the CurrentIndex( ) function, you can lock reports to specific indexes </t>
    </r>
    <r>
      <rPr>
        <b/>
        <sz val="10"/>
        <rFont val="Arial"/>
        <family val="2"/>
      </rPr>
      <t>and</t>
    </r>
    <r>
      <rPr>
        <sz val="10"/>
        <rFont val="Arial"/>
        <family val="2"/>
      </rPr>
      <t xml:space="preserve"> only configure what the index is defined as in one place (as opposed to having to update several report/listing configurations each period change).</t>
    </r>
  </si>
  <si>
    <t>2010-4</t>
  </si>
  <si>
    <t>2010-3</t>
  </si>
  <si>
    <t>So in this scenario, your Status Count report would be configured with: =GetDataConfig("status","Status",CurrentIndex("CurrentStatus"))</t>
  </si>
  <si>
    <t>Administration Area Only: Expression that represents how a record in xDS should be displayed in on screen listings to represent a profile, normally =GetProfileString("name-last")&amp;", "&amp;GetProfileString("name-first")</t>
  </si>
  <si>
    <t>Administration Area Only: When creating a new File Load data load process, this specifies if/how the system can purge old file load processes.  Note that all downloaded files and audit reports will remain in the system.</t>
  </si>
  <si>
    <t>Administration Area Only: When creating a new Calculated Data Load process (of any type), this specifies if/how the system can purge old Calculated Data Load processes.  Note that all downloaded files and audit reports will remain in the system.</t>
  </si>
  <si>
    <t>Administration Area Only: When creating a new Batch Job process (of any type), this specifies if/how the system can purge old Batch Job processes.</t>
  </si>
  <si>
    <t>Expression that represents how a record in xDS should be displayed in on screen listings to represent a profile, normally =GetProfileString("name-last")&amp;", "&amp;GetProfileString("name-first")</t>
  </si>
  <si>
    <t>When creating a new File Load data load process, this specifies if/how the system can purge old file load processes.  Note that all downloaded files and audit reports will remain in the system.</t>
  </si>
  <si>
    <t>When creating a new Calculated Data Load process (of any type), this specifies if/how the system can purge old Calculated Data Load processes.  Note that all downloaded files and audit reports will remain in the system.</t>
  </si>
  <si>
    <t>When creating a new Batch Job process (of any type), this specifies if/how the system can purge old Batch Job processes.</t>
  </si>
  <si>
    <t>Moved 'admin only' settings from Plan Info into the Site Settings - Administration tab.</t>
  </si>
  <si>
    <t>Default Sort</t>
  </si>
  <si>
    <t>Ascending</t>
  </si>
  <si>
    <t>Columns Per Page</t>
  </si>
  <si>
    <t>Default Listing Columns Per Page</t>
  </si>
  <si>
    <t>Administration Area Only: Expression that represents how a record in xDS should be displayed in the crumb trail in a selectedcontext, normally =GetProfileString("name-first")&amp;" "&amp;GetProfileString("name-last") (but could include things like status, group, plan, etc.)</t>
  </si>
  <si>
    <t>Expression that represents how a record in xDS should be displayed in the crumb trail in a selectedcontext, normally =GetProfileString("name-first")&amp;" "&amp;GetProfileString("name-last") (but could include things like status, group, plan, etc.)</t>
  </si>
  <si>
    <t>View Data Warnings</t>
  </si>
  <si>
    <t>When viewing data for a participant.  If you would like a bulleted list of messages/warnings to appear when viewing the data, you can provide an expression to control visibility</t>
  </si>
  <si>
    <t>along with the message text to display.  All columns are required.</t>
  </si>
  <si>
    <t>ViewData.Warnings.InitialDataBad</t>
  </si>
  <si>
    <t>This participant currently has 'incorrect' data assigned to them (Initial Data Is Bad flag = Y).</t>
  </si>
  <si>
    <t>Severity</t>
  </si>
  <si>
    <t>Changed Selected Profile Header Display Expression to fit Crumb Trail better</t>
  </si>
  <si>
    <t>Added View Data Warnings Support</t>
  </si>
  <si>
    <t>Added Default Sorting Preference on History Tables</t>
  </si>
  <si>
    <t>Added Columns Per Page on Default Listing, All Reports, and Historical Tables.</t>
  </si>
  <si>
    <t>Field 1 Label</t>
  </si>
  <si>
    <t>Field 2 Label</t>
  </si>
  <si>
    <t>Added Summary Report Labels.</t>
  </si>
  <si>
    <t>Removed Site Url from 'Site Settings' tabs as it is no longer needed since the url is stored in the database configuration.</t>
  </si>
  <si>
    <t>Min Summary</t>
  </si>
  <si>
    <t>Max Summary</t>
  </si>
  <si>
    <t>Edit Only</t>
  </si>
  <si>
    <t>View Only</t>
  </si>
  <si>
    <t>Added 'Edit Only' and 'View Only' columns to Flat/Historical.</t>
  </si>
  <si>
    <t>Is Hidden</t>
  </si>
  <si>
    <t>Default Value Expression</t>
  </si>
  <si>
    <t>Fixed Registration ID formula from GetProfileString(ssn) to GetProfileNumber()</t>
  </si>
  <si>
    <t>Calculation Warnings</t>
  </si>
  <si>
    <t>Please review the following warnings that occurred during your calculation.  If you have any questions, please contact technical support.</t>
  </si>
  <si>
    <t>Participant Information</t>
  </si>
  <si>
    <t>Estimate Calculation</t>
  </si>
  <si>
    <t>There were errors in the calculation.  Please contact technical support if any of the information below seems incorrect.</t>
  </si>
  <si>
    <t>output-file</t>
  </si>
  <si>
    <r>
      <t>DateTime FirstOfMonthOrCoincident( DateTime targetDate ):</t>
    </r>
    <r>
      <rPr>
        <sz val="10"/>
        <rFont val="Arial"/>
        <family val="2"/>
      </rPr>
      <t xml:space="preserve"> Returns the first day of the following month that </t>
    </r>
    <r>
      <rPr>
        <i/>
        <sz val="10"/>
        <rFont val="Arial"/>
        <family val="2"/>
      </rPr>
      <t>targetDate</t>
    </r>
    <r>
      <rPr>
        <sz val="10"/>
        <rFont val="Arial"/>
        <family val="2"/>
      </rPr>
      <t xml:space="preserve"> exists in if </t>
    </r>
    <r>
      <rPr>
        <i/>
        <sz val="10"/>
        <rFont val="Arial"/>
        <family val="2"/>
      </rPr>
      <t>targetDate's</t>
    </r>
    <r>
      <rPr>
        <sz val="10"/>
        <rFont val="Arial"/>
        <family val="2"/>
      </rPr>
      <t xml:space="preserve"> day is not already the first day of a month.</t>
    </r>
  </si>
  <si>
    <t>Fixed couple named ranges on RBLResult.</t>
  </si>
  <si>
    <t>Supress Tahiti Logo</t>
  </si>
  <si>
    <t>Whether or not to supress the Tahiti logo in upper left of application.</t>
  </si>
  <si>
    <t>Administration Area Only: Whether or not to supress the Tahiti logo in upper left of application.</t>
  </si>
  <si>
    <t>Batch DocGen Expiration</t>
  </si>
  <si>
    <t>Administration Area Only: When creating a new Batch DocGen process (of any type), this specifies if/how the system can purge old Batch DocGen processes.</t>
  </si>
  <si>
    <t>Recalculation Expiration</t>
  </si>
  <si>
    <t>Administration Area Only: When creating a new Recalculation process, this specifies if/how the system can purge old Recalculation processes.</t>
  </si>
  <si>
    <t>Added new expiration settings for Recalculation and Batch DocGen types.</t>
  </si>
  <si>
    <t>Modeling</t>
  </si>
  <si>
    <t>Changed Participant area to Modeling.</t>
  </si>
  <si>
    <t>DocGen used to leverage a bookmark table (consisting of id/visible columns) and still supports it, however</t>
  </si>
  <si>
    <t>Word behaves much better/more reliable positioning if you simple use Word IF field codes.</t>
  </si>
  <si>
    <t>docgen-table-properties</t>
  </si>
  <si>
    <t>font-size</t>
  </si>
  <si>
    <t>table-name</t>
  </si>
  <si>
    <t>Added docgen-table-properties</t>
  </si>
  <si>
    <t>letter</t>
  </si>
  <si>
    <t>screen</t>
  </si>
  <si>
    <t>sampleHtml</t>
  </si>
  <si>
    <t>&lt;&lt;b&gt;&gt;Bold&lt;&lt;/b&gt;&gt;</t>
  </si>
  <si>
    <t>sampleDocGen</t>
  </si>
  <si>
    <t>Bold</t>
  </si>
  <si>
    <t>Added letter, screen, and code column samples to calcdetail.</t>
  </si>
  <si>
    <t>Areas</t>
  </si>
  <si>
    <t>Added Areas configuration column to MHCalculationTypes.</t>
  </si>
  <si>
    <t>data1</t>
  </si>
  <si>
    <t>iIsAdHocConfig</t>
  </si>
  <si>
    <t>col1</t>
  </si>
  <si>
    <t>col2</t>
  </si>
  <si>
    <t>col3</t>
  </si>
  <si>
    <t>col4</t>
  </si>
  <si>
    <t>col5</t>
  </si>
  <si>
    <t>ExportType</t>
  </si>
  <si>
    <t>ReportData</t>
  </si>
  <si>
    <t>There are a couple reserved field names used by the Tahiti/RBL framework:</t>
  </si>
  <si>
    <t>Simple</t>
  </si>
  <si>
    <t>FirstRow</t>
  </si>
  <si>
    <t>Date Birth</t>
  </si>
  <si>
    <t>FieldType</t>
  </si>
  <si>
    <t>String</t>
  </si>
  <si>
    <t>DisplayFormat</t>
  </si>
  <si>
    <t>ExportFormat</t>
  </si>
  <si>
    <t>{0:yyyyMMdd}</t>
  </si>
  <si>
    <t>{0:000000000}</t>
  </si>
  <si>
    <t>John Sample</t>
  </si>
  <si>
    <t>1973-05-09</t>
  </si>
  <si>
    <t>Label-fr</t>
  </si>
  <si>
    <t>Name (fr)</t>
  </si>
  <si>
    <t>SSN (fr)</t>
  </si>
  <si>
    <t>Date Birth (fr)</t>
  </si>
  <si>
    <t>Pay (fr)</t>
  </si>
  <si>
    <t>RBL AdHoc report can contain any numbers of tables to export.  The table name should match the Ad Hoc Table Name specified on the report tab.  Each table can in turn have any number of columns to export and can be any valid 'RBL Name'.</t>
  </si>
  <si>
    <r>
      <rPr>
        <b/>
        <sz val="10"/>
        <rFont val="Arial"/>
        <family val="2"/>
      </rPr>
      <t>ExportType:</t>
    </r>
    <r>
      <rPr>
        <sz val="10"/>
        <rFont val="Arial"/>
        <family val="2"/>
      </rPr>
      <t xml:space="preserve"> This specifies the method of which you would like headers exported when a file is downloaded from the system.  Valid values are FirstRow, Always, Never.  This value should only be assigned on the Label row (described below).</t>
    </r>
  </si>
  <si>
    <r>
      <rPr>
        <b/>
        <sz val="10"/>
        <rFont val="Arial"/>
        <family val="2"/>
      </rPr>
      <t>LayoutKey:</t>
    </r>
    <r>
      <rPr>
        <sz val="10"/>
        <rFont val="Arial"/>
        <family val="2"/>
      </rPr>
      <t xml:space="preserve"> If multiple layouts are specified (some fixed width reports had different types of 'records' exported/displayed for the report), then for each 'data row', you would fill in the id of the layout to use.</t>
    </r>
  </si>
  <si>
    <r>
      <t>Configuration Rows</t>
    </r>
    <r>
      <rPr>
        <sz val="10"/>
        <rFont val="Arial"/>
        <family val="2"/>
      </rPr>
      <t xml:space="preserve"> - Configuration rows reservere special id values and should only be turned on during the configuration job.</t>
    </r>
  </si>
  <si>
    <r>
      <rPr>
        <b/>
        <sz val="10"/>
        <rFont val="Arial"/>
        <family val="2"/>
      </rPr>
      <t>Label:</t>
    </r>
    <r>
      <rPr>
        <sz val="10"/>
        <rFont val="Arial"/>
        <family val="2"/>
      </rPr>
      <t xml:space="preserve"> This controls the name of the column.  When report is display on screen, the header is always used.  During creation of the download file, you can control how the header is displayed by modifying the ExportType column.  Note that you can add additional</t>
    </r>
  </si>
  <si>
    <t>languages by appending -{Culture}.  For example, Label-fr would create labels to display when the user viewing the site is using the French locale.  Contact BTR if you need help determining your desired culture code.</t>
  </si>
  <si>
    <r>
      <rPr>
        <b/>
        <sz val="10"/>
        <rFont val="Arial"/>
        <family val="2"/>
      </rPr>
      <t xml:space="preserve">DisplayFormat: </t>
    </r>
    <r>
      <rPr>
        <sz val="10"/>
        <rFont val="Arial"/>
        <family val="2"/>
      </rPr>
      <t>Specify formats to use when displaying data in the 'On Screen' mode.  You must use a format string that is compatible with C#.    See RBL Utilities - Help - String Formatting Documentation for guidance.</t>
    </r>
  </si>
  <si>
    <r>
      <rPr>
        <b/>
        <sz val="10"/>
        <rFont val="Arial"/>
        <family val="2"/>
      </rPr>
      <t xml:space="preserve">ExportFormat: </t>
    </r>
    <r>
      <rPr>
        <sz val="10"/>
        <rFont val="Arial"/>
        <family val="2"/>
      </rPr>
      <t>Similar to DisplayFormat except this format is only applied during the creation of the download file if the 'raw' numeric or date values will not suffice.</t>
    </r>
  </si>
  <si>
    <t>Note that you only specify a format for date or numeric fields.</t>
  </si>
  <si>
    <r>
      <rPr>
        <b/>
        <sz val="10"/>
        <rFont val="Arial"/>
        <family val="2"/>
      </rPr>
      <t xml:space="preserve">SortDirection: </t>
    </r>
    <r>
      <rPr>
        <sz val="10"/>
        <rFont val="Arial"/>
        <family val="2"/>
      </rPr>
      <t>If SortOrder for a column is specified, you must specify Ascending or Descending as the preferred sort direction.</t>
    </r>
  </si>
  <si>
    <r>
      <rPr>
        <b/>
        <sz val="10"/>
        <rFont val="Arial"/>
        <family val="2"/>
      </rPr>
      <t xml:space="preserve">FixedWidth: </t>
    </r>
    <r>
      <rPr>
        <sz val="10"/>
        <rFont val="Arial"/>
        <family val="2"/>
      </rPr>
      <t>If the report is a fixed width export, you can specify a length (in characters) that each column should occupy when exporting the data.</t>
    </r>
  </si>
  <si>
    <r>
      <rPr>
        <b/>
        <sz val="10"/>
        <rFont val="Arial"/>
        <family val="2"/>
      </rPr>
      <t xml:space="preserve">FixedAlign: </t>
    </r>
    <r>
      <rPr>
        <sz val="10"/>
        <rFont val="Arial"/>
        <family val="2"/>
      </rPr>
      <t>If the report is a fixed width export, you can control the alignment of the column value within its export boundaries using either Left or Right.</t>
    </r>
  </si>
  <si>
    <t>Complex</t>
  </si>
  <si>
    <t>LayoutKey</t>
  </si>
  <si>
    <t>ee</t>
  </si>
  <si>
    <t>dep</t>
  </si>
  <si>
    <t>Never</t>
  </si>
  <si>
    <t>Jane Sample</t>
  </si>
  <si>
    <t>Jim Sample</t>
  </si>
  <si>
    <t>Jeff Sample</t>
  </si>
  <si>
    <t>Record Type</t>
  </si>
  <si>
    <t>E</t>
  </si>
  <si>
    <r>
      <rPr>
        <b/>
        <sz val="10"/>
        <rFont val="Arial"/>
        <family val="2"/>
      </rPr>
      <t xml:space="preserve">Visible: </t>
    </r>
    <r>
      <rPr>
        <sz val="10"/>
        <rFont val="Arial"/>
        <family val="2"/>
      </rPr>
      <t>Whether or not the control is visible on screen/exported during download.  This is useful if you want to create a sort column but not have it displayed.</t>
    </r>
  </si>
  <si>
    <t>H</t>
  </si>
  <si>
    <t>During the processing of a ReportData tab, a single initial 'configuration' job will be submitted (iIsAdHocConfig=1).  The result of this configuration job should exclude all data.  It should only contain the configuration rows (specified below).  There is one exception to this rule.  If</t>
  </si>
  <si>
    <t>Visible</t>
  </si>
  <si>
    <t>sort2</t>
  </si>
  <si>
    <t>sort1</t>
  </si>
  <si>
    <t>Sort Rec Type</t>
  </si>
  <si>
    <t>Sort Data</t>
  </si>
  <si>
    <t>Count</t>
  </si>
  <si>
    <t>{Count}</t>
  </si>
  <si>
    <t>Total Benefit</t>
  </si>
  <si>
    <t>{Sum:sum1}</t>
  </si>
  <si>
    <t>sum1</t>
  </si>
  <si>
    <t>Sum Benefit</t>
  </si>
  <si>
    <t>footer1</t>
  </si>
  <si>
    <t>sum2</t>
  </si>
  <si>
    <t>Sum Pay</t>
  </si>
  <si>
    <t>Total Salary Paid</t>
  </si>
  <si>
    <t>{Sum:sum2}</t>
  </si>
  <si>
    <t>FixedWidth</t>
  </si>
  <si>
    <t>Pad</t>
  </si>
  <si>
    <t>Added sample RBLAdHoc sheet to template for documentation.</t>
  </si>
  <si>
    <t>Fixed on column in RBLAdHoc sample.</t>
  </si>
  <si>
    <t>SortOrder</t>
  </si>
  <si>
    <t>SortDirection</t>
  </si>
  <si>
    <r>
      <rPr>
        <b/>
        <sz val="10"/>
        <rFont val="Arial"/>
        <family val="2"/>
      </rPr>
      <t xml:space="preserve">SortOrder: </t>
    </r>
    <r>
      <rPr>
        <sz val="10"/>
        <rFont val="Arial"/>
        <family val="2"/>
      </rPr>
      <t xml:space="preserve">If you need a default sort order applied to the list before displaying or export, you can specify which columns to sort by based on ordinal numbers of 1-N (N being the total numbers of columns required in the default sort).  </t>
    </r>
    <r>
      <rPr>
        <b/>
        <sz val="10"/>
        <rFont val="Arial"/>
        <family val="2"/>
      </rPr>
      <t>Note:</t>
    </r>
    <r>
      <rPr>
        <sz val="10"/>
        <rFont val="Arial"/>
        <family val="2"/>
      </rPr>
      <t xml:space="preserve">  You only need one SortOrder</t>
    </r>
  </si>
  <si>
    <t>and one SortDirection configuration rows even if multiple layouts are defined.  Place these configuration rows on the layout that has the most columns.  Note that the sort applies across all rows (regardless of layout changes) so the value in Column X for all layouts</t>
  </si>
  <si>
    <t>needs to be of the same data type.</t>
  </si>
  <si>
    <r>
      <rPr>
        <b/>
        <sz val="10"/>
        <rFont val="Arial"/>
        <family val="2"/>
      </rPr>
      <t>FieldType:</t>
    </r>
    <r>
      <rPr>
        <sz val="10"/>
        <rFont val="Arial"/>
        <family val="2"/>
      </rPr>
      <t xml:space="preserve">  This specifies the data type the field represent (String, Integer, Double, DateTime, and List:XXX).  Note that DateTime fields, need to export their 'data value' in the yyyy-mm-dd format (similar to 'Update' tabs).  Also note, for multi layout reports (normally </t>
    </r>
  </si>
  <si>
    <t>fixed width) when viewing these reports on screen, all fields will be treated as String for sorting/display purposes since we can't change data types of a listing column on a row per row basis.</t>
  </si>
  <si>
    <t>tokens like {Count}, {Sum:Column}, {Now}.  If you need to format the value of one of these tokens, you can do a C# format string against a token like this {Now:yyyy-MM-dd} (instead of the default 0 as the first token of string).</t>
  </si>
  <si>
    <t>Header</t>
  </si>
  <si>
    <t>Footer</t>
  </si>
  <si>
    <t xml:space="preserve">you want to have a header and footer rows exported for a report, you could set up a 'Header' and 'Footer' LayoutKey and in additional to the configuration columns, you could export 'data rows' during the configuration job.  In this data row, you can use </t>
  </si>
  <si>
    <t>Copies</t>
  </si>
  <si>
    <t>Added Copies value to Batch DocGen Table Type.</t>
  </si>
  <si>
    <t>ReportKey</t>
  </si>
  <si>
    <t>TableName</t>
  </si>
  <si>
    <t>SimpleCalculatedReport</t>
  </si>
  <si>
    <t>Simple Calculated Report</t>
  </si>
  <si>
    <t>Reports.SimpleCalculatedReport</t>
  </si>
  <si>
    <t>Reports.ComplexCalculatedReport</t>
  </si>
  <si>
    <t>Complex Calculated Report</t>
  </si>
  <si>
    <t>Reports.SimpleCalculatedReport.Description</t>
  </si>
  <si>
    <t>Reports.ComplexCalculatedReport.Description</t>
  </si>
  <si>
    <t>Excel formatted report contains fields exported from complex ad hoc report process.</t>
  </si>
  <si>
    <t>Excel formatted report contains fields exported from simple ad hoc report process.</t>
  </si>
  <si>
    <t>ComplexCalculatedReport</t>
  </si>
  <si>
    <t>Reports.SimpleCalculatedReport.FileName</t>
  </si>
  <si>
    <t>Reports.ComplexCalculatedReport.FileName</t>
  </si>
  <si>
    <t>AZI_Simple.csv</t>
  </si>
  <si>
    <t>AZI_Complex.csv</t>
  </si>
  <si>
    <t>ReportMapping</t>
  </si>
  <si>
    <t>AdHocTabs</t>
  </si>
  <si>
    <r>
      <t>DateTime GetDateForDay( DateTime startDate, string desiredDay, string dateType ):</t>
    </r>
    <r>
      <rPr>
        <sz val="10"/>
        <rFont val="Arial"/>
        <family val="2"/>
      </rPr>
      <t xml:space="preserve"> Given </t>
    </r>
    <r>
      <rPr>
        <i/>
        <sz val="10"/>
        <rFont val="Arial"/>
        <family val="2"/>
      </rPr>
      <t>startDate</t>
    </r>
    <r>
      <rPr>
        <sz val="10"/>
        <rFont val="Arial"/>
        <family val="2"/>
      </rPr>
      <t xml:space="preserve"> it figures out the requested </t>
    </r>
    <r>
      <rPr>
        <i/>
        <sz val="10"/>
        <rFont val="Arial"/>
        <family val="2"/>
      </rPr>
      <t>desiredDay</t>
    </r>
    <r>
      <rPr>
        <sz val="10"/>
        <rFont val="Arial"/>
        <family val="2"/>
      </rPr>
      <t xml:space="preserve"> ("Mon", "Tue", etc.) based on the </t>
    </r>
    <r>
      <rPr>
        <i/>
        <sz val="10"/>
        <rFont val="Arial"/>
        <family val="2"/>
      </rPr>
      <t>dateType</t>
    </r>
    <r>
      <rPr>
        <sz val="10"/>
        <rFont val="Arial"/>
        <family val="2"/>
      </rPr>
      <t xml:space="preserve"> relationship ("PreviousWeek",</t>
    </r>
  </si>
  <si>
    <r>
      <rPr>
        <sz val="10"/>
        <rFont val="Arial"/>
        <family val="2"/>
      </rPr>
      <t xml:space="preserve">"PreviousDay", "NextDay", "NextWeek").  Note, you can use "pw", "pd", "nd", "nw" for the </t>
    </r>
    <r>
      <rPr>
        <i/>
        <sz val="10"/>
        <rFont val="Arial"/>
        <family val="2"/>
      </rPr>
      <t>dateType</t>
    </r>
    <r>
      <rPr>
        <sz val="10"/>
        <rFont val="Arial"/>
        <family val="2"/>
      </rPr>
      <t xml:space="preserve"> specification as well.</t>
    </r>
  </si>
  <si>
    <t>UpdateTabs</t>
  </si>
  <si>
    <t>table-indent</t>
  </si>
  <si>
    <t>0.1</t>
  </si>
  <si>
    <t>benefit-type</t>
  </si>
  <si>
    <t>Changed History Validation Error Type to Range Error Type.</t>
  </si>
  <si>
    <t xml:space="preserve">This sheet is primarily just documentation for the different area's Site Settings - {Area} tabs.  This will have all available properties listed </t>
  </si>
  <si>
    <t>for configuration, whereas the area specific tabs will only have required/modified ones displayed leaving blank options to fallback to their</t>
  </si>
  <si>
    <t>default values.</t>
  </si>
  <si>
    <t>SSO Information (Optional)</t>
  </si>
  <si>
    <t>Return Url</t>
  </si>
  <si>
    <t>Failure Message</t>
  </si>
  <si>
    <t>Auto Logout Message</t>
  </si>
  <si>
    <t>Logout Message</t>
  </si>
  <si>
    <t>SSO Information</t>
  </si>
  <si>
    <t>If the site will be accessed by third party site and Single Sign On functionality is required, you can specify settings to use to change messages and/or behavior of the logout functionality.</t>
  </si>
  <si>
    <t>Added SSO Information settings to each area's tab.</t>
  </si>
  <si>
    <t>This page is available only to authorized employees. Please contact technical support if you feel you have reached this message in error.</t>
  </si>
  <si>
    <t>Your session has timed out and your credentials are no longer valid.  Please &lt;a href="javascript:window.open('','_parent','');window.close();"&gt;close&lt;/a&gt; this window and sign into the original website and try again.</t>
  </si>
  <si>
    <t>Your have successfully logged out.  If you wish to use the site again, please &lt;a href="javascript:window.open('','_parent','');window.close();"&gt;close&lt;/a&gt; this window and sign into the original website.</t>
  </si>
  <si>
    <t>Added SSO Information section.</t>
  </si>
  <si>
    <t>Download Delimiter</t>
  </si>
  <si>
    <t>Is Final Calc</t>
  </si>
  <si>
    <t>FinalCalculation</t>
  </si>
  <si>
    <t>iMHAFinalCalculation</t>
  </si>
  <si>
    <t>Keep Alive Url</t>
  </si>
  <si>
    <t>Added Keep Alive Url to SSO configuration.</t>
  </si>
  <si>
    <t>actives</t>
  </si>
  <si>
    <t>FilterExpression</t>
  </si>
  <si>
    <t>Finished RBLProcessFilters spec table design.  Still need to export it.</t>
  </si>
  <si>
    <t>Added type to RBLResult.navigation table.</t>
  </si>
  <si>
    <r>
      <t>int GetSequentialID( string type, bool profileSpecific = true ):</t>
    </r>
    <r>
      <rPr>
        <sz val="10"/>
        <rFont val="Arial"/>
        <family val="2"/>
      </rPr>
      <t xml:space="preserve"> Retrieves the next available sequential ID for a given type (i.e. a historical table name if index were specified as an auto incrementing value).  If the ID is not</t>
    </r>
  </si>
  <si>
    <r>
      <t xml:space="preserve">localized to a profile, but rather client specified (i.e. an incrementing ID required for a report), pass in false for the optional </t>
    </r>
    <r>
      <rPr>
        <i/>
        <sz val="10"/>
        <rFont val="Arial"/>
        <family val="2"/>
      </rPr>
      <t>profileSpecific</t>
    </r>
    <r>
      <rPr>
        <sz val="10"/>
        <rFont val="Arial"/>
        <family val="2"/>
      </rPr>
      <t xml:space="preserve"> parameter.  This is typically only used in a DefaultValue expression for auto</t>
    </r>
  </si>
  <si>
    <t>incrementing fields (i.e. historical table indexes)</t>
  </si>
  <si>
    <t>ssn/key/Table:ConditionalDeleteExport</t>
  </si>
  <si>
    <t>Row Based Export - Using {UseDefaultN} as index to trigger Tahiti load to use the DefaultExpression to determine the calculated value of index.  Typically when GetSequentialID is used in expression</t>
  </si>
  <si>
    <t>ssn/key/Table:UseDefaultN</t>
  </si>
  <si>
    <t>{UseDefault1}</t>
  </si>
  <si>
    <t>{UseDefault2}</t>
  </si>
  <si>
    <t>A59</t>
  </si>
  <si>
    <t>Added ability to use GetSequentialID() in default expressions and updated the export samples to have a {UseDefaultN} sample.</t>
  </si>
  <si>
    <t>Require SSO</t>
  </si>
  <si>
    <t>Added 'Require SSO' as setting for SSO information.  If true, then can only sign into site via SSO (or if special query string provided), otherwise, can not hit the login page.  NOTE: site doesn't implement this yet, just put it into spec/export to have it ready.</t>
  </si>
  <si>
    <t>Area Access</t>
  </si>
  <si>
    <t>Area Impersonation</t>
  </si>
  <si>
    <t>Roles</t>
  </si>
  <si>
    <t>Updated format of Site Access tab.</t>
  </si>
  <si>
    <t>Profile Auth ID</t>
  </si>
  <si>
    <t>AdHocReportKey</t>
  </si>
  <si>
    <t>Added AdHocReportKey as data source identifier in DocGen processes.</t>
  </si>
  <si>
    <t>Links Controlled By Data (Optional)</t>
  </si>
  <si>
    <t>Action Key</t>
  </si>
  <si>
    <t>Enabled Filter</t>
  </si>
  <si>
    <t>Disabled Filter</t>
  </si>
  <si>
    <t>Links Controlled By Data</t>
  </si>
  <si>
    <t>In this section you define links that are to be enabled or disabled based on an adhoc query ran against a currently selected Profile.  The Action Key can be obtained by working with BTR but</t>
  </si>
  <si>
    <t>a simply way to determine it, would be to simply hover the mouse over the navigation link you wish to control and take the last two parts of url that are divided by / and replace the / with .</t>
  </si>
  <si>
    <r>
      <rPr>
        <i/>
        <sz val="10"/>
        <rFont val="Arial"/>
        <family val="2"/>
      </rPr>
      <t>Participant.CalculationRetireList</t>
    </r>
    <r>
      <rPr>
        <sz val="10"/>
        <rFont val="Arial"/>
        <family val="2"/>
      </rPr>
      <t xml:space="preserve">.  To be completely secure and disable all links associated with retirement calculations, it would be better to put </t>
    </r>
    <r>
      <rPr>
        <i/>
        <sz val="10"/>
        <rFont val="Arial"/>
        <family val="2"/>
      </rPr>
      <t>Participant.Calculation*List</t>
    </r>
    <r>
      <rPr>
        <sz val="10"/>
        <rFont val="Arial"/>
        <family val="2"/>
      </rPr>
      <t>.</t>
    </r>
  </si>
  <si>
    <r>
      <t xml:space="preserve">For example, to control retirement calculations, where these calculations have a key of </t>
    </r>
    <r>
      <rPr>
        <i/>
        <sz val="10"/>
        <rFont val="Arial"/>
        <family val="2"/>
      </rPr>
      <t>retire</t>
    </r>
    <r>
      <rPr>
        <sz val="10"/>
        <rFont val="Arial"/>
        <family val="2"/>
      </rPr>
      <t xml:space="preserve"> from the MHACalculationTypes lookup table, the key would be</t>
    </r>
  </si>
  <si>
    <t>Visible Filter</t>
  </si>
  <si>
    <t>Hidden Filter</t>
  </si>
  <si>
    <t>AuthId Element</t>
  </si>
  <si>
    <t>Path to Profile Element</t>
  </si>
  <si>
    <t>Batch/Member</t>
  </si>
  <si>
    <t>xDS Table</t>
  </si>
  <si>
    <t>Relative Path To Element</t>
  </si>
  <si>
    <t>xDS Field</t>
  </si>
  <si>
    <t>Client Field</t>
  </si>
  <si>
    <t>Is Date</t>
  </si>
  <si>
    <t>Delete If Blank</t>
  </si>
  <si>
    <t>Expression</t>
  </si>
  <si>
    <t>eeid</t>
  </si>
  <si>
    <t>marital-status</t>
  </si>
  <si>
    <t>area-code</t>
  </si>
  <si>
    <t>phone</t>
  </si>
  <si>
    <t>job-title</t>
  </si>
  <si>
    <t>bargaining-unit</t>
  </si>
  <si>
    <t>bal-sickleave</t>
  </si>
  <si>
    <t>bal-vacation</t>
  </si>
  <si>
    <t>bal-compensation</t>
  </si>
  <si>
    <t>job-class</t>
  </si>
  <si>
    <t>PayPeriod</t>
  </si>
  <si>
    <t>date-begin</t>
  </si>
  <si>
    <t>date-pay</t>
  </si>
  <si>
    <t>empl-type</t>
  </si>
  <si>
    <t>record-type</t>
  </si>
  <si>
    <t>pay-period</t>
  </si>
  <si>
    <t>department</t>
  </si>
  <si>
    <t>division</t>
  </si>
  <si>
    <t>pay-status</t>
  </si>
  <si>
    <t>pay-rate</t>
  </si>
  <si>
    <t>svc-purchase-amt</t>
  </si>
  <si>
    <t>report-method</t>
  </si>
  <si>
    <t>seq</t>
  </si>
  <si>
    <t>Contribution</t>
  </si>
  <si>
    <t>PayPeriod/Contribution</t>
  </si>
  <si>
    <t>date-recorded</t>
  </si>
  <si>
    <t>cont-type</t>
  </si>
  <si>
    <t>cont-pretax-amount</t>
  </si>
  <si>
    <t>cont-posttax-amount</t>
  </si>
  <si>
    <t>Salary</t>
  </si>
  <si>
    <t>PayPeriod/SalaryComponent</t>
  </si>
  <si>
    <t>salary-type</t>
  </si>
  <si>
    <t>salary-amount</t>
  </si>
  <si>
    <t>EmpHist</t>
  </si>
  <si>
    <t>.</t>
  </si>
  <si>
    <t>@SSN</t>
  </si>
  <si>
    <t>@FirstName</t>
  </si>
  <si>
    <t>@MiddleName</t>
  </si>
  <si>
    <t>@LastName</t>
  </si>
  <si>
    <t>@BirthDate</t>
  </si>
  <si>
    <t>@EmployeeID</t>
  </si>
  <si>
    <t>@MaritalStatus</t>
  </si>
  <si>
    <t>Address/@AddressLine1</t>
  </si>
  <si>
    <t>Address/@AddressLine2</t>
  </si>
  <si>
    <t>Address/@City</t>
  </si>
  <si>
    <t>Address/@State</t>
  </si>
  <si>
    <t>Phone/@AreaCode</t>
  </si>
  <si>
    <t>Phone/@PhoneNumber</t>
  </si>
  <si>
    <t>PayPeriod/@JobTitle</t>
  </si>
  <si>
    <t>PayPeriod/@BargainingUnit</t>
  </si>
  <si>
    <t>PayPeriod/@SickLeaveBalance</t>
  </si>
  <si>
    <t>PayPeriod/@VacationBalance</t>
  </si>
  <si>
    <t>PayPeriod/@CompensationBalance</t>
  </si>
  <si>
    <t>PayPeriod/@JobClass</t>
  </si>
  <si>
    <t>@BeginDate</t>
  </si>
  <si>
    <t>@EndDate</t>
  </si>
  <si>
    <t>@PayDate</t>
  </si>
  <si>
    <t>@EmploymentType</t>
  </si>
  <si>
    <t>@RecordType</t>
  </si>
  <si>
    <t>@PayPeriodID</t>
  </si>
  <si>
    <t>@Plan</t>
  </si>
  <si>
    <t>@Department</t>
  </si>
  <si>
    <t>@Division</t>
  </si>
  <si>
    <t>@JobTitle</t>
  </si>
  <si>
    <t>@BargainingUnit</t>
  </si>
  <si>
    <t>@PayStatus</t>
  </si>
  <si>
    <t>@SickLeaveBalance</t>
  </si>
  <si>
    <t>@VacationBalance</t>
  </si>
  <si>
    <t>@CompensationBalance</t>
  </si>
  <si>
    <t>@UnitsWorked</t>
  </si>
  <si>
    <t>@JobClass</t>
  </si>
  <si>
    <t>@HourlyRate</t>
  </si>
  <si>
    <t>@Amount</t>
  </si>
  <si>
    <t>../@BeginDate</t>
  </si>
  <si>
    <t>../@EndDate</t>
  </si>
  <si>
    <t>../@PayDate</t>
  </si>
  <si>
    <t>@ContributionType</t>
  </si>
  <si>
    <t>@PreTaxAmount</t>
  </si>
  <si>
    <t>@PostTaxAmount</t>
  </si>
  <si>
    <t>@SalaryComponentType</t>
  </si>
  <si>
    <t>@SalaryAmount</t>
  </si>
  <si>
    <t>@HireDate</t>
  </si>
  <si>
    <t>@EmploymentTerminationDate</t>
  </si>
  <si>
    <t>Division (fr)</t>
  </si>
  <si>
    <t>TOR</t>
  </si>
  <si>
    <t>SubTotal</t>
  </si>
  <si>
    <t>{GroupBy}</t>
  </si>
  <si>
    <t>Added SubTotal example to the Simple layout for AdHoc.</t>
  </si>
  <si>
    <t>{Sum:col5}</t>
  </si>
  <si>
    <t>Encode BOM</t>
  </si>
  <si>
    <t>Added 'Encode BOM' on AdHoc Reports.</t>
  </si>
  <si>
    <t>Default Listing Encode BOM</t>
  </si>
  <si>
    <t>Fixed formatting colors/borders on CalcInputs.</t>
  </si>
  <si>
    <r>
      <t xml:space="preserve">have the following tokens available for substitution: </t>
    </r>
    <r>
      <rPr>
        <b/>
        <sz val="10"/>
        <rFont val="Arial"/>
        <family val="2"/>
      </rPr>
      <t>{MinValue}, {MinAge}, {MaxValue}, {MaxAge}, and {Value}.</t>
    </r>
    <r>
      <rPr>
        <sz val="10"/>
        <rFont val="Arial"/>
        <family val="2"/>
      </rPr>
      <t xml:space="preserve">  You have all these same tokens </t>
    </r>
    <r>
      <rPr>
        <b/>
        <sz val="10"/>
        <rFont val="Arial"/>
        <family val="2"/>
      </rPr>
      <t>except</t>
    </r>
  </si>
  <si>
    <t>{Value} available to you for Help Text items as well.  The following are the standard error message variations.</t>
  </si>
  <si>
    <t>Corrected the names of the Tokens that can be used in ErrorMessage and HelpText substitutions.</t>
  </si>
  <si>
    <t>Bridged Site SSO Information</t>
  </si>
  <si>
    <t>Bridged Site SSO Information (Optional)</t>
  </si>
  <si>
    <t>If an Administration system is linked to 4.1 Framework site(s) via Tahiti Data Bridge, you can specify SSO information here so that an Admin system can impersonate a user on employee site running on 4.1 framework.</t>
  </si>
  <si>
    <t>You must provide a unique key for each link (if more than one site is specified).  An TripleDes key will be expected to be found as an embedded resource in client site at Areas/Administration/Resources/TripleDes/{Key}.key.</t>
  </si>
  <si>
    <t>Added 'Bridged Site SSO Information' to be optionally configured in the Site Settings - Administration tab.</t>
  </si>
  <si>
    <r>
      <t xml:space="preserve">Site Name - The name displayed on the participant's View Data page.  i.e. </t>
    </r>
    <r>
      <rPr>
        <i/>
        <sz val="10"/>
        <rFont val="Arial"/>
        <family val="2"/>
      </rPr>
      <t>Impersonate this participant on the {Site Name} site.</t>
    </r>
  </si>
  <si>
    <t>Data Locker Client ID - (Optional, usually left blank)  BTR can help provide you the unique Data Locker client ID if the 4.1 client site has been implemented with a custom ID.</t>
  </si>
  <si>
    <t>Data Locker Client ID</t>
  </si>
  <si>
    <t>Removed Enabled/Disabled expressions in 'Links Controlled By Data (Optional)' settings in Admin spec.  Left Visible/Hidden.  Doesn't really make sense (and code was much more complicated) for enabled/disabled...no need to taunt them with features they can't have ;)  Also, all features would be visible/disabled when no participant is selected, so that should suffice.</t>
  </si>
  <si>
    <t>Base Url</t>
  </si>
  <si>
    <t>Environment</t>
  </si>
  <si>
    <t>Environment - US, TOR UAT, TOR PROD - so we can show only appropriate links in appropriate environments (blank environment will show in all environments)</t>
  </si>
  <si>
    <t>Base Url - Base url of site to impersonate to (i.e. https://www.benefitmodeling.com/azi)</t>
  </si>
  <si>
    <t>Updated Bridged SSO info.</t>
  </si>
  <si>
    <t>keep-together</t>
  </si>
  <si>
    <t>Documented keep-together property of docgen tables.</t>
  </si>
  <si>
    <t>letter-header</t>
  </si>
  <si>
    <t>Added ability to indicate which rows are 'table headers' on DocGen export.</t>
  </si>
  <si>
    <r>
      <t xml:space="preserve">Supported Excel Functions:  </t>
    </r>
    <r>
      <rPr>
        <sz val="10"/>
        <rFont val="Arial"/>
        <family val="2"/>
      </rPr>
      <t xml:space="preserve">ABS(), AND(), DATE(), DAY(), EXP(), IF(), ISNUMBER(), LEFT(), MAX(), MID(), MIN(), MOD(), MONTH(), NOT(), NOW(), OR(), RIGHT(), ROUND(), ROUNDDOWN(), ROUNDUP(), </t>
    </r>
  </si>
  <si>
    <r>
      <t xml:space="preserve">SEARCH(), TODAY(), TRUNC(), WEEKDAY() </t>
    </r>
    <r>
      <rPr>
        <i/>
        <sz val="10"/>
        <rFont val="Arial"/>
        <family val="2"/>
      </rPr>
      <t>(do *not* use second, optional param)</t>
    </r>
    <r>
      <rPr>
        <sz val="10"/>
        <rFont val="Arial"/>
        <family val="2"/>
      </rPr>
      <t>, YEAR(), YEARFRAC()</t>
    </r>
  </si>
  <si>
    <r>
      <t>double ToNumber( object value ):</t>
    </r>
    <r>
      <rPr>
        <sz val="10"/>
        <rFont val="Arial"/>
        <family val="2"/>
      </rPr>
      <t xml:space="preserve"> Attempts to convert </t>
    </r>
    <r>
      <rPr>
        <i/>
        <sz val="10"/>
        <rFont val="Arial"/>
        <family val="2"/>
      </rPr>
      <t>value</t>
    </r>
    <r>
      <rPr>
        <sz val="10"/>
        <rFont val="Arial"/>
        <family val="2"/>
      </rPr>
      <t xml:space="preserve"> to a numeric representation of itself (useful if you have a textual value you want to compare against a number, 1="1" is invalid)</t>
    </r>
  </si>
  <si>
    <r>
      <t xml:space="preserve">DateTime? NowUTC(): </t>
    </r>
    <r>
      <rPr>
        <sz val="10"/>
        <rFont val="Arial"/>
        <family val="2"/>
      </rPr>
      <t>Same as Excel's NOW() function except it converts time to UTC.  Useful when need timezone independent time stamping.</t>
    </r>
  </si>
  <si>
    <r>
      <t>string CurrentIndex( string name ):</t>
    </r>
    <r>
      <rPr>
        <sz val="10"/>
        <rFont val="Arial"/>
        <family val="2"/>
      </rPr>
      <t xml:space="preserve"> Looks up a 'fixed' index value from the Index Value Substitutions table on the Plan Info tab.  Please see documentation on </t>
    </r>
    <r>
      <rPr>
        <i/>
        <sz val="10"/>
        <rFont val="Arial"/>
        <family val="2"/>
      </rPr>
      <t>Plan Info</t>
    </r>
    <r>
      <rPr>
        <sz val="10"/>
        <rFont val="Arial"/>
        <family val="2"/>
      </rPr>
      <t xml:space="preserve"> tab for more information.</t>
    </r>
  </si>
  <si>
    <r>
      <t>object DefaultIfNull( object value, object default ):</t>
    </r>
    <r>
      <rPr>
        <sz val="10"/>
        <rFont val="Arial"/>
        <family val="2"/>
      </rPr>
      <t xml:space="preserve"> Returns </t>
    </r>
    <r>
      <rPr>
        <i/>
        <sz val="10"/>
        <rFont val="Arial"/>
        <family val="2"/>
      </rPr>
      <t>default</t>
    </r>
    <r>
      <rPr>
        <sz val="10"/>
        <rFont val="Arial"/>
        <family val="2"/>
      </rPr>
      <t xml:space="preserve"> value if </t>
    </r>
    <r>
      <rPr>
        <i/>
        <sz val="10"/>
        <rFont val="Arial"/>
        <family val="2"/>
      </rPr>
      <t>value</t>
    </r>
    <r>
      <rPr>
        <sz val="10"/>
        <rFont val="Arial"/>
        <family val="2"/>
      </rPr>
      <t xml:space="preserve">parameter is </t>
    </r>
    <r>
      <rPr>
        <i/>
        <sz val="10"/>
        <rFont val="Arial"/>
        <family val="2"/>
      </rPr>
      <t>null</t>
    </r>
    <r>
      <rPr>
        <sz val="10"/>
        <rFont val="Arial"/>
        <family val="2"/>
      </rPr>
      <t>.</t>
    </r>
  </si>
  <si>
    <t>Incomplete Forms</t>
  </si>
  <si>
    <t>IncompleteForms</t>
  </si>
  <si>
    <t>incomplete-forms</t>
  </si>
  <si>
    <t>hdr</t>
  </si>
  <si>
    <t>header-01</t>
  </si>
  <si>
    <t>Pension Plan Benefit Application Form - Section A. Employee Data</t>
  </si>
  <si>
    <t>det-02-01</t>
  </si>
  <si>
    <t>Confirm Address</t>
  </si>
  <si>
    <t>det-01-01</t>
  </si>
  <si>
    <t>det-01-02</t>
  </si>
  <si>
    <t>Missing marital status election</t>
  </si>
  <si>
    <t>header-02</t>
  </si>
  <si>
    <t>Pension Plan Benefit Application Form - Section C. Form of Payment</t>
  </si>
  <si>
    <t>Missing payment election</t>
  </si>
  <si>
    <t>Client Website Links</t>
  </si>
  <si>
    <t>https://www.benefitmodeling.com/client</t>
  </si>
  <si>
    <t>https://www.benefitmodeling.com/client_test</t>
  </si>
  <si>
    <t>https://secure.benefittech.com/tasks/default.aspx?tl=1&amp;tid=1</t>
  </si>
  <si>
    <t>Spec Sheet Task</t>
  </si>
  <si>
    <t>Value for Calculation</t>
  </si>
  <si>
    <t>If the user is performing a 'Final Calculation' (enabled by a FinalCalculation section in result), this will be set to 1.</t>
  </si>
  <si>
    <t>Calculation type passed during ESS (MH) site calculations.  Matches key column from MHCalculationTypes Framework Lookup Table.</t>
  </si>
  <si>
    <t>Calculation type passed during Admin (MHA) site calculations.  Matches key column from MHACalculationTypes Framework Lookup Table.</t>
  </si>
  <si>
    <t>Calculation type passed during Admin (MHA) site batch processes that perform data updates.  Matches key column from MHAUpdateTypes Framework Lookup Table.</t>
  </si>
  <si>
    <t>Calculation type passed during Admin (MHA) site batch processes that create calculations and/or adhoc report data (no data updating).  Matches key column from MHABatchTypes Framework Lookup Table.</t>
  </si>
  <si>
    <t>Inserts the id of the current page in the website.  This is useful if you have a modeling calculation that needs to run differently based on which page you are on but shares same i*CalcType.</t>
  </si>
  <si>
    <t>If an Admin is running a calculation on an ESS site, the auth id (i.e. philip.parker) is passed in to this parameter and you can use it if needed (i.e. to provide 'helper' text/tables or something)</t>
  </si>
  <si>
    <t>This value is set to 1 when a mini batch from RBL Add-In is being run.  Helpful in setting default values to use for mini batch because inputs are cleared upon the first calculation ran.</t>
  </si>
  <si>
    <t>This value is set to 1 when initial job for an process creating adhoc report data is ran.  A single 'empty' job (no data/inputs) is ran so that export/layout configurations can be properly exported.</t>
  </si>
  <si>
    <r>
      <t xml:space="preserve">If this input is present it will insert a | delimited list of all the input names passed into the CE to compare what site passes vs. CE configuration.  </t>
    </r>
    <r>
      <rPr>
        <b/>
        <sz val="10"/>
        <rFont val="Arial"/>
        <family val="2"/>
      </rPr>
      <t xml:space="preserve">Note:  </t>
    </r>
    <r>
      <rPr>
        <sz val="10"/>
        <rFont val="Arial"/>
        <family val="2"/>
      </rPr>
      <t>You need to remove the -Off from the name to make this work, didn't want it on by default every time due to extra processing/looping required.</t>
    </r>
  </si>
  <si>
    <r>
      <t xml:space="preserve">These inputs are programmatically set based on situations in the GUI, the user does not enter them.  </t>
    </r>
    <r>
      <rPr>
        <b/>
        <sz val="10"/>
        <rFont val="Arial"/>
        <family val="2"/>
      </rPr>
      <t>Note how this table starts 3 rows after last xDS element to ensure RBL doesn't process</t>
    </r>
  </si>
  <si>
    <t>Internal version number.  Should only be changed by BTR, used by RBL Add-In to know what features are supported.</t>
  </si>
  <si>
    <t>This should be set to the name of the xDS Group (coordinate with BTR) to aid in the 'Load Profile Data' function.</t>
  </si>
  <si>
    <t>During RBL Calculations, the RBL Framework delivers values (either inputs or data values) into 'processed sections' (Calculation Inputs, xDS Data Fields, Framework Inputs or Tables).</t>
  </si>
  <si>
    <t>Cleaning up and combining template CE/Spec for US/TOR.</t>
  </si>
  <si>
    <t>During RBL Calculations, all tables found starting at the StartTables named range will be exported for use by caller.</t>
  </si>
  <si>
    <t>Sample formula if you want to allow viewing Past Calculations =IF(iMHCalcType=3,"ResultXml","FolderItem")</t>
  </si>
  <si>
    <t>purposes (i.e. Company Name instead of typing the same Company Name in any/all locations needed.).</t>
  </si>
  <si>
    <t>Planning Calculation Message Parts</t>
  </si>
  <si>
    <t>Planning Calculation Variables</t>
  </si>
  <si>
    <t>The following chart shows the projected monthly income from each retirement source, commencing at the retirement age shown assuming that you work to that age terminate and retire immediately.  In addition, we have included hypothetical annuity values which represents the amount of a lifetime annuity that is actuarially equivalent to your 401(k) balance and your Personal Savings balance.  In other words, we have converted your 401(k) balance and Personal Savings balance into annual annuities payable until your death.</t>
  </si>
  <si>
    <t>An annuity is a contract between you and a life insurance company, where the insurance company invests your money tax deferred, and guarantees you an income immediately or in the future. An annuity can provide you with an income for your lifetime or for a specified period of time.</t>
  </si>
  <si>
    <r>
      <t xml:space="preserve">Any chart located on a result tab will be exported, unless there is a variable defined in the </t>
    </r>
    <r>
      <rPr>
        <i/>
        <sz val="10"/>
        <rFont val="Arial"/>
        <family val="2"/>
      </rPr>
      <t>variable</t>
    </r>
    <r>
      <rPr>
        <sz val="10"/>
        <rFont val="Arial"/>
        <family val="2"/>
      </rPr>
      <t xml:space="preserve"> table named </t>
    </r>
    <r>
      <rPr>
        <i/>
        <sz val="10"/>
        <rFont val="Arial"/>
        <family val="2"/>
      </rPr>
      <t>skip-charts</t>
    </r>
    <r>
      <rPr>
        <sz val="10"/>
        <rFont val="Arial"/>
        <family val="2"/>
      </rPr>
      <t xml:space="preserve"> with a value set to 1.</t>
    </r>
  </si>
  <si>
    <t>Conditionally turning off chart exporting when not necessary can improve the calculation speed.</t>
  </si>
  <si>
    <t>BTR recommends leveraging HighCharts client side charting instead of the in-build Excel charting.  See http://api.highcharts.com/highcharts for documentation.</t>
  </si>
  <si>
    <t>Reserved table and column names processed by RBL Result Builder.</t>
  </si>
  <si>
    <r>
      <rPr>
        <i/>
        <sz val="10"/>
        <rFont val="Arial"/>
        <family val="2"/>
      </rPr>
      <t>navigation.section</t>
    </r>
    <r>
      <rPr>
        <sz val="10"/>
        <rFont val="Arial"/>
        <family val="2"/>
      </rPr>
      <t xml:space="preserve"> - Section ID must be numerical and go from 1 to N (being number of sections).</t>
    </r>
  </si>
  <si>
    <r>
      <rPr>
        <i/>
        <sz val="10"/>
        <rFont val="Arial"/>
        <family val="2"/>
      </rPr>
      <t>navigation.label</t>
    </r>
    <r>
      <rPr>
        <sz val="10"/>
        <rFont val="Arial"/>
        <family val="2"/>
      </rPr>
      <t xml:space="preserve"> - This will be the 'Link' text as well as the 'header' text for this navigation item.</t>
    </r>
  </si>
  <si>
    <r>
      <rPr>
        <i/>
        <sz val="10"/>
        <rFont val="Arial"/>
        <family val="2"/>
      </rPr>
      <t>navigation.link</t>
    </r>
    <r>
      <rPr>
        <sz val="10"/>
        <rFont val="Arial"/>
        <family val="2"/>
      </rPr>
      <t xml:space="preserve"> - If you don't want to use the label as the hyperlinked text for navigation (helpful for subcontent navigation), you can provide text here instead.  If not present or blank, then label is used as the hyperlink.</t>
    </r>
  </si>
  <si>
    <r>
      <rPr>
        <i/>
        <sz val="10"/>
        <rFont val="Arial"/>
        <family val="2"/>
      </rPr>
      <t>navigation.type</t>
    </r>
    <r>
      <rPr>
        <sz val="10"/>
        <rFont val="Arial"/>
        <family val="2"/>
      </rPr>
      <t xml:space="preserve"> - For non-admin sites, this should just be hard coded to </t>
    </r>
    <r>
      <rPr>
        <i/>
        <sz val="10"/>
        <rFont val="Arial"/>
        <family val="2"/>
      </rPr>
      <t>RBL</t>
    </r>
    <r>
      <rPr>
        <sz val="10"/>
        <rFont val="Arial"/>
        <family val="2"/>
      </rPr>
      <t>.</t>
    </r>
  </si>
  <si>
    <r>
      <rPr>
        <i/>
        <sz val="10"/>
        <rFont val="Arial"/>
        <family val="2"/>
      </rPr>
      <t>navigation.selected</t>
    </r>
    <r>
      <rPr>
        <sz val="10"/>
        <rFont val="Arial"/>
        <family val="2"/>
      </rPr>
      <t xml:space="preserve"> - Set one of these to '1' so that we can pick the default item to show.</t>
    </r>
  </si>
  <si>
    <r>
      <rPr>
        <i/>
        <sz val="10"/>
        <rFont val="Arial"/>
        <family val="2"/>
      </rPr>
      <t>navigation</t>
    </r>
    <r>
      <rPr>
        <sz val="10"/>
        <rFont val="Arial"/>
        <family val="2"/>
      </rPr>
      <t xml:space="preserve"> - Allows user to build navigation links to browse results.  Used in conjunction with </t>
    </r>
    <r>
      <rPr>
        <i/>
        <sz val="10"/>
        <rFont val="Arial"/>
        <family val="2"/>
      </rPr>
      <t>contents</t>
    </r>
    <r>
      <rPr>
        <sz val="10"/>
        <rFont val="Arial"/>
        <family val="2"/>
      </rPr>
      <t xml:space="preserve"> table.  Sub navigation is available by adding addition navigation-X table linked to contents.type=subcontent and contents.item=navigation-X.</t>
    </r>
  </si>
  <si>
    <r>
      <rPr>
        <i/>
        <sz val="10"/>
        <rFont val="Arial"/>
        <family val="2"/>
      </rPr>
      <t>contents</t>
    </r>
    <r>
      <rPr>
        <sz val="10"/>
        <rFont val="Arial"/>
        <family val="2"/>
      </rPr>
      <t xml:space="preserve"> - Defined what content (table, text, charts, etc.) to display for each section defined with associated navigation table (navigation-&gt;contents, navigation-X-&gt;contents-X, navigation-Y-&gt;contents-Y).</t>
    </r>
  </si>
  <si>
    <r>
      <rPr>
        <i/>
        <sz val="10"/>
        <rFont val="Arial"/>
        <family val="2"/>
      </rPr>
      <t>contents.section</t>
    </r>
    <r>
      <rPr>
        <sz val="10"/>
        <rFont val="Arial"/>
        <family val="2"/>
      </rPr>
      <t xml:space="preserve"> - This specifies which navigation section to place this 'content' in.  You can also specify 1..N 'All' rows that will display on all sections.</t>
    </r>
  </si>
  <si>
    <r>
      <rPr>
        <i/>
        <sz val="10"/>
        <rFont val="Arial"/>
        <family val="2"/>
      </rPr>
      <t>contents.divider</t>
    </r>
    <r>
      <rPr>
        <sz val="10"/>
        <rFont val="Arial"/>
        <family val="2"/>
      </rPr>
      <t xml:space="preserve"> - If this column = 0, then no divider line will be rendered </t>
    </r>
    <r>
      <rPr>
        <b/>
        <sz val="10"/>
        <rFont val="Arial"/>
        <family val="2"/>
      </rPr>
      <t>before</t>
    </r>
    <r>
      <rPr>
        <sz val="10"/>
        <rFont val="Arial"/>
        <family val="2"/>
      </rPr>
      <t xml:space="preserve"> this section rendered in HTML.</t>
    </r>
  </si>
  <si>
    <r>
      <rPr>
        <i/>
        <sz val="10"/>
        <rFont val="Arial"/>
        <family val="2"/>
      </rPr>
      <t>contents.label</t>
    </r>
    <r>
      <rPr>
        <sz val="10"/>
        <rFont val="Arial"/>
        <family val="2"/>
      </rPr>
      <t xml:space="preserve"> - This is just a 'subheading' to place before this content.</t>
    </r>
  </si>
  <si>
    <r>
      <rPr>
        <i/>
        <sz val="10"/>
        <rFont val="Arial"/>
        <family val="2"/>
      </rPr>
      <t>contents.item</t>
    </r>
    <r>
      <rPr>
        <sz val="10"/>
        <rFont val="Arial"/>
        <family val="2"/>
      </rPr>
      <t xml:space="preserve"> - This is name of 'item' (table) to process with this contents row.</t>
    </r>
  </si>
  <si>
    <r>
      <rPr>
        <i/>
        <sz val="10"/>
        <rFont val="Arial"/>
        <family val="2"/>
      </rPr>
      <t>contents.type</t>
    </r>
    <r>
      <rPr>
        <sz val="10"/>
        <rFont val="Arial"/>
        <family val="2"/>
      </rPr>
      <t xml:space="preserve"> - This tells RBL framework what 'type' of item current content is.  You can use chart (obsolete), HighChart, table, list, numbered, p, or subcontent.</t>
    </r>
  </si>
  <si>
    <r>
      <rPr>
        <i/>
        <sz val="10"/>
        <rFont val="Arial"/>
        <family val="2"/>
      </rPr>
      <t>contents.class</t>
    </r>
    <r>
      <rPr>
        <sz val="10"/>
        <rFont val="Arial"/>
        <family val="2"/>
      </rPr>
      <t xml:space="preserve"> - This tells RBL framework what 'class' to apply to this contents element.  Class can only be used on type = 'table' and is used to control the appearance of a table on the web page with coordination from BTR.</t>
    </r>
  </si>
  <si>
    <r>
      <rPr>
        <i/>
        <sz val="10"/>
        <rFont val="Arial"/>
        <family val="2"/>
      </rPr>
      <t>contents.text</t>
    </r>
    <r>
      <rPr>
        <sz val="10"/>
        <rFont val="Arial"/>
        <family val="2"/>
      </rPr>
      <t xml:space="preserve"> - Rendered as a paragraph below the </t>
    </r>
    <r>
      <rPr>
        <i/>
        <sz val="10"/>
        <rFont val="Arial"/>
        <family val="2"/>
      </rPr>
      <t>contents.label</t>
    </r>
    <r>
      <rPr>
        <sz val="10"/>
        <rFont val="Arial"/>
        <family val="2"/>
      </rPr>
      <t>.  You can have as many text* columns as you want, and each is rendered as a new paragraph (&lt;p/&gt; element).</t>
    </r>
  </si>
  <si>
    <r>
      <rPr>
        <i/>
        <sz val="10"/>
        <rFont val="Arial"/>
        <family val="2"/>
      </rPr>
      <t>variable</t>
    </r>
    <r>
      <rPr>
        <sz val="10"/>
        <rFont val="Arial"/>
        <family val="2"/>
      </rPr>
      <t xml:space="preserve"> - There are a few BTR reserved id's for special processing, but in general a good place to provide a simple key/value result for caller to use.</t>
    </r>
  </si>
  <si>
    <r>
      <rPr>
        <i/>
        <sz val="10"/>
        <rFont val="Arial"/>
        <family val="2"/>
      </rPr>
      <t>variable.skip-charts</t>
    </r>
    <r>
      <rPr>
        <sz val="10"/>
        <rFont val="Arial"/>
        <family val="2"/>
      </rPr>
      <t xml:space="preserve"> - If this is set to 1, then charts will not be exported from the calculation.  Setting this to 1 overrides any settings configured on the website.</t>
    </r>
  </si>
  <si>
    <r>
      <rPr>
        <i/>
        <sz val="10"/>
        <rFont val="Arial"/>
        <family val="2"/>
      </rPr>
      <t>variable.job-token</t>
    </r>
    <r>
      <rPr>
        <sz val="10"/>
        <rFont val="Arial"/>
        <family val="2"/>
      </rPr>
      <t xml:space="preserve"> - Used to verify propery calculation results returned to caller.  See comment on iJobToken input on </t>
    </r>
    <r>
      <rPr>
        <i/>
        <sz val="10"/>
        <rFont val="Arial"/>
        <family val="2"/>
      </rPr>
      <t>RBLInput</t>
    </r>
    <r>
      <rPr>
        <sz val="10"/>
        <rFont val="Arial"/>
        <family val="2"/>
      </rPr>
      <t xml:space="preserve"> sheet.</t>
    </r>
  </si>
  <si>
    <r>
      <rPr>
        <i/>
        <sz val="10"/>
        <rFont val="Arial"/>
        <family val="2"/>
      </rPr>
      <t>variable.valuePastCalcs</t>
    </r>
    <r>
      <rPr>
        <sz val="10"/>
        <rFont val="Arial"/>
        <family val="2"/>
      </rPr>
      <t xml:space="preserve"> column is a way to specify a different output to display if the user is viewing a previously completed calculation (usually used to disable/remove references to toggling/providing inputs)</t>
    </r>
  </si>
  <si>
    <r>
      <rPr>
        <i/>
        <sz val="10"/>
        <rFont val="Arial"/>
        <family val="2"/>
      </rPr>
      <t>All Tables</t>
    </r>
    <r>
      <rPr>
        <sz val="10"/>
        <rFont val="Arial"/>
        <family val="2"/>
      </rPr>
      <t xml:space="preserve"> - Below are reserved field names available on all other tables.</t>
    </r>
  </si>
  <si>
    <t>h, hdr, header: Make this row a header row (TH).  Note, it also looks at the id column and if id column is any of these values the same applies.</t>
  </si>
  <si>
    <r>
      <rPr>
        <i/>
        <sz val="10"/>
        <rFont val="Arial"/>
        <family val="2"/>
      </rPr>
      <t>code</t>
    </r>
    <r>
      <rPr>
        <sz val="10"/>
        <rFont val="Arial"/>
        <family val="2"/>
      </rPr>
      <t xml:space="preserve"> - Enables way to pass any additional data to caller.  Special codes that mean a specific function in RBL Framework.</t>
    </r>
  </si>
  <si>
    <r>
      <rPr>
        <i/>
        <sz val="10"/>
        <rFont val="Arial"/>
        <family val="2"/>
      </rPr>
      <t>column.class</t>
    </r>
    <r>
      <rPr>
        <sz val="10"/>
        <rFont val="Arial"/>
        <family val="2"/>
      </rPr>
      <t xml:space="preserve"> - Optional class tag to include on the table row.</t>
    </r>
  </si>
  <si>
    <r>
      <rPr>
        <i/>
        <sz val="10"/>
        <rFont val="Arial"/>
        <family val="2"/>
      </rPr>
      <t>column.code</t>
    </r>
    <r>
      <rPr>
        <sz val="10"/>
        <rFont val="Arial"/>
        <family val="2"/>
      </rPr>
      <t xml:space="preserve"> - Enables way to pass any additional data to caller.  Special codes that mean a specific function in RBL Framework.</t>
    </r>
  </si>
  <si>
    <r>
      <rPr>
        <i/>
        <sz val="10"/>
        <rFont val="Arial"/>
        <family val="2"/>
      </rPr>
      <t>column.on</t>
    </r>
    <r>
      <rPr>
        <sz val="10"/>
        <rFont val="Arial"/>
        <family val="2"/>
      </rPr>
      <t xml:space="preserve"> - Seeting a row's </t>
    </r>
    <r>
      <rPr>
        <i/>
        <sz val="10"/>
        <rFont val="Arial"/>
        <family val="2"/>
      </rPr>
      <t>on</t>
    </r>
    <r>
      <rPr>
        <sz val="10"/>
        <rFont val="Arial"/>
        <family val="2"/>
      </rPr>
      <t xml:space="preserve"> cell equal to 0 prevents the row from being exported/persisted.  Disabling rows improves peformance, however, it will not be available to caller.</t>
    </r>
  </si>
  <si>
    <r>
      <rPr>
        <i/>
        <sz val="10"/>
        <rFont val="Arial"/>
        <family val="2"/>
      </rPr>
      <t>column.text/column.value</t>
    </r>
    <r>
      <rPr>
        <sz val="10"/>
        <rFont val="Arial"/>
        <family val="2"/>
      </rPr>
      <t xml:space="preserve"> - Columns starting with text or value are automatically rendered in the resulting table (text left aligned, and value right aligned).</t>
    </r>
  </si>
  <si>
    <r>
      <t xml:space="preserve">Span text1 1 column and value1 2 columns: </t>
    </r>
    <r>
      <rPr>
        <i/>
        <sz val="10"/>
        <rFont val="Arial"/>
        <family val="2"/>
      </rPr>
      <t>text1:1:value1:2</t>
    </r>
  </si>
  <si>
    <r>
      <t xml:space="preserve">Span text1 3 all three columns: </t>
    </r>
    <r>
      <rPr>
        <i/>
        <sz val="10"/>
        <rFont val="Arial"/>
        <family val="2"/>
      </rPr>
      <t>text1:3</t>
    </r>
  </si>
  <si>
    <r>
      <rPr>
        <i/>
        <sz val="10"/>
        <rFont val="Arial"/>
        <family val="2"/>
      </rPr>
      <t>column.span</t>
    </r>
    <r>
      <rPr>
        <sz val="10"/>
        <rFont val="Arial"/>
        <family val="2"/>
      </rPr>
      <t xml:space="preserve"> - Definifition to 'span' columns in current row.  The format is </t>
    </r>
    <r>
      <rPr>
        <i/>
        <sz val="10"/>
        <rFont val="Arial"/>
        <family val="2"/>
      </rPr>
      <t>column:span[:column:span]</t>
    </r>
    <r>
      <rPr>
        <sz val="10"/>
        <rFont val="Arial"/>
        <family val="2"/>
      </rPr>
      <t>.  Where you specify the column name followed by a colon and how many columns to span.</t>
    </r>
  </si>
  <si>
    <t>Two types of drilldown capabilities are supported:</t>
  </si>
  <si>
    <t>Row (default if not supplied): The actual row that is the 'parent' is displayed  in either state - collapsed or expanded and is used for 'hide/show' capability of the data.</t>
  </si>
  <si>
    <t>Column: The link column is spanned across every row.  So the 'parent' row should be a summary, then it is hidden when expanded, and only sub rows are displayed.</t>
  </si>
  <si>
    <t>id.drilldown</t>
  </si>
  <si>
    <t>link - Put the word 'link' in the column you wish to be the link for drilling down.  If you don't supply this value it will use the first rendered column.</t>
  </si>
  <si>
    <t>column.drilldown - If you want to support drilldown capability within this table, you must provide this column.  Then link up each 'sub row' to the parent row by using the value from the parent's id column.</t>
  </si>
  <si>
    <r>
      <rPr>
        <i/>
        <sz val="10"/>
        <rFont val="Arial"/>
        <family val="2"/>
      </rPr>
      <t>help-items</t>
    </r>
    <r>
      <rPr>
        <sz val="10"/>
        <rFont val="Arial"/>
        <family val="2"/>
      </rPr>
      <t xml:space="preserve"> - You can dynamically inject pop up help in calculation results by leveraging this table.</t>
    </r>
  </si>
  <si>
    <r>
      <rPr>
        <i/>
        <sz val="10"/>
        <rFont val="Arial"/>
        <family val="2"/>
      </rPr>
      <t>help-items.id</t>
    </r>
    <r>
      <rPr>
        <sz val="10"/>
        <rFont val="Arial"/>
        <family val="2"/>
      </rPr>
      <t xml:space="preserve"> - The id used to reference this helptip.  In results, you can reference it via {btr:helpitem id="help1"/}.</t>
    </r>
  </si>
  <si>
    <r>
      <rPr>
        <i/>
        <sz val="10"/>
        <rFont val="Arial"/>
        <family val="2"/>
      </rPr>
      <t>help-items.class</t>
    </r>
    <r>
      <rPr>
        <sz val="10"/>
        <rFont val="Arial"/>
        <family val="2"/>
      </rPr>
      <t xml:space="preserve"> - Optional.  If you want to change the default look/feel of the help tip, you could provide your own class and coordinate with BTR to change the style of the help tip.</t>
    </r>
  </si>
  <si>
    <r>
      <rPr>
        <i/>
        <sz val="10"/>
        <rFont val="Arial"/>
        <family val="2"/>
      </rPr>
      <t>help-items.width</t>
    </r>
    <r>
      <rPr>
        <sz val="10"/>
        <rFont val="Arial"/>
        <family val="2"/>
      </rPr>
      <t xml:space="preserve"> - Optional.  You can control the width of the help tip if needed by providing a value here.</t>
    </r>
  </si>
  <si>
    <r>
      <rPr>
        <i/>
        <sz val="10"/>
        <rFont val="Arial"/>
        <family val="2"/>
      </rPr>
      <t>help-items.display</t>
    </r>
    <r>
      <rPr>
        <sz val="10"/>
        <rFont val="Arial"/>
        <family val="2"/>
      </rPr>
      <t xml:space="preserve"> - The word that is rendered on the screen hyperlinked as a help tip.</t>
    </r>
  </si>
  <si>
    <r>
      <rPr>
        <i/>
        <sz val="10"/>
        <rFont val="Arial"/>
        <family val="2"/>
      </rPr>
      <t>help-items.title</t>
    </r>
    <r>
      <rPr>
        <sz val="10"/>
        <rFont val="Arial"/>
        <family val="2"/>
      </rPr>
      <t xml:space="preserve"> - The title that displays inside the popup box.</t>
    </r>
  </si>
  <si>
    <r>
      <rPr>
        <i/>
        <sz val="10"/>
        <rFont val="Arial"/>
        <family val="2"/>
      </rPr>
      <t>help-items.help</t>
    </r>
    <r>
      <rPr>
        <sz val="10"/>
        <rFont val="Arial"/>
        <family val="2"/>
      </rPr>
      <t xml:space="preserve"> - The help text displayed inside the popup box.</t>
    </r>
  </si>
  <si>
    <r>
      <rPr>
        <i/>
        <sz val="10"/>
        <rFont val="Arial"/>
        <family val="2"/>
      </rPr>
      <t>help-items.tooltip</t>
    </r>
    <r>
      <rPr>
        <sz val="10"/>
        <rFont val="Arial"/>
        <family val="2"/>
      </rPr>
      <t xml:space="preserve"> - The text that is displayed when you hover over the hyperlinked word (the display column).</t>
    </r>
  </si>
  <si>
    <r>
      <rPr>
        <i/>
        <sz val="10"/>
        <rFont val="Arial"/>
        <family val="2"/>
      </rPr>
      <t>Debug</t>
    </r>
    <r>
      <rPr>
        <sz val="10"/>
        <rFont val="Arial"/>
        <family val="2"/>
      </rPr>
      <t xml:space="preserve"> - If you want to output any debug information to the web page, you can use this information.  Once the web page results are displayed, if you type javascript:ShowDebug() in the address bar, it will show this table.</t>
    </r>
  </si>
  <si>
    <r>
      <rPr>
        <i/>
        <sz val="10"/>
        <rFont val="Arial"/>
        <family val="2"/>
      </rPr>
      <t>errors</t>
    </r>
    <r>
      <rPr>
        <sz val="10"/>
        <rFont val="Arial"/>
        <family val="2"/>
      </rPr>
      <t xml:space="preserve"> - If any error rows are provided, all navigation is 'blocked' (navigation links/tabs still displayed) and the error validation summary is displayed.</t>
    </r>
  </si>
  <si>
    <r>
      <rPr>
        <i/>
        <sz val="10"/>
        <rFont val="Arial"/>
        <family val="2"/>
      </rPr>
      <t>warnings</t>
    </r>
    <r>
      <rPr>
        <sz val="10"/>
        <rFont val="Arial"/>
        <family val="2"/>
      </rPr>
      <t xml:space="preserve"> - If any warning rows are provided, a warning validation summary is displayed on the first navigation result only and result navigation works as expected.</t>
    </r>
  </si>
  <si>
    <r>
      <t xml:space="preserve">These inputs are programmatically set based on situations in the GUI, </t>
    </r>
    <r>
      <rPr>
        <b/>
        <sz val="10"/>
        <rFont val="Arial"/>
        <family val="2"/>
      </rPr>
      <t>the user does not enter them.  Keep descriptions in sync with documentation.</t>
    </r>
  </si>
  <si>
    <t>Site never passes this is in, the CE determines if MHACalc b/c MHA calculations ALWAYS pass in iMHACalcType so if blank, then not MHA calculation.</t>
  </si>
  <si>
    <t>Site never passes this is in, the CE determines if MHABatchCalc b/c MHA batch calculations ALWAYS pass in either iMHAUpdateType or iMHABatchType. If both blank, then not MHA batch calc.</t>
  </si>
  <si>
    <t>debug</t>
  </si>
  <si>
    <t>highcharts-overrides</t>
  </si>
  <si>
    <t>key</t>
  </si>
  <si>
    <t>category</t>
  </si>
  <si>
    <t>series1</t>
  </si>
  <si>
    <t>series2</t>
  </si>
  <si>
    <t>series3</t>
  </si>
  <si>
    <t>series4</t>
  </si>
  <si>
    <t>series7</t>
  </si>
  <si>
    <t>series5</t>
  </si>
  <si>
    <t>series6</t>
  </si>
  <si>
    <t>config-name</t>
  </si>
  <si>
    <t>config-format</t>
  </si>
  <si>
    <t>config-color</t>
  </si>
  <si>
    <t>config-showInLegend</t>
  </si>
  <si>
    <t>Work Area - Not Processed Because Of Blank Rows</t>
  </si>
  <si>
    <t>Action</t>
  </si>
  <si>
    <t>Comment</t>
  </si>
  <si>
    <t>ResultTable</t>
  </si>
  <si>
    <t>Y1</t>
  </si>
  <si>
    <t>Y2</t>
  </si>
  <si>
    <t>Y3</t>
  </si>
  <si>
    <t>Y4</t>
  </si>
  <si>
    <t>Y5</t>
  </si>
  <si>
    <t>Y6</t>
  </si>
  <si>
    <t>Y7</t>
  </si>
  <si>
    <t>Y8</t>
  </si>
  <si>
    <t>Y9</t>
  </si>
  <si>
    <t>Y10</t>
  </si>
  <si>
    <t>Delete</t>
  </si>
  <si>
    <t>Projection Controls</t>
  </si>
  <si>
    <t>Value1</t>
  </si>
  <si>
    <t>CopyValue</t>
  </si>
  <si>
    <t>Calculation</t>
  </si>
  <si>
    <t>BE CAREFUL! Make sure control/iteration values calculate</t>
  </si>
  <si>
    <t>Value 1</t>
  </si>
  <si>
    <t>Value1a</t>
  </si>
  <si>
    <t>CopyAddress</t>
  </si>
  <si>
    <t>Clear 10 year result table</t>
  </si>
  <si>
    <t>Value1b</t>
  </si>
  <si>
    <t>Initialize LoopControl</t>
  </si>
  <si>
    <t>Value 2</t>
  </si>
  <si>
    <t>Value2</t>
  </si>
  <si>
    <t>Calculate</t>
  </si>
  <si>
    <t>Initialize Value1</t>
  </si>
  <si>
    <t>Value2a</t>
  </si>
  <si>
    <t>Initialize Value2</t>
  </si>
  <si>
    <t>Value2b</t>
  </si>
  <si>
    <t>Manual Calcuation</t>
  </si>
  <si>
    <t>Value2c</t>
  </si>
  <si>
    <t>BlockStart</t>
  </si>
  <si>
    <t>Loop for 10 iterations (Use destination cell to hold loop iterator)</t>
  </si>
  <si>
    <t>Value2d</t>
  </si>
  <si>
    <t>Copy calced values to year n; note offset in formula</t>
  </si>
  <si>
    <t>Set Value1 for next calc iteration</t>
  </si>
  <si>
    <t>Set Value2</t>
  </si>
  <si>
    <t>Increment Loop Control</t>
  </si>
  <si>
    <t>BlockRepeat</t>
  </si>
  <si>
    <t>Goal Seek Controls</t>
  </si>
  <si>
    <t>Target</t>
  </si>
  <si>
    <t>Set Iteration to 1</t>
  </si>
  <si>
    <t>Interest</t>
  </si>
  <si>
    <t>Years</t>
  </si>
  <si>
    <t>PaymentEst</t>
  </si>
  <si>
    <t>Projected</t>
  </si>
  <si>
    <t>Increment Iteration Count</t>
  </si>
  <si>
    <t>Employee Table</t>
  </si>
  <si>
    <t>Initialize to row 1</t>
  </si>
  <si>
    <t>Service</t>
  </si>
  <si>
    <t>Monthly</t>
  </si>
  <si>
    <t>Iterator is row number; Break when Name = 0</t>
  </si>
  <si>
    <t>Copy Annual Benefit</t>
  </si>
  <si>
    <t>Copy Monthly Benefit (using CopyAddress instead of CopyValue)</t>
  </si>
  <si>
    <t>Joe</t>
  </si>
  <si>
    <t>Increase Row number by 1</t>
  </si>
  <si>
    <t>Jerry</t>
  </si>
  <si>
    <t>'Complex' Benefit Calc</t>
  </si>
  <si>
    <t>Row</t>
  </si>
  <si>
    <t>Svc</t>
  </si>
  <si>
    <t>BlockBreak</t>
  </si>
  <si>
    <t>Added RBLe Macro documentation tab.</t>
  </si>
  <si>
    <t>FunctionEnd</t>
  </si>
  <si>
    <t>Copy last guess to GuessMax or GuessMin (works for positive corr)</t>
  </si>
  <si>
    <t>RunFunction</t>
  </si>
  <si>
    <t>Difference between actual and target</t>
  </si>
  <si>
    <t>Get result</t>
  </si>
  <si>
    <t>Evaluate at midpoint of min/max</t>
  </si>
  <si>
    <t>Determine correlation</t>
  </si>
  <si>
    <t>//Correlation</t>
  </si>
  <si>
    <t>Evaluate at max</t>
  </si>
  <si>
    <t>//MaxEval</t>
  </si>
  <si>
    <t>Evaluate at min</t>
  </si>
  <si>
    <t>//MinEval</t>
  </si>
  <si>
    <t>Determine if pos or neg correlation on change value</t>
  </si>
  <si>
    <t>Starting Goal Seek</t>
  </si>
  <si>
    <t>Input Address - Where to copy answer</t>
  </si>
  <si>
    <t>//PasteAnswer</t>
  </si>
  <si>
    <t>Input Value - Maximum acceptable answer</t>
  </si>
  <si>
    <t>//MaxGuess</t>
  </si>
  <si>
    <t>Input Value - Minimum acceptable answer</t>
  </si>
  <si>
    <t>//MinGuess</t>
  </si>
  <si>
    <t>Input Address - cell to change/goalseek</t>
  </si>
  <si>
    <t>//Change Cell</t>
  </si>
  <si>
    <t>Input Address - actual result of calc</t>
  </si>
  <si>
    <t>//ActualCell</t>
  </si>
  <si>
    <t>Input Value - target value of calc</t>
  </si>
  <si>
    <t>//Target Value</t>
  </si>
  <si>
    <t>If Goal Seek Calc is requested (make more generic)</t>
  </si>
  <si>
    <t>FunctionStart</t>
  </si>
  <si>
    <t>// Function Block for fnGoalSeek</t>
  </si>
  <si>
    <t>EXECUTION LOG</t>
  </si>
  <si>
    <t>Uses BTRRowsToBottom function to determine delete range</t>
  </si>
  <si>
    <t>// Function Block for fnLogClear</t>
  </si>
  <si>
    <t>Copy cStatus value to column 2 of Execution Log</t>
  </si>
  <si>
    <t>Copy time to first column of Execution Log</t>
  </si>
  <si>
    <t>//Log entries</t>
  </si>
  <si>
    <t>// Function Block for fnLogStatus (sample Function Block)</t>
  </si>
  <si>
    <t>//Example 3: This performs a 'complex' benefit calc on an employee table and enters it into an employee table</t>
  </si>
  <si>
    <t>Increment Counter</t>
  </si>
  <si>
    <t>BlockEnd</t>
  </si>
  <si>
    <t>Not Found</t>
  </si>
  <si>
    <t>Copy "Not Found" if goal seek off by more than 1</t>
  </si>
  <si>
    <t>GoalSeek</t>
  </si>
  <si>
    <t>Execute</t>
  </si>
  <si>
    <t>Cell to change/goalseek</t>
  </si>
  <si>
    <t>SetParam</t>
  </si>
  <si>
    <t>//Setup goal seek function inputs</t>
  </si>
  <si>
    <t>// Rows</t>
  </si>
  <si>
    <t>//Example 2c: This performs a goal seek for all target values in a table using built in goalseek</t>
  </si>
  <si>
    <t>fnGoalSeek</t>
  </si>
  <si>
    <t>//Example 2b: This performs a goal seek for all target values in a table</t>
  </si>
  <si>
    <t>\\Equal to Guess</t>
  </si>
  <si>
    <t>Put a Y in column to left to run Goal Seek.</t>
  </si>
  <si>
    <t>//Example 2a: This performs a goal seek if requested</t>
  </si>
  <si>
    <t>Turn autocalc back on</t>
  </si>
  <si>
    <t>Update current status</t>
  </si>
  <si>
    <t>BTRColsToRight</t>
  </si>
  <si>
    <t>BTRRowsToBottom</t>
  </si>
  <si>
    <t>BTRCellAddress</t>
  </si>
  <si>
    <t>Useful functions</t>
  </si>
  <si>
    <t>Run Function block to clear execution log</t>
  </si>
  <si>
    <t>//Example1: These actions project 10 years of calculations and copy them to a table; manages workbook calculation</t>
  </si>
  <si>
    <t>Added latest RBLe Macros to sheet.</t>
  </si>
  <si>
    <t>valueCell</t>
  </si>
  <si>
    <t>changingCell</t>
  </si>
  <si>
    <t>goal</t>
  </si>
  <si>
    <t>Verbs ( [] around param means optional )</t>
  </si>
  <si>
    <t>Delete (Destination:=Address)</t>
  </si>
  <si>
    <t>CopyValue (Value:=value, Destination:=Address)</t>
  </si>
  <si>
    <t>CopyAddress (Value:=Address, Destintation:=Address)</t>
  </si>
  <si>
    <t>SetParam (Value:=value, Destination:=paramName)</t>
  </si>
  <si>
    <t>Block Constructs ( [] around param means optional )</t>
  </si>
  <si>
    <r>
      <t>BlockStart ([Value:=</t>
    </r>
    <r>
      <rPr>
        <b/>
        <sz val="10"/>
        <rFont val="Arial"/>
        <family val="2"/>
      </rPr>
      <t>TRUE</t>
    </r>
    <r>
      <rPr>
        <sz val="10"/>
        <rFont val="Arial"/>
        <family val="2"/>
      </rPr>
      <t>|FALSE])</t>
    </r>
  </si>
  <si>
    <r>
      <t>BlockBreak ([Value:=</t>
    </r>
    <r>
      <rPr>
        <b/>
        <sz val="10"/>
        <rFont val="Arial"/>
        <family val="2"/>
      </rPr>
      <t>TRUE</t>
    </r>
    <r>
      <rPr>
        <sz val="10"/>
        <rFont val="Arial"/>
        <family val="2"/>
      </rPr>
      <t>|FALSE])</t>
    </r>
  </si>
  <si>
    <t>BlockRepeat (Value:=TRUE|FALSE)</t>
  </si>
  <si>
    <t xml:space="preserve">Accrued Benefit </t>
  </si>
  <si>
    <t xml:space="preserve">Life Only </t>
  </si>
  <si>
    <t>TraceMacro</t>
  </si>
  <si>
    <t>JS50</t>
  </si>
  <si>
    <t>JS100</t>
  </si>
  <si>
    <t xml:space="preserve">Annuity Factor </t>
  </si>
  <si>
    <t xml:space="preserve">Social Security </t>
  </si>
  <si>
    <t xml:space="preserve">Savings </t>
  </si>
  <si>
    <t>Run fnLogStatus</t>
  </si>
  <si>
    <t>Set Target Value = 200000</t>
  </si>
  <si>
    <t>Input Value - target value of calc; consider using a zerocell</t>
  </si>
  <si>
    <t>Input Address - actual result of calc (or zerocell)</t>
  </si>
  <si>
    <t>Goal Seek Target</t>
  </si>
  <si>
    <t>ZeroCell</t>
  </si>
  <si>
    <t>Goal Seek 2a Result:</t>
  </si>
  <si>
    <t>Goal seek check:</t>
  </si>
  <si>
    <t>Goal Seek Pmts</t>
  </si>
  <si>
    <t>Run 2b</t>
  </si>
  <si>
    <t>Check2b</t>
  </si>
  <si>
    <t>Run2c</t>
  </si>
  <si>
    <t>NF</t>
  </si>
  <si>
    <t>Check2c</t>
  </si>
  <si>
    <t>Initialize iteration value</t>
  </si>
  <si>
    <t>Set target value</t>
  </si>
  <si>
    <t>Run fnGoalSeek</t>
  </si>
  <si>
    <t>Built  in is 10x faster than RBLe macro</t>
  </si>
  <si>
    <t>Target value of calc; consider using a zerocell</t>
  </si>
  <si>
    <t>Actual value of calc; (or zerocell)</t>
  </si>
  <si>
    <t>Run GoalSeek( valueCell, goal, changingCell )</t>
  </si>
  <si>
    <t>Copy solution to table</t>
  </si>
  <si>
    <t>Goal Seek Iteration: 32</t>
  </si>
  <si>
    <t>Sheet3!$I$40</t>
  </si>
  <si>
    <t>Sheet3!$I$37</t>
  </si>
  <si>
    <t>Sheet3!$I$59</t>
  </si>
  <si>
    <t>//Max iterations</t>
  </si>
  <si>
    <t>//ResultValue</t>
  </si>
  <si>
    <t>Copy answer back to requested cell</t>
  </si>
  <si>
    <t>//Rows</t>
  </si>
  <si>
    <t>Destination (CELL/OFFSET functions)</t>
  </si>
  <si>
    <t>CopyToArray (Value:=Address, Destination:=ArrayKey)</t>
  </si>
  <si>
    <r>
      <t>Execute (Value:=</t>
    </r>
    <r>
      <rPr>
        <i/>
        <sz val="10"/>
        <rFont val="Arial"/>
        <family val="2"/>
      </rPr>
      <t>BTR Function Name</t>
    </r>
    <r>
      <rPr>
        <sz val="10"/>
        <rFont val="Arial"/>
        <family val="2"/>
      </rPr>
      <t>)</t>
    </r>
  </si>
  <si>
    <t>GoalSeek( valueCell, goal, changingCell )</t>
  </si>
  <si>
    <t>ContributionSolver( valueCell, goal, changingCell, maxContribution:100 )</t>
  </si>
  <si>
    <t>MapFundToAssetClass( changingCell, tableName, year, fundID )</t>
  </si>
  <si>
    <t>GetClassAllocations( changingCell, tableName, year, planType, fundAllocations, inputAllocations )</t>
  </si>
  <si>
    <t>Manual Edit Notifications (Optional)</t>
  </si>
  <si>
    <t>Xpath</t>
  </si>
  <si>
    <t>Recipients</t>
  </si>
  <si>
    <t>Last Pay row's hours field changed</t>
  </si>
  <si>
    <t>Any flat data changed</t>
  </si>
  <si>
    <t>fld1 changed in SevFinal history type</t>
  </si>
  <si>
    <t>AI/H[@_Position=@_Count and @T='Pay']/A[@F='hours']</t>
  </si>
  <si>
    <t>AI/A</t>
  </si>
  <si>
    <t>AI/H[@T='SevFinal']/A[@F='fld1']</t>
  </si>
  <si>
    <t>Added Manual Edit Notifications to Site Settings.</t>
  </si>
  <si>
    <t>Manual Edit Notifications</t>
  </si>
  <si>
    <t>When Profile/History data is manually edited, deleted, created, you can define some triggers (see samples below) that are evaluated and send notification appropriately.  XPath column is an xpath expression to run.  If it matches</t>
  </si>
  <si>
    <t>a node in the audit (&lt;AI&gt;&lt;A F="fld" O="old" N="new"/&gt;&lt;H T="Status" I="index"&gt;&lt;A F="fld" O="old" N="new"/&gt;&lt;/H&gt;&lt;H Type="Pay" D="true" I="index"&gt;&lt;A F="field" Old="value" New="deleted"/&gt;&lt;/H&gt;&lt;/AI&gt;) a notification will be sent to the ; or , delimitted emails.</t>
  </si>
  <si>
    <t>AI/H[@D]</t>
  </si>
  <si>
    <t>Any deleted history</t>
  </si>
  <si>
    <t>AI[@D]</t>
  </si>
  <si>
    <t>Profile is deleted</t>
  </si>
  <si>
    <t>AI/H[@C]</t>
  </si>
  <si>
    <t>Any new (created) history items</t>
  </si>
  <si>
    <t>AI[@C]</t>
  </si>
  <si>
    <t>New profile</t>
  </si>
  <si>
    <t>Removed 'Manual Edit Notification' setting since you can just use manual edit notification rules to accomplish.</t>
  </si>
  <si>
    <t>highcharts-chart1-options</t>
  </si>
  <si>
    <t>highcharts-chart1-data</t>
  </si>
  <si>
    <t>config-style</t>
  </si>
  <si>
    <t>config-tooltipFormat</t>
  </si>
  <si>
    <r>
      <t>CalculationOnDemand ([Value:=</t>
    </r>
    <r>
      <rPr>
        <b/>
        <sz val="10"/>
        <rFont val="Arial"/>
        <family val="2"/>
      </rPr>
      <t>TRUE</t>
    </r>
    <r>
      <rPr>
        <sz val="10"/>
        <rFont val="Arial"/>
        <family val="2"/>
      </rPr>
      <t>|FALSE]) // RBLe Only</t>
    </r>
  </si>
  <si>
    <r>
      <t>Calculation ([Value:=</t>
    </r>
    <r>
      <rPr>
        <b/>
        <sz val="10"/>
        <rFont val="Arial"/>
        <family val="2"/>
      </rPr>
      <t>TRUE</t>
    </r>
    <r>
      <rPr>
        <sz val="10"/>
        <rFont val="Arial"/>
        <family val="2"/>
      </rPr>
      <t>|FALSE[, Destintation:=SheetName]]) // Destination is Non RBLe Only</t>
    </r>
  </si>
  <si>
    <t>Documented CalculationOnDemand (RBLe equivalent to Calculation with a destination)</t>
  </si>
  <si>
    <t>then set A1=2, when debugging locally within Excel, it obeys the Calculation mode and still returns "A1", however, the server side calculation has to always calculate this</t>
  </si>
  <si>
    <t>and will return "A2".  So, be aware of this behavior when coding up macros.</t>
  </si>
  <si>
    <r>
      <rPr>
        <b/>
        <sz val="10"/>
        <rFont val="Arial"/>
        <family val="2"/>
      </rPr>
      <t>NOTE:</t>
    </r>
    <r>
      <rPr>
        <sz val="10"/>
        <rFont val="Arial"/>
        <family val="2"/>
      </rPr>
      <t xml:space="preserve"> Because of the way server side calculations work BTRCellAddress doesn't behave exactly as expected.  It is ran 'outside' of normal Excel calculation restrictions </t>
    </r>
  </si>
  <si>
    <t>Added documentation about RBLe / BTRGetCellAddress.</t>
  </si>
  <si>
    <t>&lt;Status/sort-field:status/sort-direction:desc&gt;</t>
  </si>
  <si>
    <t>&lt;Status/sort-field:index/sort-number&gt;</t>
  </si>
  <si>
    <t>*Grab global table IrsLimits*</t>
  </si>
  <si>
    <t>*Sort by index ascendending, indicating</t>
  </si>
  <si>
    <t>that index is a number</t>
  </si>
  <si>
    <t>*Sort by status descending as string</t>
  </si>
  <si>
    <t>&lt;Status/id-locked&gt;</t>
  </si>
  <si>
    <t>*Indicate that you only want to load 2014-2015</t>
  </si>
  <si>
    <t>border-style</t>
  </si>
  <si>
    <t>Solid:0.5:Gray</t>
  </si>
  <si>
    <t>Percentage</t>
  </si>
  <si>
    <t>YearHalf</t>
  </si>
  <si>
    <t>YearMonth</t>
  </si>
  <si>
    <t>List:BeneficiaryRelation</t>
  </si>
  <si>
    <t>List:Checkbox</t>
  </si>
  <si>
    <t>List:Country</t>
  </si>
  <si>
    <t>List:Currency</t>
  </si>
  <si>
    <t>List:MaritalStatus</t>
  </si>
  <si>
    <t>RunFunction (Value:=FunctionAddress) // Runs function created with Function* constructs</t>
  </si>
  <si>
    <t>BTRGetMacroVariable</t>
  </si>
  <si>
    <t>SetVariable (Value:=value, Destination:=variableName) // Value must be a number</t>
  </si>
  <si>
    <t>TraceMacro (Value:=TRUE|FALSE)</t>
  </si>
  <si>
    <r>
      <t>Stop ([Value:=TRUE|</t>
    </r>
    <r>
      <rPr>
        <b/>
        <sz val="10"/>
        <rFont val="Arial"/>
        <family val="2"/>
      </rPr>
      <t>FALSE</t>
    </r>
    <r>
      <rPr>
        <sz val="10"/>
        <rFont val="Arial"/>
        <family val="2"/>
      </rPr>
      <t>])</t>
    </r>
  </si>
  <si>
    <r>
      <t>FunctionBreak ([Value:=TRUE|</t>
    </r>
    <r>
      <rPr>
        <b/>
        <sz val="10"/>
        <rFont val="Arial"/>
        <family val="2"/>
      </rPr>
      <t>FALSE</t>
    </r>
    <r>
      <rPr>
        <sz val="10"/>
        <rFont val="Arial"/>
        <family val="2"/>
      </rPr>
      <t>])</t>
    </r>
  </si>
  <si>
    <t>SetIterations (Value:=maxIterations)</t>
  </si>
  <si>
    <t>SetTimeout (Value:=maxMinutes) // Non RBLe Only, extends time allowed for macro to run</t>
  </si>
  <si>
    <r>
      <t xml:space="preserve">meaning it will always </t>
    </r>
    <r>
      <rPr>
        <b/>
        <sz val="10"/>
        <rFont val="Arial"/>
        <family val="2"/>
      </rPr>
      <t>*calculate*</t>
    </r>
    <r>
      <rPr>
        <sz val="10"/>
        <rFont val="Arial"/>
        <family val="2"/>
      </rPr>
      <t xml:space="preserve"> its address no matter what the Calculation mode is set to.  For example, =BTRCellAddress("A"+Sheet!A1) if you set A1=1, then turn off Calculation,</t>
    </r>
  </si>
  <si>
    <t>Example: =BTRCELLADDRESS([sheet!cell|sheet!range], optional rowoffset, optional coloffset, optional additionalRows, optional additionalColumns)</t>
  </si>
  <si>
    <r>
      <t>1.</t>
    </r>
    <r>
      <rPr>
        <sz val="11"/>
        <color indexed="8"/>
        <rFont val="Calibri"/>
        <family val="2"/>
      </rPr>
      <t xml:space="preserve">  All references to cells in the macro instruction table should have Sheet!cell or Sheet!range prefix for things to work property.  If range is global, put the sheet name where the range lives.</t>
    </r>
  </si>
  <si>
    <r>
      <rPr>
        <b/>
        <sz val="10"/>
        <rFont val="Arial"/>
        <family val="2"/>
      </rPr>
      <t xml:space="preserve">2. </t>
    </r>
    <r>
      <rPr>
        <sz val="10"/>
        <rFont val="Arial"/>
        <family val="2"/>
      </rPr>
      <t>All destination values should use BTRCELLADDRESS to create a dynamic cell address so that they don't break when moved.</t>
    </r>
  </si>
  <si>
    <r>
      <rPr>
        <b/>
        <sz val="10"/>
        <rFont val="Arial"/>
        <family val="2"/>
      </rPr>
      <t xml:space="preserve">3. </t>
    </r>
    <r>
      <rPr>
        <sz val="10"/>
        <rFont val="Arial"/>
        <family val="2"/>
      </rPr>
      <t>For RunFunction action, the value should be =BTRCellAddress(fn) where fn is the cell containing FunctionStart action.  Recommended to create a worksheet scoped named range and use that.</t>
    </r>
  </si>
  <si>
    <r>
      <rPr>
        <b/>
        <sz val="10"/>
        <rFont val="Arial"/>
        <family val="2"/>
      </rPr>
      <t>4.</t>
    </r>
    <r>
      <rPr>
        <sz val="10"/>
        <rFont val="Arial"/>
        <family val="2"/>
      </rPr>
      <t xml:space="preserve"> Delete, CopyValue, CopyAddress, SetParam, and SetVariable are only verbs that use Destination column</t>
    </r>
  </si>
  <si>
    <r>
      <rPr>
        <b/>
        <sz val="10"/>
        <rFont val="Arial"/>
        <family val="2"/>
      </rPr>
      <t xml:space="preserve">5. </t>
    </r>
    <r>
      <rPr>
        <sz val="10"/>
        <rFont val="Arial"/>
        <family val="2"/>
      </rPr>
      <t>Best practice for BlockStart and BlockRepeat is to put the iterator/conditional value into 2nd (Destination) column.  RBLe will not use it, but makes it very obvious where the condition cell for block is.</t>
    </r>
  </si>
  <si>
    <r>
      <rPr>
        <b/>
        <sz val="10"/>
        <rFont val="Arial"/>
        <family val="2"/>
      </rPr>
      <t xml:space="preserve">6. </t>
    </r>
    <r>
      <rPr>
        <sz val="10"/>
        <rFont val="Arial"/>
        <family val="2"/>
      </rPr>
      <t>Default value for BlockStart and BlockBreak is TRUE meaning you can leave value blank. You can not set BlockRepeat to TRUE or =TRUE because of infinite loop potential.</t>
    </r>
  </si>
  <si>
    <r>
      <rPr>
        <b/>
        <sz val="10"/>
        <rFont val="Arial"/>
        <family val="2"/>
      </rPr>
      <t xml:space="preserve">7. </t>
    </r>
    <r>
      <rPr>
        <sz val="10"/>
        <rFont val="Arial"/>
        <family val="2"/>
      </rPr>
      <t xml:space="preserve">Can skip one row for whitespace. </t>
    </r>
    <r>
      <rPr>
        <b/>
        <sz val="10"/>
        <rFont val="Arial"/>
        <family val="2"/>
      </rPr>
      <t>Skipping two rows ends macro.</t>
    </r>
  </si>
  <si>
    <r>
      <rPr>
        <b/>
        <sz val="10"/>
        <rFont val="Arial"/>
        <family val="2"/>
      </rPr>
      <t xml:space="preserve">8. </t>
    </r>
    <r>
      <rPr>
        <sz val="10"/>
        <rFont val="Arial"/>
        <family val="2"/>
      </rPr>
      <t xml:space="preserve">Can add comments in comment column or entry in Action column starting with </t>
    </r>
    <r>
      <rPr>
        <b/>
        <sz val="10"/>
        <rFont val="Arial"/>
        <family val="2"/>
      </rPr>
      <t>//</t>
    </r>
  </si>
  <si>
    <r>
      <rPr>
        <b/>
        <sz val="10"/>
        <rFont val="Arial"/>
        <family val="2"/>
      </rPr>
      <t xml:space="preserve">9. </t>
    </r>
    <r>
      <rPr>
        <sz val="10"/>
        <rFont val="Arial"/>
        <family val="2"/>
      </rPr>
      <t xml:space="preserve">Add a </t>
    </r>
    <r>
      <rPr>
        <b/>
        <sz val="10"/>
        <rFont val="Arial"/>
        <family val="2"/>
      </rPr>
      <t>#stop</t>
    </r>
    <r>
      <rPr>
        <sz val="10"/>
        <rFont val="Arial"/>
        <family val="2"/>
      </rPr>
      <t xml:space="preserve"> after any verb to stop processing (helpful during debugging).</t>
    </r>
  </si>
  <si>
    <r>
      <t xml:space="preserve">If you use special name of </t>
    </r>
    <r>
      <rPr>
        <i/>
        <sz val="10"/>
        <rFont val="Arial"/>
        <family val="2"/>
      </rPr>
      <t>clientClassName</t>
    </r>
    <r>
      <rPr>
        <sz val="10"/>
        <rFont val="Arial"/>
        <family val="2"/>
      </rPr>
      <t xml:space="preserve"> it instructs macro to call a custom C# client assembly</t>
    </r>
  </si>
  <si>
    <t>which would be created in coordination with BTR when speed of calculation calls for it.</t>
  </si>
  <si>
    <t>RankStochastic( changingCell, rank, arrayKey )</t>
  </si>
  <si>
    <t>SumStochastic( changingCell, arrayKey )</t>
  </si>
  <si>
    <r>
      <t xml:space="preserve">StochasticProjection( </t>
    </r>
    <r>
      <rPr>
        <i/>
        <sz val="10"/>
        <rFont val="Arial"/>
        <family val="2"/>
      </rPr>
      <t>see documentation</t>
    </r>
    <r>
      <rPr>
        <sz val="10"/>
        <rFont val="Arial"/>
        <family val="2"/>
      </rPr>
      <t xml:space="preserve"> )</t>
    </r>
  </si>
  <si>
    <r>
      <t xml:space="preserve">DeterministicProjection( </t>
    </r>
    <r>
      <rPr>
        <i/>
        <sz val="10"/>
        <rFont val="Arial"/>
        <family val="2"/>
      </rPr>
      <t>see documentation</t>
    </r>
    <r>
      <rPr>
        <sz val="10"/>
        <rFont val="Arial"/>
        <family val="2"/>
      </rPr>
      <t xml:space="preserve"> )</t>
    </r>
  </si>
  <si>
    <r>
      <t>10.</t>
    </r>
    <r>
      <rPr>
        <sz val="10"/>
        <rFont val="Arial"/>
        <family val="2"/>
      </rPr>
      <t xml:space="preserve"> When using variables (SetVariable, =BTRGetMacroVariable) you should create a variable name table and reference names in any locations in macro table to avoid typo problems and enable usage auditing.</t>
    </r>
  </si>
  <si>
    <t>Useful if you've turned off calculation, but need to keep track of some counters, accumulators</t>
  </si>
  <si>
    <t>during macro processing that contains BlockRepeats and other block constructs.</t>
  </si>
  <si>
    <t>Variable Names</t>
  </si>
  <si>
    <t>sampleCounter1</t>
  </si>
  <si>
    <t>sampleTotal1</t>
  </si>
  <si>
    <t>sampleCounter2</t>
  </si>
  <si>
    <t>shouldStop</t>
  </si>
  <si>
    <t>Added documentation for RBLe Macro features.</t>
  </si>
  <si>
    <t>min-width: 300px; width: 100%; margin: 0 auto;</t>
  </si>
  <si>
    <t>Updated highcharts options sample for RWD chart settings.</t>
  </si>
  <si>
    <t>renderTo</t>
  </si>
  <si>
    <t>width-xs</t>
  </si>
  <si>
    <t>width-sm</t>
  </si>
  <si>
    <t>width-lg</t>
  </si>
  <si>
    <t>width-responsive</t>
  </si>
  <si>
    <t>width-md</t>
  </si>
  <si>
    <t>visible-xs</t>
  </si>
  <si>
    <t>hidden-xs</t>
  </si>
  <si>
    <t>textMobile</t>
  </si>
  <si>
    <t>visible-xs table-responsive</t>
  </si>
  <si>
    <t>UI Value</t>
  </si>
  <si>
    <t>Renamed file and highlighted/organized tabs a bit for new DNA addin.</t>
  </si>
  <si>
    <t>EmployeeProjections</t>
  </si>
  <si>
    <t>SheetName</t>
  </si>
  <si>
    <t>ESS CalcType = 2</t>
  </si>
  <si>
    <t>RBLProjection</t>
  </si>
  <si>
    <t>Legend</t>
  </si>
  <si>
    <t>xDS field</t>
  </si>
  <si>
    <t>Not used</t>
  </si>
  <si>
    <t>New field</t>
  </si>
  <si>
    <t>Update in latest version</t>
  </si>
  <si>
    <t>Web Service Plan</t>
  </si>
  <si>
    <t>Web Service Date Index</t>
  </si>
  <si>
    <t>Web Service Fieldname</t>
  </si>
  <si>
    <t>xDS Table Index</t>
  </si>
  <si>
    <t>xDS Field name</t>
  </si>
  <si>
    <t>Value Part</t>
  </si>
  <si>
    <t>Value Split By</t>
  </si>
  <si>
    <t>Remove Currency</t>
  </si>
  <si>
    <t>Multiply By</t>
  </si>
  <si>
    <t>Mapping</t>
  </si>
  <si>
    <t>AccessID</t>
  </si>
  <si>
    <t>BirthDate</t>
  </si>
  <si>
    <t>EmployeeID</t>
  </si>
  <si>
    <t>MostRecentHireDate</t>
  </si>
  <si>
    <t>date-hire-last</t>
  </si>
  <si>
    <t>OriginalHireDate</t>
  </si>
  <si>
    <t>date-hire-orig</t>
  </si>
  <si>
    <t>ParticipantName</t>
  </si>
  <si>
    <t>name-first-last</t>
  </si>
  <si>
    <t>balance-401k</t>
  </si>
  <si>
    <t>rate-pt</t>
  </si>
  <si>
    <t>SocialSecurityNumber</t>
  </si>
  <si>
    <t>DIV</t>
  </si>
  <si>
    <t>Station</t>
  </si>
  <si>
    <t>station</t>
  </si>
  <si>
    <t>Dept</t>
  </si>
  <si>
    <t>dept</t>
  </si>
  <si>
    <t>EmpCC</t>
  </si>
  <si>
    <t>emp-cc</t>
  </si>
  <si>
    <t>HSAContEE</t>
  </si>
  <si>
    <t>hsa-cont-ee</t>
  </si>
  <si>
    <t>HSAContER</t>
  </si>
  <si>
    <t>hsa-cont-er</t>
  </si>
  <si>
    <t>HSACvgCd</t>
  </si>
  <si>
    <t>hsa-cov-code</t>
  </si>
  <si>
    <t>PCNO</t>
  </si>
  <si>
    <t>DBPlan</t>
  </si>
  <si>
    <t>plan-code-number</t>
  </si>
  <si>
    <t>NRD</t>
  </si>
  <si>
    <t>date-normal-ret</t>
  </si>
  <si>
    <t>ERD</t>
  </si>
  <si>
    <t>date-early-ret</t>
  </si>
  <si>
    <t>DB_ELIG_IND</t>
  </si>
  <si>
    <t>flag-db-elig</t>
  </si>
  <si>
    <t>DB_PROJ_ERROR_IND</t>
  </si>
  <si>
    <t>flag-projection-error</t>
  </si>
  <si>
    <t>DB_PROJ_ERROR_MSG</t>
  </si>
  <si>
    <t>msg-projection-error</t>
  </si>
  <si>
    <t>32-*</t>
  </si>
  <si>
    <t>SFAGE</t>
  </si>
  <si>
    <t>DBBenefit</t>
  </si>
  <si>
    <t>@Plan|SFAGE</t>
  </si>
  <si>
    <t>age</t>
  </si>
  <si>
    <t>SFQPRELI</t>
  </si>
  <si>
    <t>qualified-annuity-pre-ss</t>
  </si>
  <si>
    <t>SFQPOSTLI</t>
  </si>
  <si>
    <t>qualified-annuity-post-ss</t>
  </si>
  <si>
    <t>SFQSLA</t>
  </si>
  <si>
    <t>qualified-annuity</t>
  </si>
  <si>
    <t>SFQLS</t>
  </si>
  <si>
    <t>qualified-lumpsum</t>
  </si>
  <si>
    <t>SFNQSLA</t>
  </si>
  <si>
    <t>non-qualified-annuity</t>
  </si>
  <si>
    <t>SFNQLS</t>
  </si>
  <si>
    <t>non-qualified-lumpsum</t>
  </si>
  <si>
    <t>SFFLAG1</t>
  </si>
  <si>
    <t>flag-qdro1</t>
  </si>
  <si>
    <t>SFFLAG2</t>
  </si>
  <si>
    <t>flag-qdro2</t>
  </si>
  <si>
    <t>SFFLAG3</t>
  </si>
  <si>
    <t>flag-partial-ls</t>
  </si>
  <si>
    <t>plan-code</t>
  </si>
  <si>
    <t>-</t>
  </si>
  <si>
    <t>Fields provided in this column NEED to be part of mapping (i.e. @Plan added just so I could create index of DBBenefit)</t>
  </si>
  <si>
    <t>This sheet is used to define mappings from Xerox/Advantage's SPService back to our xDS fields.  Handles flat fields and 'simple' history fields,</t>
  </si>
  <si>
    <t>but if additional (custom) mapping is required, code in the client site is needed.</t>
  </si>
  <si>
    <t>This sheet is used to define mappings from client provided XML data file back to our xDS fields.  BTR exports a configuration from this sheet that can</t>
  </si>
  <si>
    <r>
      <t xml:space="preserve">then be used in the </t>
    </r>
    <r>
      <rPr>
        <i/>
        <sz val="10"/>
        <rFont val="Arial"/>
        <family val="2"/>
      </rPr>
      <t>Map Client Xml to xDS Xml.linq</t>
    </r>
    <r>
      <rPr>
        <sz val="10"/>
        <rFont val="Arial"/>
        <family val="2"/>
      </rPr>
      <t xml:space="preserve"> script by BTR or KAT members.</t>
    </r>
  </si>
  <si>
    <t>bookmark</t>
  </si>
  <si>
    <t>visible</t>
  </si>
  <si>
    <t>js_options1</t>
  </si>
  <si>
    <t>js_options1b</t>
  </si>
  <si>
    <t>js_options2</t>
  </si>
  <si>
    <t>js_options3</t>
  </si>
  <si>
    <t>js_50only</t>
  </si>
  <si>
    <t>lio62_option</t>
  </si>
  <si>
    <t>lio65_option</t>
  </si>
  <si>
    <t>lio62_option2</t>
  </si>
  <si>
    <t>lio65_option2</t>
  </si>
  <si>
    <t>lio62_option3</t>
  </si>
  <si>
    <t>lio65_option3</t>
  </si>
  <si>
    <t>show_2</t>
  </si>
  <si>
    <t>show_3</t>
  </si>
  <si>
    <t>show_4</t>
  </si>
  <si>
    <t>show_er</t>
  </si>
  <si>
    <t>js_50only2</t>
  </si>
  <si>
    <t>show_cl</t>
  </si>
  <si>
    <t>show_cl2</t>
  </si>
  <si>
    <t>show_cl3</t>
  </si>
  <si>
    <t>show_cl4</t>
  </si>
  <si>
    <t>hide_cl</t>
  </si>
  <si>
    <t>hide_cl2</t>
  </si>
  <si>
    <t>hide_cl3</t>
  </si>
  <si>
    <t>hide_cl4</t>
  </si>
  <si>
    <t>lio62_space</t>
  </si>
  <si>
    <t>over65_space</t>
  </si>
  <si>
    <t>over65_space2</t>
  </si>
  <si>
    <t>assume_bene_dob</t>
  </si>
  <si>
    <t>actual_bene_dob</t>
  </si>
  <si>
    <t>bene_note1</t>
  </si>
  <si>
    <t>bene_note2</t>
  </si>
  <si>
    <t>star_js50</t>
  </si>
  <si>
    <t>star_js66</t>
  </si>
  <si>
    <t>star_js75</t>
  </si>
  <si>
    <t>star_js100</t>
  </si>
  <si>
    <t>headers</t>
  </si>
  <si>
    <t>ls-batch-id</t>
  </si>
  <si>
    <t>ssn-hidden</t>
  </si>
  <si>
    <t>name-suffix</t>
  </si>
  <si>
    <t>dob</t>
  </si>
  <si>
    <t>doh</t>
  </si>
  <si>
    <t>date-rehire</t>
  </si>
  <si>
    <t>dot</t>
  </si>
  <si>
    <t>date-ben-cease</t>
  </si>
  <si>
    <t>nrd</t>
  </si>
  <si>
    <t>ab65</t>
  </si>
  <si>
    <t>age-dot-fotmf</t>
  </si>
  <si>
    <t>age-bcd</t>
  </si>
  <si>
    <t>act-incr</t>
  </si>
  <si>
    <t>er-elig</t>
  </si>
  <si>
    <t>erf</t>
  </si>
  <si>
    <t>factor-ls</t>
  </si>
  <si>
    <t>factor-sla</t>
  </si>
  <si>
    <t>factor-js50</t>
  </si>
  <si>
    <t>factor-js75</t>
  </si>
  <si>
    <t>ls-amt</t>
  </si>
  <si>
    <t>sla-amt</t>
  </si>
  <si>
    <t>sla-55-amt</t>
  </si>
  <si>
    <t>js50-amt</t>
  </si>
  <si>
    <t>js66-amt</t>
  </si>
  <si>
    <t>js75-amt</t>
  </si>
  <si>
    <t>js100-amt</t>
  </si>
  <si>
    <t>js50-amt-ben</t>
  </si>
  <si>
    <t>js66-amt-ben</t>
  </si>
  <si>
    <t>js75-amt-ben</t>
  </si>
  <si>
    <t>js100-amt-ben</t>
  </si>
  <si>
    <t>cl5-amt</t>
  </si>
  <si>
    <t>cl10-amt</t>
  </si>
  <si>
    <t>lio62-bef</t>
  </si>
  <si>
    <t>pia62</t>
  </si>
  <si>
    <t>lio62-aft</t>
  </si>
  <si>
    <t>lio65-bef</t>
  </si>
  <si>
    <t>pia65</t>
  </si>
  <si>
    <t>lio65-aft</t>
  </si>
  <si>
    <t>vest-svc</t>
  </si>
  <si>
    <t>fact-opt-js50</t>
  </si>
  <si>
    <t>fact-opt-js66</t>
  </si>
  <si>
    <t>fact-opt-js75</t>
  </si>
  <si>
    <t>fact-opt-js100</t>
  </si>
  <si>
    <t>fact-opt-cl5</t>
  </si>
  <si>
    <t>fact-opt-cl10</t>
  </si>
  <si>
    <t>ls_return_name1</t>
  </si>
  <si>
    <t>ls_return_name2</t>
  </si>
  <si>
    <t>ls_return_address1</t>
  </si>
  <si>
    <t>ls_return_address2</t>
  </si>
  <si>
    <t>er-elig-55</t>
  </si>
  <si>
    <t>erf-55</t>
  </si>
  <si>
    <t>salutation</t>
  </si>
  <si>
    <t>dob-ben</t>
  </si>
  <si>
    <t>flag</t>
  </si>
  <si>
    <t>letter-id</t>
  </si>
  <si>
    <t>date-ls-letter</t>
  </si>
  <si>
    <t>dot-used</t>
  </si>
  <si>
    <t>name-last-eeap</t>
  </si>
  <si>
    <t>name-first-eeap</t>
  </si>
  <si>
    <t>date-birth-eeap</t>
  </si>
  <si>
    <t>template</t>
  </si>
  <si>
    <t>number-of-on</t>
  </si>
  <si>
    <t>vs</t>
  </si>
  <si>
    <t>lsbcd</t>
  </si>
  <si>
    <t>date-rtn-pkg</t>
  </si>
  <si>
    <t>LS batch-ind</t>
  </si>
  <si>
    <t>EEID</t>
  </si>
  <si>
    <t>SSN Hidden</t>
  </si>
  <si>
    <t>MI</t>
  </si>
  <si>
    <t>Suffix</t>
  </si>
  <si>
    <t>DOB</t>
  </si>
  <si>
    <t>Address1</t>
  </si>
  <si>
    <t>Address2</t>
  </si>
  <si>
    <t>Zip</t>
  </si>
  <si>
    <t>Date Hire</t>
  </si>
  <si>
    <t>Date Last Rehire</t>
  </si>
  <si>
    <t>DOT</t>
  </si>
  <si>
    <t>Date Accr. Ben Cease</t>
  </si>
  <si>
    <t>AB at 65</t>
  </si>
  <si>
    <t>Age at FOTMF DOT</t>
  </si>
  <si>
    <t>Age at BCD</t>
  </si>
  <si>
    <t>Act. Increase</t>
  </si>
  <si>
    <t>ER Elig?</t>
  </si>
  <si>
    <t>ERF</t>
  </si>
  <si>
    <t>LS Factor</t>
  </si>
  <si>
    <t>SLA Immed Factor</t>
  </si>
  <si>
    <t>JS50 Immed Factor</t>
  </si>
  <si>
    <t>JS75 Immed Factor</t>
  </si>
  <si>
    <t>SLA</t>
  </si>
  <si>
    <t>SLA 55 Amt.</t>
  </si>
  <si>
    <t>JS66</t>
  </si>
  <si>
    <t>JS75</t>
  </si>
  <si>
    <t>CL5</t>
  </si>
  <si>
    <t>CL10</t>
  </si>
  <si>
    <t>LIO62 Bef.</t>
  </si>
  <si>
    <t>PIA 62</t>
  </si>
  <si>
    <t>LIO62 Aft.</t>
  </si>
  <si>
    <t>LIO 65 Bef.</t>
  </si>
  <si>
    <t>PIA 65</t>
  </si>
  <si>
    <t>LIO65 Aft.</t>
  </si>
  <si>
    <t>Vesting svc</t>
  </si>
  <si>
    <t>Opt. Factor JS50</t>
  </si>
  <si>
    <t>Opt. Factor JS66</t>
  </si>
  <si>
    <t>Opt. Factor JS75</t>
  </si>
  <si>
    <t>Opt. Factor JS100</t>
  </si>
  <si>
    <t>Opt. Factor CL5</t>
  </si>
  <si>
    <t>Opt. Factor CL10</t>
  </si>
  <si>
    <t>Return name1</t>
  </si>
  <si>
    <t>Return name2</t>
  </si>
  <si>
    <t>Return address1</t>
  </si>
  <si>
    <t>Return address2</t>
  </si>
  <si>
    <t>Elig for ER at 55</t>
  </si>
  <si>
    <t>ERF at 55</t>
  </si>
  <si>
    <t>Salutation</t>
  </si>
  <si>
    <t>DOB bene.</t>
  </si>
  <si>
    <t>Flag</t>
  </si>
  <si>
    <t>Letter ID</t>
  </si>
  <si>
    <t>Letter Date</t>
  </si>
  <si>
    <t>DOT used</t>
  </si>
  <si>
    <t>EE/AP last name</t>
  </si>
  <si>
    <t>EE/AP First name</t>
  </si>
  <si>
    <t>EE/AP DOB</t>
  </si>
  <si>
    <t>Template</t>
  </si>
  <si>
    <t>Num On</t>
  </si>
  <si>
    <t>BCD</t>
  </si>
  <si>
    <t>package return date</t>
  </si>
  <si>
    <t/>
  </si>
  <si>
    <t>XXX-XX-3202</t>
  </si>
  <si>
    <t>Chak</t>
  </si>
  <si>
    <t>Ki-Chuen</t>
  </si>
  <si>
    <t>11 Godwin Avenue</t>
  </si>
  <si>
    <t>Fair Lawn</t>
  </si>
  <si>
    <t>NJ</t>
  </si>
  <si>
    <t>07410</t>
  </si>
  <si>
    <t>The Valley Hospital Special Retirement Opportunity Service Center</t>
  </si>
  <si>
    <t>c/o Buck Consultants</t>
  </si>
  <si>
    <t>PO Box 10450</t>
  </si>
  <si>
    <t>Fort Wayne, IN 46852-0450</t>
  </si>
  <si>
    <t>TermVested_NoRequest.doc</t>
  </si>
  <si>
    <r>
      <t xml:space="preserve">This 4.5 adhoc calculation tab generates adhoc report data.  The column headers can be anything (don't need to be text* and value*, although they can be) and you need two rows.  A </t>
    </r>
    <r>
      <rPr>
        <i/>
        <sz val="10"/>
        <rFont val="Arial"/>
        <family val="2"/>
      </rPr>
      <t>headers</t>
    </r>
    <r>
      <rPr>
        <sz val="10"/>
        <rFont val="Arial"/>
        <family val="2"/>
      </rPr>
      <t xml:space="preserve"> row and and </t>
    </r>
    <r>
      <rPr>
        <i/>
        <sz val="10"/>
        <rFont val="Arial"/>
        <family val="2"/>
      </rPr>
      <t>data</t>
    </r>
    <r>
      <rPr>
        <sz val="10"/>
        <rFont val="Arial"/>
        <family val="2"/>
      </rPr>
      <t>row.  Whatever columns you provide in the header,</t>
    </r>
  </si>
  <si>
    <r>
      <t xml:space="preserve">a csv file will be generated with those columns and the information from the </t>
    </r>
    <r>
      <rPr>
        <i/>
        <sz val="10"/>
        <rFont val="Arial"/>
        <family val="2"/>
      </rPr>
      <t>data</t>
    </r>
    <r>
      <rPr>
        <sz val="10"/>
        <rFont val="Arial"/>
        <family val="2"/>
      </rPr>
      <t xml:space="preserve"> row for each participant processed during the calculation will have their information dumped (or blank if no associated data item was dumped for a particular header).</t>
    </r>
  </si>
  <si>
    <r>
      <t>The table name can be anything (provide to BTR), then the FolderItem type should be report-</t>
    </r>
    <r>
      <rPr>
        <i/>
        <sz val="10"/>
        <rFont val="Arial"/>
        <family val="2"/>
      </rPr>
      <t>tablename</t>
    </r>
    <r>
      <rPr>
        <sz val="10"/>
        <rFont val="Arial"/>
        <family val="2"/>
      </rPr>
      <t xml:space="preserve"> and the tab name should be RBLReport</t>
    </r>
    <r>
      <rPr>
        <i/>
        <sz val="10"/>
        <rFont val="Arial"/>
        <family val="2"/>
      </rPr>
      <t>tablename</t>
    </r>
    <r>
      <rPr>
        <sz val="10"/>
        <rFont val="Arial"/>
        <family val="2"/>
      </rPr>
      <t>.</t>
    </r>
  </si>
  <si>
    <t>This 4.5 adhoc calculation tab also generates information to create DocGen packages.  If the FolderItems created from this tab are not needed/used in any DocGen creation, you can remove the bookmark and download-package table.</t>
  </si>
  <si>
    <t>HighCharts-Overrides</t>
  </si>
  <si>
    <t>HighCharts-SummaryChart-Options</t>
  </si>
  <si>
    <t>HighCharts-SummaryChart-Data</t>
  </si>
  <si>
    <t>HighCharts-RetGrowth-Options</t>
  </si>
  <si>
    <t>HighCharts-RetGrowth-Data</t>
  </si>
  <si>
    <t>HighCharts-ProjectedIncome-Options</t>
  </si>
  <si>
    <t>HighCharts-ProjectedIncome-Data</t>
  </si>
  <si>
    <t>exporting.enabled</t>
  </si>
  <si>
    <t>Social Security&lt;&lt;br/&gt;&gt;$2,534 per mo.&lt;&lt;br/&gt;&gt;replaces 15% of pay</t>
  </si>
  <si>
    <t xml:space="preserve">Wilbur-Ellis Retirement Plan&lt;&lt;br/&gt;&gt;$431 per mo.&lt;&lt;br/&gt;&gt;replaces 3% of pay&lt;&lt;br/&gt;&gt; </t>
  </si>
  <si>
    <t xml:space="preserve">John Taylor Retirement Benefit&lt;&lt;br/&gt;&gt;$205 per mo.&lt;&lt;br/&gt;&gt;replaces 1% of pay&lt;&lt;br/&gt;&gt; </t>
  </si>
  <si>
    <t xml:space="preserve">SoilServ Retirement Benefit&lt;&lt;br/&gt;&gt;$0 per mo.&lt;&lt;br/&gt;&gt;replaces 0% of pay&lt;&lt;br/&gt;&gt; </t>
  </si>
  <si>
    <t>401(k) Plan&lt;&lt;br/&gt;&gt; $0 per mo.&lt;&lt;br/&gt;&gt;replaces 0% of pay</t>
  </si>
  <si>
    <t>dummy</t>
  </si>
  <si>
    <t>Wilbur-Ellis Retirement Plan</t>
  </si>
  <si>
    <t>John Taylor Retirement Benefit</t>
  </si>
  <si>
    <t>SoilServ Retirement Benefit</t>
  </si>
  <si>
    <t>credits.enabled</t>
  </si>
  <si>
    <t>c0</t>
  </si>
  <si>
    <t>#2E7064</t>
  </si>
  <si>
    <t>tooltip.enabled</t>
  </si>
  <si>
    <t>#FFC702</t>
  </si>
  <si>
    <t>#0073A4</t>
  </si>
  <si>
    <t>#404040</t>
  </si>
  <si>
    <t>min-width: 600px; height: 400px; margin: 0 auto;</t>
  </si>
  <si>
    <t>min-width: 365px; height: 500px; margin: 0 auto;</t>
  </si>
  <si>
    <t>Projected Monthly Pay in Year of Termination (2017)&lt;&lt;br/&gt;&gt;$16,667 per month</t>
  </si>
  <si>
    <t>min-width: 600px; height: 400px; margin: null</t>
  </si>
  <si>
    <t>chart.type</t>
  </si>
  <si>
    <t>column</t>
  </si>
  <si>
    <t>Total Monthly Retirement Income at April 1, 2017&lt;&lt;br/&gt;&gt;$3,170 per month&lt;&lt;br/&gt;&gt;19% of pay</t>
  </si>
  <si>
    <t>line</t>
  </si>
  <si>
    <t>title.text</t>
  </si>
  <si>
    <t>Projected Pension Plan Benefit Monthly Annuity</t>
  </si>
  <si>
    <t>Total Retirement Income Monthly Annuity</t>
  </si>
  <si>
    <t>subtitle.text</t>
  </si>
  <si>
    <t>yAxis.title.text</t>
  </si>
  <si>
    <t>Dollars</t>
  </si>
  <si>
    <t>xAxis.title.text</t>
  </si>
  <si>
    <t>Age at Termination/Retirement</t>
  </si>
  <si>
    <t>chart.marginRight</t>
  </si>
  <si>
    <t>title.x</t>
  </si>
  <si>
    <t>legend.verticalAlign</t>
  </si>
  <si>
    <t>plotOptions.column.stacking</t>
  </si>
  <si>
    <t>normal</t>
  </si>
  <si>
    <t>&lt;&lt;div style='text-align: left; white-space: normal; width: 175px; height: 275px; background-color: #F8F8F8; border: 1px solid #B8B8B8; padding: 10px'&gt;&gt;&lt;&lt;p&gt;&gt;FYI ... &lt;&lt;br/&gt;&gt;&lt;&lt;br/&gt;&gt;At age 65, your projected Retirement Plan benefit of $431 per month would replace  0% of age 65 projected salary.&lt;&lt;/p&gt;&gt;&lt;&lt;/div&gt;&gt;</t>
  </si>
  <si>
    <t>legend.align</t>
  </si>
  <si>
    <t>left</t>
  </si>
  <si>
    <t>xAxis.align</t>
  </si>
  <si>
    <t>center</t>
  </si>
  <si>
    <t>subtitle.align</t>
  </si>
  <si>
    <t>right</t>
  </si>
  <si>
    <t>legend.layout</t>
  </si>
  <si>
    <t>vertical</t>
  </si>
  <si>
    <t>legend.itemMarginBottom</t>
  </si>
  <si>
    <t>subtitle.useHTML</t>
  </si>
  <si>
    <t>legend.backgroundColor</t>
  </si>
  <si>
    <t>white</t>
  </si>
  <si>
    <t>legend.itemStyle.width</t>
  </si>
  <si>
    <t>subtitle.floating</t>
  </si>
  <si>
    <t>legend.floating</t>
  </si>
  <si>
    <t>subtitle.y</t>
  </si>
  <si>
    <t>legend.x</t>
  </si>
  <si>
    <t>&lt;&lt;b&gt;&gt;Age {x}&lt;&lt;/b&gt;&gt;{seriesDetail}&lt;&lt;br/&gt;&gt;</t>
  </si>
  <si>
    <t>legend.y</t>
  </si>
  <si>
    <t>middle</t>
  </si>
  <si>
    <t>yAxis.labels.formatter</t>
  </si>
  <si>
    <t>function () { return String.localeFormat("{0:c0}", this.value); }</t>
  </si>
  <si>
    <t>legend.itemStyle.fontWeight</t>
  </si>
  <si>
    <t>legend.borderWidth</t>
  </si>
  <si>
    <t>yAxis.stackLabels.enabled</t>
  </si>
  <si>
    <t>config-tooltipTitle</t>
  </si>
  <si>
    <t>empty</t>
  </si>
  <si>
    <t>HighCharts-BalanceChart-Data</t>
  </si>
  <si>
    <t>plotLine</t>
  </si>
  <si>
    <t>plotBand</t>
  </si>
  <si>
    <t>Non Qualified Savings Plan</t>
  </si>
  <si>
    <t>SEOP</t>
  </si>
  <si>
    <t>Personal Savings</t>
  </si>
  <si>
    <t>#47add5</t>
  </si>
  <si>
    <t>#96d3c2</t>
  </si>
  <si>
    <t>#8eb1d6</t>
  </si>
  <si>
    <t>config-visible</t>
  </si>
  <si>
    <t>rgb(48, 48, 48)|2</t>
  </si>
  <si>
    <t>rgba(68, 170, 213, .2)|higher</t>
  </si>
  <si>
    <t>HighCharts-BalanceChart-Options</t>
  </si>
  <si>
    <t>false</t>
  </si>
  <si>
    <t>true</t>
  </si>
  <si>
    <t>tooltip.shared</t>
  </si>
  <si>
    <t>&lt;b&gt;Age {x} Savings:{seriesDetail}&lt;/b&gt;</t>
  </si>
  <si>
    <t>min-width: 300px; width: 100%; max-height: 350px; margin: 0 auto;</t>
  </si>
  <si>
    <t>chart.defaultSeriesType</t>
  </si>
  <si>
    <t>area</t>
  </si>
  <si>
    <t>title.align</t>
  </si>
  <si>
    <t>yAxis.min</t>
  </si>
  <si>
    <t>xAxis.tickWidth</t>
  </si>
  <si>
    <t>xAxis.tickInterval</t>
  </si>
  <si>
    <t>legend.enabled</t>
  </si>
  <si>
    <t>legend.borderColor</t>
  </si>
  <si>
    <t>rgb(48,48,48)</t>
  </si>
  <si>
    <t>legend.itemStyle.color</t>
  </si>
  <si>
    <t>legend.itemHoverStyle.color</t>
  </si>
  <si>
    <t>1</t>
  </si>
  <si>
    <t>legend.shadow</t>
  </si>
  <si>
    <t>null</t>
  </si>
  <si>
    <t>bottom</t>
  </si>
  <si>
    <t>plotOptions.series.stacking</t>
  </si>
  <si>
    <t>plotOptions.series.marker.enabled</t>
  </si>
  <si>
    <t>plotOptions.series.marker.states.hover.enabled</t>
  </si>
  <si>
    <t>HighCharts-RetirementIncomeChart-Options</t>
  </si>
  <si>
    <t>plotOptions.column.animation</t>
  </si>
  <si>
    <t>plotOptions.column.shadow</t>
  </si>
  <si>
    <t>&lt;b&gt;Age {x}&lt;/b&gt;{seriesDetail}&lt;br/&gt;</t>
  </si>
  <si>
    <t>HighCharts-RetirementIncomeChart-Data</t>
  </si>
  <si>
    <t>series8</t>
  </si>
  <si>
    <t>series9</t>
  </si>
  <si>
    <t>series10</t>
  </si>
  <si>
    <t>Shortfall</t>
  </si>
  <si>
    <t>Qualified DB Annuity</t>
  </si>
  <si>
    <t>NQ DB Annuity</t>
  </si>
  <si>
    <t>Former Employer Annuity</t>
  </si>
  <si>
    <t>Retirement Income  Needed</t>
  </si>
  <si>
    <t>#FFFFFF</t>
  </si>
  <si>
    <t>#adbbcc</t>
  </si>
  <si>
    <t>#5b606a</t>
  </si>
  <si>
    <t>#3a5174</t>
  </si>
  <si>
    <t>#123057</t>
  </si>
  <si>
    <t>#be2004</t>
  </si>
  <si>
    <t>config-type</t>
  </si>
  <si>
    <t>areaspline</t>
  </si>
  <si>
    <t>spline</t>
  </si>
  <si>
    <t>config-fillOpacity</t>
  </si>
  <si>
    <t>HighCharts</t>
  </si>
  <si>
    <t>BalanceChart</t>
  </si>
  <si>
    <t>RetirementIncomeChart</t>
  </si>
</sst>
</file>

<file path=xl/styles.xml><?xml version="1.0" encoding="utf-8"?>
<styleSheet xmlns="http://schemas.openxmlformats.org/spreadsheetml/2006/main" xmlns:mc="http://schemas.openxmlformats.org/markup-compatibility/2006" xmlns:x14ac="http://schemas.microsoft.com/office/spreadsheetml/2009/9/ac" mc:Ignorable="x14ac">
  <numFmts count="20">
    <numFmt numFmtId="8" formatCode="&quot;$&quot;#,##0.00_);[Red]\(&quot;$&quot;#,##0.00\)"/>
    <numFmt numFmtId="44" formatCode="_(&quot;$&quot;* #,##0.00_);_(&quot;$&quot;* \(#,##0.00\);_(&quot;$&quot;* &quot;-&quot;??_);_(@_)"/>
    <numFmt numFmtId="43" formatCode="_(* #,##0.00_);_(* \(#,##0.00\);_(* &quot;-&quot;??_);_(@_)"/>
    <numFmt numFmtId="164" formatCode="_-&quot;$&quot;* #,##0.00_-;\-&quot;$&quot;* #,##0.00_-;_-&quot;$&quot;* &quot;-&quot;??_-;_-@_-"/>
    <numFmt numFmtId="165" formatCode="0.0%"/>
    <numFmt numFmtId="166" formatCode="0.0"/>
    <numFmt numFmtId="167" formatCode="0.0000"/>
    <numFmt numFmtId="168" formatCode="0.000"/>
    <numFmt numFmtId="169" formatCode="000\-00\-0000"/>
    <numFmt numFmtId="170" formatCode="mmmm\ d\,\ yyyy"/>
    <numFmt numFmtId="171" formatCode="m/d/yy"/>
    <numFmt numFmtId="172" formatCode="&quot;$&quot;#,##0.00"/>
    <numFmt numFmtId="173" formatCode="mmmm\ dd\,\ yyyy"/>
    <numFmt numFmtId="174" formatCode="_(&quot;$&quot;#,##0.00_);_(&quot;$&quot;#,##0.00\);_(&quot;$&quot;\ &quot;-&quot;??_);_(@_)"/>
    <numFmt numFmtId="175" formatCode="00000"/>
    <numFmt numFmtId="176" formatCode="m/d/yyyy;@"/>
    <numFmt numFmtId="177" formatCode="h:mm:ss;@"/>
    <numFmt numFmtId="178" formatCode="_(&quot;$&quot;* #,##0.0000_);_(&quot;$&quot;* \(#,##0.0000\);_(&quot;$&quot;* &quot;-&quot;??_);_(@_)"/>
    <numFmt numFmtId="179" formatCode="_(&quot;$&quot;* #,##0.000_);_(&quot;$&quot;* \(#,##0.000\);_(&quot;$&quot;* &quot;-&quot;??_);_(@_)"/>
    <numFmt numFmtId="180" formatCode="&quot;$&quot;#,##0.0000_);[Red]\(&quot;$&quot;#,##0.0000\)"/>
  </numFmts>
  <fonts count="59" x14ac:knownFonts="1">
    <font>
      <sz val="10"/>
      <name val="Arial"/>
    </font>
    <font>
      <sz val="11"/>
      <color theme="1"/>
      <name val="Calibri"/>
      <family val="2"/>
      <scheme val="minor"/>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u/>
      <sz val="10"/>
      <color indexed="12"/>
      <name val="Arial"/>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0"/>
      <name val="Arial"/>
      <family val="2"/>
    </font>
    <font>
      <b/>
      <sz val="10"/>
      <color indexed="10"/>
      <name val="Arial"/>
      <family val="2"/>
    </font>
    <font>
      <b/>
      <i/>
      <sz val="10"/>
      <name val="Arial"/>
      <family val="2"/>
    </font>
    <font>
      <i/>
      <sz val="10"/>
      <name val="Arial"/>
      <family val="2"/>
    </font>
    <font>
      <sz val="8"/>
      <name val="Arial"/>
      <family val="2"/>
    </font>
    <font>
      <sz val="10"/>
      <color indexed="10"/>
      <name val="Arial"/>
      <family val="2"/>
    </font>
    <font>
      <sz val="8"/>
      <name val="Arial"/>
      <family val="2"/>
    </font>
    <font>
      <b/>
      <sz val="8"/>
      <color indexed="81"/>
      <name val="Tahoma"/>
      <family val="2"/>
    </font>
    <font>
      <sz val="8"/>
      <color indexed="81"/>
      <name val="Tahoma"/>
      <family val="2"/>
    </font>
    <font>
      <i/>
      <sz val="8"/>
      <color indexed="81"/>
      <name val="Tahoma"/>
      <family val="2"/>
    </font>
    <font>
      <b/>
      <i/>
      <sz val="8"/>
      <color indexed="81"/>
      <name val="Tahoma"/>
      <family val="2"/>
    </font>
    <font>
      <u/>
      <sz val="10"/>
      <name val="Arial"/>
      <family val="2"/>
    </font>
    <font>
      <b/>
      <sz val="9"/>
      <color indexed="81"/>
      <name val="Tahoma"/>
      <family val="2"/>
    </font>
    <font>
      <sz val="9"/>
      <color indexed="81"/>
      <name val="Tahoma"/>
      <family val="2"/>
    </font>
    <font>
      <sz val="10"/>
      <color indexed="10"/>
      <name val="Arial"/>
      <family val="2"/>
    </font>
    <font>
      <sz val="12"/>
      <name val="Tms Rmn"/>
    </font>
    <font>
      <sz val="10"/>
      <name val="Times New Roman"/>
      <family val="1"/>
    </font>
    <font>
      <i/>
      <sz val="9"/>
      <color indexed="81"/>
      <name val="Tahoma"/>
      <family val="2"/>
    </font>
    <font>
      <b/>
      <sz val="10"/>
      <color indexed="9"/>
      <name val="Arial"/>
      <family val="2"/>
    </font>
    <font>
      <sz val="11"/>
      <name val="Calibri"/>
      <family val="2"/>
    </font>
    <font>
      <b/>
      <sz val="11"/>
      <name val="Calibri"/>
      <family val="2"/>
    </font>
    <font>
      <b/>
      <sz val="11"/>
      <color indexed="10"/>
      <name val="Calibri"/>
      <family val="2"/>
    </font>
    <font>
      <b/>
      <sz val="11"/>
      <color indexed="53"/>
      <name val="Calibri"/>
      <family val="2"/>
    </font>
    <font>
      <b/>
      <sz val="10"/>
      <color indexed="53"/>
      <name val="Arial"/>
      <family val="2"/>
    </font>
    <font>
      <b/>
      <sz val="11"/>
      <color indexed="12"/>
      <name val="Calibri"/>
      <family val="2"/>
    </font>
    <font>
      <b/>
      <sz val="10"/>
      <color indexed="12"/>
      <name val="Arial"/>
      <family val="2"/>
    </font>
    <font>
      <b/>
      <sz val="11"/>
      <color theme="1"/>
      <name val="Calibri"/>
      <family val="2"/>
      <scheme val="minor"/>
    </font>
    <font>
      <b/>
      <sz val="10"/>
      <color rgb="FFFF0000"/>
      <name val="Arial"/>
      <family val="2"/>
    </font>
    <font>
      <b/>
      <sz val="11"/>
      <color theme="9" tint="-0.249977111117893"/>
      <name val="Calibri"/>
      <family val="2"/>
      <scheme val="minor"/>
    </font>
    <font>
      <sz val="11"/>
      <color theme="9" tint="-0.249977111117893"/>
      <name val="Calibri"/>
      <family val="2"/>
      <scheme val="minor"/>
    </font>
    <font>
      <sz val="11"/>
      <name val="Calibri"/>
      <family val="2"/>
      <scheme val="minor"/>
    </font>
    <font>
      <i/>
      <sz val="11"/>
      <color theme="1"/>
      <name val="Calibri"/>
      <family val="2"/>
      <scheme val="minor"/>
    </font>
    <font>
      <sz val="10"/>
      <name val="Arial Unicode MS"/>
      <family val="2"/>
    </font>
    <font>
      <b/>
      <u/>
      <sz val="11"/>
      <color theme="1"/>
      <name val="Calibri"/>
      <family val="2"/>
      <scheme val="minor"/>
    </font>
    <font>
      <sz val="11"/>
      <color rgb="FF9C0006"/>
      <name val="Calibri"/>
      <family val="2"/>
      <scheme val="minor"/>
    </font>
    <font>
      <b/>
      <sz val="11"/>
      <color indexed="9"/>
      <name val="Arial"/>
      <family val="2"/>
    </font>
    <font>
      <sz val="11"/>
      <name val="Arial"/>
      <family val="2"/>
    </font>
  </fonts>
  <fills count="4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indexed="42"/>
        <bgColor indexed="64"/>
      </patternFill>
    </fill>
    <fill>
      <patternFill patternType="solid">
        <fgColor indexed="23"/>
        <bgColor indexed="64"/>
      </patternFill>
    </fill>
    <fill>
      <patternFill patternType="solid">
        <fgColor indexed="43"/>
        <bgColor indexed="64"/>
      </patternFill>
    </fill>
    <fill>
      <patternFill patternType="solid">
        <fgColor indexed="45"/>
        <bgColor indexed="64"/>
      </patternFill>
    </fill>
    <fill>
      <patternFill patternType="solid">
        <fgColor indexed="44"/>
        <bgColor indexed="64"/>
      </patternFill>
    </fill>
    <fill>
      <patternFill patternType="solid">
        <fgColor indexed="41"/>
        <bgColor indexed="64"/>
      </patternFill>
    </fill>
    <fill>
      <patternFill patternType="solid">
        <fgColor indexed="13"/>
        <bgColor indexed="64"/>
      </patternFill>
    </fill>
    <fill>
      <patternFill patternType="solid">
        <fgColor indexed="63"/>
        <bgColor indexed="64"/>
      </patternFill>
    </fill>
    <fill>
      <patternFill patternType="solid">
        <fgColor indexed="15"/>
        <bgColor indexed="64"/>
      </patternFill>
    </fill>
    <fill>
      <patternFill patternType="solid">
        <fgColor indexed="51"/>
        <bgColor indexed="64"/>
      </patternFill>
    </fill>
    <fill>
      <patternFill patternType="solid">
        <fgColor theme="0"/>
        <bgColor indexed="64"/>
      </patternFill>
    </fill>
    <fill>
      <patternFill patternType="solid">
        <fgColor theme="3" tint="0.79998168889431442"/>
        <bgColor indexed="64"/>
      </patternFill>
    </fill>
    <fill>
      <patternFill patternType="solid">
        <fgColor theme="6" tint="0.59996337778862885"/>
        <bgColor indexed="64"/>
      </patternFill>
    </fill>
    <fill>
      <patternFill patternType="solid">
        <fgColor theme="9" tint="0.79998168889431442"/>
        <bgColor indexed="64"/>
      </patternFill>
    </fill>
    <fill>
      <patternFill patternType="solid">
        <fgColor rgb="FFFFFF99"/>
        <bgColor indexed="64"/>
      </patternFill>
    </fill>
    <fill>
      <patternFill patternType="solid">
        <fgColor theme="2"/>
        <bgColor indexed="64"/>
      </patternFill>
    </fill>
    <fill>
      <patternFill patternType="solid">
        <fgColor rgb="FFCCFFCC"/>
        <bgColor indexed="64"/>
      </patternFill>
    </fill>
    <fill>
      <patternFill patternType="solid">
        <fgColor theme="7" tint="0.59996337778862885"/>
        <bgColor indexed="64"/>
      </patternFill>
    </fill>
    <fill>
      <patternFill patternType="solid">
        <fgColor rgb="FFFFFF00"/>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rgb="FFFFC7CE"/>
      </patternFill>
    </fill>
  </fills>
  <borders count="5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ck">
        <color indexed="64"/>
      </left>
      <right/>
      <top style="thick">
        <color indexed="64"/>
      </top>
      <bottom/>
      <diagonal/>
    </border>
    <border>
      <left/>
      <right/>
      <top style="thick">
        <color indexed="64"/>
      </top>
      <bottom/>
      <diagonal/>
    </border>
    <border>
      <left/>
      <right style="thick">
        <color indexed="64"/>
      </right>
      <top style="thick">
        <color indexed="64"/>
      </top>
      <bottom/>
      <diagonal/>
    </border>
    <border>
      <left style="thick">
        <color indexed="64"/>
      </left>
      <right/>
      <top/>
      <bottom/>
      <diagonal/>
    </border>
    <border>
      <left/>
      <right style="thick">
        <color indexed="64"/>
      </right>
      <top/>
      <bottom/>
      <diagonal/>
    </border>
    <border>
      <left style="thick">
        <color indexed="64"/>
      </left>
      <right/>
      <top/>
      <bottom style="thick">
        <color indexed="64"/>
      </bottom>
      <diagonal/>
    </border>
    <border>
      <left/>
      <right/>
      <top/>
      <bottom style="thick">
        <color indexed="64"/>
      </bottom>
      <diagonal/>
    </border>
    <border>
      <left/>
      <right style="thick">
        <color indexed="64"/>
      </right>
      <top/>
      <bottom style="thick">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59">
    <xf numFmtId="0" fontId="0"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43" fontId="2" fillId="0" borderId="0" applyFont="0" applyFill="0" applyBorder="0" applyAlignment="0" applyProtection="0"/>
    <xf numFmtId="43" fontId="17" fillId="0" borderId="0" applyFont="0" applyFill="0" applyBorder="0" applyAlignment="0" applyProtection="0"/>
    <xf numFmtId="44" fontId="2" fillId="0" borderId="0" applyFont="0" applyFill="0" applyBorder="0" applyAlignment="0" applyProtection="0"/>
    <xf numFmtId="44" fontId="17" fillId="0" borderId="0" applyFont="0" applyFill="0" applyBorder="0" applyAlignment="0" applyProtection="0"/>
    <xf numFmtId="164" fontId="2" fillId="0" borderId="0" applyFon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0" borderId="0" applyNumberFormat="0" applyFill="0" applyBorder="0" applyAlignment="0" applyProtection="0">
      <alignment vertical="top"/>
      <protection locked="0"/>
    </xf>
    <xf numFmtId="0" fontId="14" fillId="7" borderId="1" applyNumberFormat="0" applyAlignment="0" applyProtection="0"/>
    <xf numFmtId="0" fontId="15" fillId="0" borderId="6" applyNumberFormat="0" applyFill="0" applyAlignment="0" applyProtection="0"/>
    <xf numFmtId="0" fontId="16" fillId="22" borderId="0" applyNumberFormat="0" applyBorder="0" applyAlignment="0" applyProtection="0"/>
    <xf numFmtId="0" fontId="17" fillId="0" borderId="0"/>
    <xf numFmtId="0" fontId="17" fillId="0" borderId="0"/>
    <xf numFmtId="0" fontId="37" fillId="0" borderId="0"/>
    <xf numFmtId="0" fontId="2" fillId="0" borderId="0"/>
    <xf numFmtId="0" fontId="17" fillId="0" borderId="0"/>
    <xf numFmtId="0" fontId="38" fillId="0" borderId="0"/>
    <xf numFmtId="0" fontId="2" fillId="0" borderId="0"/>
    <xf numFmtId="0" fontId="17" fillId="23" borderId="7" applyNumberFormat="0" applyFont="0" applyAlignment="0" applyProtection="0"/>
    <xf numFmtId="0" fontId="18" fillId="20" borderId="8" applyNumberFormat="0" applyAlignment="0" applyProtection="0"/>
    <xf numFmtId="9" fontId="2" fillId="0" borderId="0" applyFont="0" applyFill="0" applyBorder="0" applyAlignment="0" applyProtection="0"/>
    <xf numFmtId="9" fontId="17" fillId="0" borderId="0" applyFon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1" fillId="0" borderId="0" applyNumberFormat="0" applyFill="0" applyBorder="0" applyAlignment="0" applyProtection="0"/>
    <xf numFmtId="0" fontId="1" fillId="0" borderId="0"/>
    <xf numFmtId="0" fontId="56" fillId="47" borderId="0" applyNumberFormat="0" applyBorder="0" applyAlignment="0" applyProtection="0"/>
  </cellStyleXfs>
  <cellXfs count="863">
    <xf numFmtId="0" fontId="0" fillId="0" borderId="0" xfId="0"/>
    <xf numFmtId="0" fontId="22" fillId="24" borderId="10" xfId="46" applyFont="1" applyFill="1" applyBorder="1"/>
    <xf numFmtId="0" fontId="17" fillId="24" borderId="11" xfId="46" applyFont="1" applyFill="1" applyBorder="1"/>
    <xf numFmtId="0" fontId="0" fillId="24" borderId="11" xfId="0" applyFill="1" applyBorder="1"/>
    <xf numFmtId="0" fontId="22" fillId="25" borderId="12" xfId="46" applyFont="1" applyFill="1" applyBorder="1"/>
    <xf numFmtId="2" fontId="17" fillId="25" borderId="13" xfId="46" applyNumberFormat="1" applyFont="1" applyFill="1" applyBorder="1"/>
    <xf numFmtId="0" fontId="0" fillId="25" borderId="13" xfId="0" applyFill="1" applyBorder="1"/>
    <xf numFmtId="0" fontId="0" fillId="25" borderId="14" xfId="0" applyFill="1" applyBorder="1"/>
    <xf numFmtId="0" fontId="22" fillId="25" borderId="15" xfId="46" applyFont="1" applyFill="1" applyBorder="1"/>
    <xf numFmtId="2" fontId="17" fillId="25" borderId="0" xfId="46" applyNumberFormat="1" applyFont="1" applyFill="1" applyBorder="1"/>
    <xf numFmtId="0" fontId="0" fillId="25" borderId="0" xfId="0" applyFill="1" applyBorder="1"/>
    <xf numFmtId="0" fontId="0" fillId="25" borderId="16" xfId="0" applyFill="1" applyBorder="1"/>
    <xf numFmtId="0" fontId="17" fillId="25" borderId="0" xfId="0" applyFont="1" applyFill="1" applyBorder="1"/>
    <xf numFmtId="0" fontId="17" fillId="25" borderId="15" xfId="46" applyFont="1" applyFill="1" applyBorder="1"/>
    <xf numFmtId="0" fontId="22" fillId="25" borderId="15" xfId="0" applyFont="1" applyFill="1" applyBorder="1"/>
    <xf numFmtId="0" fontId="24" fillId="25" borderId="15" xfId="0" applyFont="1" applyFill="1" applyBorder="1" applyAlignment="1">
      <alignment horizontal="left" indent="1"/>
    </xf>
    <xf numFmtId="0" fontId="17" fillId="25" borderId="15" xfId="0" applyFont="1" applyFill="1" applyBorder="1" applyAlignment="1">
      <alignment horizontal="left" indent="2"/>
    </xf>
    <xf numFmtId="0" fontId="17" fillId="25" borderId="15" xfId="0" applyFont="1" applyFill="1" applyBorder="1"/>
    <xf numFmtId="0" fontId="25" fillId="25" borderId="15" xfId="0" applyFont="1" applyFill="1" applyBorder="1" applyAlignment="1">
      <alignment horizontal="left" indent="1"/>
    </xf>
    <xf numFmtId="0" fontId="17" fillId="25" borderId="15" xfId="0" applyFont="1" applyFill="1" applyBorder="1" applyAlignment="1">
      <alignment horizontal="left" indent="1"/>
    </xf>
    <xf numFmtId="0" fontId="24" fillId="25" borderId="15" xfId="0" applyFont="1" applyFill="1" applyBorder="1" applyAlignment="1">
      <alignment horizontal="left" indent="2"/>
    </xf>
    <xf numFmtId="0" fontId="24" fillId="25" borderId="15" xfId="0" applyFont="1" applyFill="1" applyBorder="1" applyAlignment="1">
      <alignment horizontal="left" indent="3"/>
    </xf>
    <xf numFmtId="0" fontId="17" fillId="25" borderId="17" xfId="0" applyFont="1" applyFill="1" applyBorder="1"/>
    <xf numFmtId="0" fontId="0" fillId="25" borderId="18" xfId="0" applyFill="1" applyBorder="1"/>
    <xf numFmtId="0" fontId="0" fillId="25" borderId="19" xfId="0" applyFill="1" applyBorder="1"/>
    <xf numFmtId="0" fontId="17" fillId="0" borderId="0" xfId="46" applyFont="1"/>
    <xf numFmtId="2" fontId="17" fillId="0" borderId="0" xfId="46" applyNumberFormat="1" applyFont="1"/>
    <xf numFmtId="0" fontId="22" fillId="24" borderId="10" xfId="0" applyFont="1" applyFill="1" applyBorder="1"/>
    <xf numFmtId="0" fontId="17" fillId="24" borderId="20" xfId="0" applyFont="1" applyFill="1" applyBorder="1"/>
    <xf numFmtId="0" fontId="17" fillId="0" borderId="0" xfId="0" applyFont="1"/>
    <xf numFmtId="167" fontId="17" fillId="0" borderId="0" xfId="0" applyNumberFormat="1" applyFont="1" applyAlignment="1">
      <alignment horizontal="left"/>
    </xf>
    <xf numFmtId="0" fontId="17" fillId="0" borderId="0" xfId="0" applyFont="1" applyFill="1" applyBorder="1"/>
    <xf numFmtId="0" fontId="22" fillId="0" borderId="0" xfId="0" applyFont="1" applyFill="1" applyBorder="1"/>
    <xf numFmtId="0" fontId="22" fillId="24" borderId="12" xfId="0" applyFont="1" applyFill="1" applyBorder="1"/>
    <xf numFmtId="0" fontId="22" fillId="24" borderId="13" xfId="0" applyFont="1" applyFill="1" applyBorder="1" applyAlignment="1">
      <alignment horizontal="center"/>
    </xf>
    <xf numFmtId="0" fontId="22" fillId="24" borderId="17" xfId="0" applyFont="1" applyFill="1" applyBorder="1"/>
    <xf numFmtId="0" fontId="22" fillId="24" borderId="18" xfId="0" applyFont="1" applyFill="1" applyBorder="1"/>
    <xf numFmtId="0" fontId="22" fillId="24" borderId="18" xfId="0" applyFont="1" applyFill="1" applyBorder="1" applyAlignment="1">
      <alignment horizontal="center"/>
    </xf>
    <xf numFmtId="0" fontId="22" fillId="24" borderId="19" xfId="0" applyFont="1" applyFill="1" applyBorder="1" applyAlignment="1">
      <alignment horizontal="center"/>
    </xf>
    <xf numFmtId="0" fontId="17" fillId="24" borderId="13" xfId="0" applyFont="1" applyFill="1" applyBorder="1"/>
    <xf numFmtId="0" fontId="0" fillId="24" borderId="13" xfId="0" applyFill="1" applyBorder="1"/>
    <xf numFmtId="0" fontId="22" fillId="24" borderId="17" xfId="0" applyFont="1" applyFill="1" applyBorder="1" applyAlignment="1">
      <alignment horizontal="left"/>
    </xf>
    <xf numFmtId="0" fontId="0" fillId="24" borderId="18" xfId="0" applyFill="1" applyBorder="1"/>
    <xf numFmtId="167" fontId="17" fillId="0" borderId="0" xfId="0" applyNumberFormat="1" applyFont="1" applyFill="1" applyBorder="1"/>
    <xf numFmtId="14" fontId="0" fillId="0" borderId="0" xfId="0" applyNumberFormat="1"/>
    <xf numFmtId="167" fontId="17" fillId="0" borderId="0" xfId="0" applyNumberFormat="1" applyFont="1"/>
    <xf numFmtId="0" fontId="17" fillId="25" borderId="17" xfId="46" applyFont="1" applyFill="1" applyBorder="1"/>
    <xf numFmtId="0" fontId="17" fillId="25" borderId="18" xfId="0" applyFont="1" applyFill="1" applyBorder="1"/>
    <xf numFmtId="0" fontId="22" fillId="24" borderId="11" xfId="46" applyFont="1" applyFill="1" applyBorder="1" applyAlignment="1">
      <alignment horizontal="center" wrapText="1"/>
    </xf>
    <xf numFmtId="0" fontId="22" fillId="24" borderId="11" xfId="0" applyFont="1" applyFill="1" applyBorder="1" applyAlignment="1">
      <alignment horizontal="center" wrapText="1"/>
    </xf>
    <xf numFmtId="0" fontId="22" fillId="0" borderId="0" xfId="0" applyFont="1"/>
    <xf numFmtId="0" fontId="22" fillId="0" borderId="0" xfId="0" applyFont="1" applyAlignment="1">
      <alignment horizontal="center"/>
    </xf>
    <xf numFmtId="0" fontId="0" fillId="0" borderId="0" xfId="0" applyAlignment="1">
      <alignment horizontal="center"/>
    </xf>
    <xf numFmtId="0" fontId="17" fillId="0" borderId="0" xfId="0" applyFont="1" applyAlignment="1">
      <alignment horizontal="center"/>
    </xf>
    <xf numFmtId="0" fontId="0" fillId="0" borderId="0" xfId="0" applyAlignment="1">
      <alignment horizontal="left"/>
    </xf>
    <xf numFmtId="14" fontId="17" fillId="0" borderId="0" xfId="0" applyNumberFormat="1" applyFont="1"/>
    <xf numFmtId="0" fontId="0" fillId="0" borderId="0" xfId="0" quotePrefix="1"/>
    <xf numFmtId="0" fontId="17" fillId="0" borderId="0" xfId="0" quotePrefix="1" applyFont="1"/>
    <xf numFmtId="14" fontId="17" fillId="0" borderId="0" xfId="0" quotePrefix="1" applyNumberFormat="1" applyFont="1"/>
    <xf numFmtId="0" fontId="22" fillId="24" borderId="12" xfId="46" applyFont="1" applyFill="1" applyBorder="1"/>
    <xf numFmtId="0" fontId="17" fillId="24" borderId="13" xfId="46" applyFont="1" applyFill="1" applyBorder="1"/>
    <xf numFmtId="0" fontId="0" fillId="0" borderId="0" xfId="0" applyFill="1" applyBorder="1"/>
    <xf numFmtId="0" fontId="22" fillId="25" borderId="0" xfId="0" applyFont="1" applyFill="1" applyBorder="1" applyAlignment="1">
      <alignment horizontal="left" indent="1"/>
    </xf>
    <xf numFmtId="0" fontId="17" fillId="25" borderId="0" xfId="0" applyFont="1" applyFill="1" applyBorder="1" applyAlignment="1">
      <alignment horizontal="left" indent="1"/>
    </xf>
    <xf numFmtId="0" fontId="22" fillId="0" borderId="0" xfId="0" applyFont="1" applyAlignment="1">
      <alignment horizontal="left"/>
    </xf>
    <xf numFmtId="0" fontId="22" fillId="24" borderId="11" xfId="46" applyFont="1" applyFill="1" applyBorder="1" applyAlignment="1">
      <alignment horizontal="center"/>
    </xf>
    <xf numFmtId="0" fontId="17" fillId="0" borderId="0" xfId="0" applyFont="1" applyAlignment="1">
      <alignment horizontal="left"/>
    </xf>
    <xf numFmtId="0" fontId="0" fillId="0" borderId="0" xfId="0" applyFill="1"/>
    <xf numFmtId="0" fontId="22" fillId="24" borderId="12" xfId="0" applyFont="1" applyFill="1" applyBorder="1" applyAlignment="1">
      <alignment horizontal="left"/>
    </xf>
    <xf numFmtId="0" fontId="22" fillId="24" borderId="13" xfId="0" applyFont="1" applyFill="1" applyBorder="1" applyAlignment="1">
      <alignment horizontal="left"/>
    </xf>
    <xf numFmtId="0" fontId="22" fillId="26" borderId="13" xfId="0" applyFont="1" applyFill="1" applyBorder="1" applyAlignment="1">
      <alignment horizontal="center"/>
    </xf>
    <xf numFmtId="0" fontId="22" fillId="26" borderId="14" xfId="0" applyFont="1" applyFill="1" applyBorder="1" applyAlignment="1">
      <alignment horizontal="center"/>
    </xf>
    <xf numFmtId="0" fontId="22" fillId="26" borderId="17" xfId="0" applyFont="1" applyFill="1" applyBorder="1" applyAlignment="1">
      <alignment horizontal="center"/>
    </xf>
    <xf numFmtId="0" fontId="22" fillId="26" borderId="18" xfId="0" applyFont="1" applyFill="1" applyBorder="1" applyAlignment="1">
      <alignment horizontal="center"/>
    </xf>
    <xf numFmtId="0" fontId="22" fillId="26" borderId="19" xfId="0" applyFont="1" applyFill="1" applyBorder="1" applyAlignment="1">
      <alignment horizontal="center"/>
    </xf>
    <xf numFmtId="0" fontId="22" fillId="24" borderId="17" xfId="46" applyFont="1" applyFill="1" applyBorder="1" applyAlignment="1">
      <alignment horizontal="left"/>
    </xf>
    <xf numFmtId="0" fontId="22" fillId="24" borderId="18" xfId="46" applyFont="1" applyFill="1" applyBorder="1" applyAlignment="1">
      <alignment horizontal="center" wrapText="1"/>
    </xf>
    <xf numFmtId="0" fontId="22" fillId="24" borderId="10" xfId="46" applyFont="1" applyFill="1" applyBorder="1" applyAlignment="1">
      <alignment horizontal="center" wrapText="1"/>
    </xf>
    <xf numFmtId="0" fontId="22" fillId="26" borderId="10" xfId="46" applyFont="1" applyFill="1" applyBorder="1" applyAlignment="1">
      <alignment horizontal="center" wrapText="1"/>
    </xf>
    <xf numFmtId="0" fontId="22" fillId="26" borderId="11" xfId="0" applyFont="1" applyFill="1" applyBorder="1" applyAlignment="1">
      <alignment horizontal="center" wrapText="1"/>
    </xf>
    <xf numFmtId="0" fontId="22" fillId="26" borderId="11" xfId="46" applyFont="1" applyFill="1" applyBorder="1" applyAlignment="1">
      <alignment horizontal="center" wrapText="1"/>
    </xf>
    <xf numFmtId="0" fontId="22" fillId="26" borderId="20" xfId="46" applyFont="1" applyFill="1" applyBorder="1" applyAlignment="1">
      <alignment horizontal="center" wrapText="1"/>
    </xf>
    <xf numFmtId="0" fontId="22" fillId="27" borderId="21" xfId="46" applyFont="1" applyFill="1" applyBorder="1" applyAlignment="1">
      <alignment horizontal="left"/>
    </xf>
    <xf numFmtId="0" fontId="17" fillId="0" borderId="0" xfId="0" applyNumberFormat="1" applyFont="1"/>
    <xf numFmtId="0" fontId="22" fillId="24" borderId="18" xfId="46" applyFont="1" applyFill="1" applyBorder="1" applyAlignment="1">
      <alignment horizontal="center"/>
    </xf>
    <xf numFmtId="0" fontId="0" fillId="0" borderId="0" xfId="0" applyFill="1" applyBorder="1" applyAlignment="1">
      <alignment horizontal="left"/>
    </xf>
    <xf numFmtId="0" fontId="17" fillId="0" borderId="0" xfId="0" applyFont="1" applyFill="1" applyBorder="1" applyAlignment="1">
      <alignment horizontal="center"/>
    </xf>
    <xf numFmtId="14" fontId="17" fillId="0" borderId="0" xfId="0" applyNumberFormat="1" applyFont="1" applyFill="1" applyBorder="1"/>
    <xf numFmtId="0" fontId="24" fillId="25" borderId="0" xfId="0" applyFont="1" applyFill="1" applyBorder="1"/>
    <xf numFmtId="0" fontId="22" fillId="25" borderId="0" xfId="0" applyFont="1" applyFill="1" applyBorder="1"/>
    <xf numFmtId="0" fontId="25" fillId="25" borderId="0" xfId="0" applyFont="1" applyFill="1" applyBorder="1"/>
    <xf numFmtId="0" fontId="25" fillId="25" borderId="0" xfId="0" applyFont="1" applyFill="1" applyBorder="1" applyAlignment="1">
      <alignment horizontal="left" indent="1"/>
    </xf>
    <xf numFmtId="0" fontId="17" fillId="25" borderId="0" xfId="0" applyFont="1" applyFill="1" applyBorder="1" applyAlignment="1">
      <alignment horizontal="left" indent="2"/>
    </xf>
    <xf numFmtId="0" fontId="17" fillId="0" borderId="0" xfId="0" applyFont="1" applyBorder="1" applyAlignment="1">
      <alignment horizontal="right" vertical="top" wrapText="1"/>
    </xf>
    <xf numFmtId="0" fontId="17" fillId="0" borderId="0" xfId="0" applyFont="1" applyFill="1" applyBorder="1" applyAlignment="1">
      <alignment horizontal="right" vertical="top" wrapText="1"/>
    </xf>
    <xf numFmtId="0" fontId="17" fillId="0" borderId="0" xfId="0" applyFont="1" applyBorder="1" applyAlignment="1">
      <alignment horizontal="right"/>
    </xf>
    <xf numFmtId="0" fontId="17" fillId="0" borderId="15" xfId="0" applyFont="1" applyBorder="1" applyAlignment="1">
      <alignment horizontal="right" vertical="top" wrapText="1"/>
    </xf>
    <xf numFmtId="0" fontId="0" fillId="0" borderId="0" xfId="0" applyBorder="1"/>
    <xf numFmtId="0" fontId="17" fillId="0" borderId="0" xfId="0" applyFont="1" applyFill="1" applyAlignment="1">
      <alignment horizontal="center"/>
    </xf>
    <xf numFmtId="2" fontId="17" fillId="25" borderId="13" xfId="46" applyNumberFormat="1" applyFont="1" applyFill="1" applyBorder="1" applyAlignment="1">
      <alignment horizontal="left"/>
    </xf>
    <xf numFmtId="2" fontId="17" fillId="25" borderId="0" xfId="46" applyNumberFormat="1" applyFont="1" applyFill="1" applyBorder="1" applyAlignment="1">
      <alignment horizontal="left"/>
    </xf>
    <xf numFmtId="0" fontId="25" fillId="25" borderId="0" xfId="0" applyFont="1" applyFill="1" applyBorder="1" applyAlignment="1">
      <alignment horizontal="left" indent="2"/>
    </xf>
    <xf numFmtId="0" fontId="22" fillId="25" borderId="18" xfId="0" applyFont="1" applyFill="1" applyBorder="1"/>
    <xf numFmtId="0" fontId="22" fillId="0" borderId="22" xfId="0" applyFont="1" applyBorder="1"/>
    <xf numFmtId="0" fontId="0" fillId="0" borderId="22" xfId="0" applyBorder="1"/>
    <xf numFmtId="0" fontId="17" fillId="0" borderId="22" xfId="0" applyFont="1" applyBorder="1" applyAlignment="1">
      <alignment horizontal="center"/>
    </xf>
    <xf numFmtId="0" fontId="13" fillId="0" borderId="0" xfId="39" applyAlignment="1" applyProtection="1"/>
    <xf numFmtId="0" fontId="22" fillId="0" borderId="0" xfId="46" applyFont="1"/>
    <xf numFmtId="2" fontId="17" fillId="0" borderId="0" xfId="46" applyNumberFormat="1" applyFont="1" applyFill="1" applyBorder="1"/>
    <xf numFmtId="0" fontId="22" fillId="24" borderId="23" xfId="0" applyFont="1" applyFill="1" applyBorder="1"/>
    <xf numFmtId="0" fontId="0" fillId="24" borderId="24" xfId="0" applyFill="1" applyBorder="1"/>
    <xf numFmtId="0" fontId="0" fillId="24" borderId="25" xfId="0" applyFill="1" applyBorder="1"/>
    <xf numFmtId="0" fontId="22" fillId="24" borderId="26" xfId="46" applyFont="1" applyFill="1" applyBorder="1"/>
    <xf numFmtId="0" fontId="22" fillId="24" borderId="27" xfId="0" applyFont="1" applyFill="1" applyBorder="1" applyAlignment="1">
      <alignment horizontal="center"/>
    </xf>
    <xf numFmtId="0" fontId="22" fillId="24" borderId="27" xfId="0" applyFont="1" applyFill="1" applyBorder="1"/>
    <xf numFmtId="0" fontId="0" fillId="24" borderId="27" xfId="0" applyFill="1" applyBorder="1"/>
    <xf numFmtId="0" fontId="0" fillId="24" borderId="28" xfId="0" applyFill="1" applyBorder="1"/>
    <xf numFmtId="0" fontId="2" fillId="27" borderId="29" xfId="0" applyFont="1" applyFill="1" applyBorder="1"/>
    <xf numFmtId="0" fontId="2" fillId="27" borderId="0" xfId="0" applyFont="1" applyFill="1" applyBorder="1"/>
    <xf numFmtId="0" fontId="2" fillId="27" borderId="0" xfId="0" applyFont="1" applyFill="1" applyBorder="1" applyAlignment="1">
      <alignment horizontal="center"/>
    </xf>
    <xf numFmtId="0" fontId="2" fillId="27" borderId="0" xfId="0" applyFont="1" applyFill="1" applyBorder="1" applyAlignment="1">
      <alignment horizontal="left"/>
    </xf>
    <xf numFmtId="0" fontId="0" fillId="27" borderId="0" xfId="0" applyFill="1" applyBorder="1"/>
    <xf numFmtId="0" fontId="0" fillId="27" borderId="30" xfId="0" applyFill="1" applyBorder="1"/>
    <xf numFmtId="0" fontId="2" fillId="27" borderId="26" xfId="0" applyFont="1" applyFill="1" applyBorder="1"/>
    <xf numFmtId="0" fontId="2" fillId="27" borderId="27" xfId="0" applyFont="1" applyFill="1" applyBorder="1"/>
    <xf numFmtId="0" fontId="2" fillId="27" borderId="27" xfId="0" applyFont="1" applyFill="1" applyBorder="1" applyAlignment="1">
      <alignment horizontal="center"/>
    </xf>
    <xf numFmtId="0" fontId="2" fillId="27" borderId="27" xfId="0" applyFont="1" applyFill="1" applyBorder="1" applyAlignment="1">
      <alignment horizontal="left"/>
    </xf>
    <xf numFmtId="0" fontId="0" fillId="27" borderId="27" xfId="0" applyFill="1" applyBorder="1"/>
    <xf numFmtId="0" fontId="0" fillId="27" borderId="28" xfId="0" applyFill="1" applyBorder="1"/>
    <xf numFmtId="0" fontId="27" fillId="24" borderId="27" xfId="0" applyFont="1" applyFill="1" applyBorder="1"/>
    <xf numFmtId="14" fontId="2" fillId="28" borderId="31" xfId="0" applyNumberFormat="1" applyFont="1" applyFill="1" applyBorder="1"/>
    <xf numFmtId="0" fontId="2" fillId="28" borderId="32" xfId="0" applyFont="1" applyFill="1" applyBorder="1"/>
    <xf numFmtId="0" fontId="23" fillId="24" borderId="24" xfId="0" applyFont="1" applyFill="1" applyBorder="1"/>
    <xf numFmtId="0" fontId="22" fillId="24" borderId="27" xfId="0" applyFont="1" applyFill="1" applyBorder="1" applyAlignment="1">
      <alignment horizontal="center" wrapText="1"/>
    </xf>
    <xf numFmtId="0" fontId="22" fillId="24" borderId="27" xfId="46" applyFont="1" applyFill="1" applyBorder="1" applyAlignment="1">
      <alignment horizontal="center" wrapText="1"/>
    </xf>
    <xf numFmtId="0" fontId="22" fillId="24" borderId="28" xfId="0" applyFont="1" applyFill="1" applyBorder="1"/>
    <xf numFmtId="0" fontId="0" fillId="25" borderId="29" xfId="0" applyFill="1" applyBorder="1"/>
    <xf numFmtId="1" fontId="0" fillId="28" borderId="33" xfId="0" applyNumberFormat="1" applyFill="1" applyBorder="1"/>
    <xf numFmtId="1" fontId="0" fillId="25" borderId="0" xfId="0" applyNumberFormat="1" applyFill="1" applyBorder="1"/>
    <xf numFmtId="0" fontId="0" fillId="28" borderId="23" xfId="0" applyNumberFormat="1" applyFill="1" applyBorder="1" applyAlignment="1">
      <alignment horizontal="right"/>
    </xf>
    <xf numFmtId="0" fontId="0" fillId="28" borderId="25" xfId="0" applyNumberFormat="1" applyFill="1" applyBorder="1" applyAlignment="1">
      <alignment horizontal="right"/>
    </xf>
    <xf numFmtId="14" fontId="0" fillId="25" borderId="0" xfId="0" applyNumberFormat="1" applyFill="1" applyBorder="1" applyAlignment="1">
      <alignment horizontal="right"/>
    </xf>
    <xf numFmtId="0" fontId="0" fillId="25" borderId="0" xfId="0" applyFill="1" applyBorder="1" applyAlignment="1">
      <alignment horizontal="center"/>
    </xf>
    <xf numFmtId="1" fontId="0" fillId="28" borderId="31" xfId="0" applyNumberFormat="1" applyFill="1" applyBorder="1"/>
    <xf numFmtId="0" fontId="0" fillId="28" borderId="29" xfId="0" applyFill="1" applyBorder="1" applyAlignment="1">
      <alignment horizontal="right"/>
    </xf>
    <xf numFmtId="0" fontId="0" fillId="28" borderId="30" xfId="0" applyFill="1" applyBorder="1" applyAlignment="1">
      <alignment horizontal="right"/>
    </xf>
    <xf numFmtId="0" fontId="0" fillId="25" borderId="0" xfId="0" applyFill="1" applyBorder="1" applyAlignment="1">
      <alignment horizontal="left"/>
    </xf>
    <xf numFmtId="0" fontId="0" fillId="25" borderId="0" xfId="0" applyFill="1" applyBorder="1" applyAlignment="1">
      <alignment horizontal="right"/>
    </xf>
    <xf numFmtId="0" fontId="2" fillId="25" borderId="29" xfId="49" applyFont="1" applyFill="1" applyBorder="1"/>
    <xf numFmtId="0" fontId="2" fillId="28" borderId="31" xfId="49" applyFill="1" applyBorder="1"/>
    <xf numFmtId="0" fontId="2" fillId="25" borderId="0" xfId="49" applyFill="1" applyBorder="1"/>
    <xf numFmtId="0" fontId="2" fillId="25" borderId="0" xfId="49" applyFont="1" applyFill="1" applyBorder="1"/>
    <xf numFmtId="2" fontId="2" fillId="28" borderId="29" xfId="49" applyNumberFormat="1" applyFill="1" applyBorder="1" applyAlignment="1">
      <alignment horizontal="right"/>
    </xf>
    <xf numFmtId="2" fontId="2" fillId="28" borderId="30" xfId="49" applyNumberFormat="1" applyFill="1" applyBorder="1" applyAlignment="1">
      <alignment horizontal="right"/>
    </xf>
    <xf numFmtId="2" fontId="2" fillId="25" borderId="0" xfId="49" applyNumberFormat="1" applyFill="1" applyBorder="1" applyAlignment="1">
      <alignment horizontal="right"/>
    </xf>
    <xf numFmtId="0" fontId="2" fillId="25" borderId="0" xfId="49" applyFill="1" applyBorder="1" applyAlignment="1">
      <alignment horizontal="center"/>
    </xf>
    <xf numFmtId="0" fontId="2" fillId="0" borderId="0" xfId="49"/>
    <xf numFmtId="0" fontId="0" fillId="28" borderId="31" xfId="0" applyNumberFormat="1" applyFill="1" applyBorder="1"/>
    <xf numFmtId="0" fontId="0" fillId="25" borderId="0" xfId="0" applyNumberFormat="1" applyFill="1" applyBorder="1"/>
    <xf numFmtId="14" fontId="2" fillId="28" borderId="29" xfId="49" applyNumberFormat="1" applyFont="1" applyFill="1" applyBorder="1" applyAlignment="1">
      <alignment horizontal="right"/>
    </xf>
    <xf numFmtId="14" fontId="2" fillId="28" borderId="30" xfId="49" applyNumberFormat="1" applyFill="1" applyBorder="1" applyAlignment="1">
      <alignment horizontal="right"/>
    </xf>
    <xf numFmtId="14" fontId="2" fillId="25" borderId="0" xfId="49" applyNumberFormat="1" applyFill="1" applyBorder="1" applyAlignment="1">
      <alignment horizontal="right"/>
    </xf>
    <xf numFmtId="14" fontId="2" fillId="28" borderId="30" xfId="49" applyNumberFormat="1" applyFont="1" applyFill="1" applyBorder="1" applyAlignment="1">
      <alignment horizontal="right"/>
    </xf>
    <xf numFmtId="14" fontId="2" fillId="25" borderId="0" xfId="49" applyNumberFormat="1" applyFont="1" applyFill="1" applyBorder="1" applyAlignment="1">
      <alignment horizontal="right"/>
    </xf>
    <xf numFmtId="14" fontId="2" fillId="28" borderId="29" xfId="49" applyNumberFormat="1" applyFill="1" applyBorder="1" applyAlignment="1">
      <alignment horizontal="right"/>
    </xf>
    <xf numFmtId="0" fontId="2" fillId="25" borderId="0" xfId="49" applyFont="1" applyFill="1" applyBorder="1" applyAlignment="1">
      <alignment horizontal="center"/>
    </xf>
    <xf numFmtId="2" fontId="2" fillId="28" borderId="31" xfId="52" applyNumberFormat="1" applyFont="1" applyFill="1" applyBorder="1"/>
    <xf numFmtId="2" fontId="2" fillId="25" borderId="0" xfId="52" applyNumberFormat="1" applyFont="1" applyFill="1" applyBorder="1"/>
    <xf numFmtId="2" fontId="2" fillId="28" borderId="29" xfId="49" quotePrefix="1" applyNumberFormat="1" applyFont="1" applyFill="1" applyBorder="1" applyAlignment="1">
      <alignment horizontal="right"/>
    </xf>
    <xf numFmtId="2" fontId="2" fillId="28" borderId="30" xfId="49" quotePrefix="1" applyNumberFormat="1" applyFont="1" applyFill="1" applyBorder="1" applyAlignment="1">
      <alignment horizontal="right"/>
    </xf>
    <xf numFmtId="2" fontId="2" fillId="25" borderId="0" xfId="49" quotePrefix="1" applyNumberFormat="1" applyFont="1" applyFill="1" applyBorder="1" applyAlignment="1">
      <alignment horizontal="left"/>
    </xf>
    <xf numFmtId="2" fontId="2" fillId="28" borderId="31" xfId="52" applyNumberFormat="1" applyFill="1" applyBorder="1"/>
    <xf numFmtId="2" fontId="2" fillId="25" borderId="0" xfId="52" applyNumberFormat="1" applyFill="1" applyBorder="1"/>
    <xf numFmtId="2" fontId="0" fillId="28" borderId="31" xfId="0" applyNumberFormat="1" applyFill="1" applyBorder="1"/>
    <xf numFmtId="2" fontId="0" fillId="25" borderId="0" xfId="0" applyNumberFormat="1" applyFill="1" applyBorder="1"/>
    <xf numFmtId="0" fontId="2" fillId="25" borderId="29" xfId="49" applyFill="1" applyBorder="1"/>
    <xf numFmtId="2" fontId="2" fillId="25" borderId="0" xfId="49" applyNumberFormat="1" applyFill="1" applyBorder="1" applyAlignment="1">
      <alignment horizontal="left"/>
    </xf>
    <xf numFmtId="0" fontId="0" fillId="28" borderId="31" xfId="0" applyFill="1" applyBorder="1"/>
    <xf numFmtId="14" fontId="2" fillId="25" borderId="0" xfId="49" applyNumberFormat="1" applyFill="1" applyBorder="1" applyAlignment="1">
      <alignment horizontal="left"/>
    </xf>
    <xf numFmtId="0" fontId="2" fillId="28" borderId="29" xfId="49" applyFill="1" applyBorder="1" applyAlignment="1">
      <alignment horizontal="right"/>
    </xf>
    <xf numFmtId="0" fontId="2" fillId="28" borderId="30" xfId="49" applyFill="1" applyBorder="1" applyAlignment="1">
      <alignment horizontal="right"/>
    </xf>
    <xf numFmtId="0" fontId="2" fillId="25" borderId="0" xfId="49" applyFill="1" applyBorder="1" applyAlignment="1">
      <alignment horizontal="left"/>
    </xf>
    <xf numFmtId="0" fontId="2" fillId="25" borderId="0" xfId="49" applyFont="1" applyFill="1" applyBorder="1" applyAlignment="1">
      <alignment horizontal="left"/>
    </xf>
    <xf numFmtId="14" fontId="2" fillId="25" borderId="0" xfId="49" applyNumberFormat="1" applyFill="1" applyBorder="1"/>
    <xf numFmtId="4" fontId="2" fillId="28" borderId="31" xfId="52" applyNumberFormat="1" applyFill="1" applyBorder="1"/>
    <xf numFmtId="4" fontId="2" fillId="25" borderId="0" xfId="52" applyNumberFormat="1" applyFill="1" applyBorder="1"/>
    <xf numFmtId="0" fontId="2" fillId="25" borderId="0" xfId="52" applyNumberFormat="1" applyFill="1" applyBorder="1"/>
    <xf numFmtId="0" fontId="2" fillId="28" borderId="29" xfId="49" quotePrefix="1" applyNumberFormat="1" applyFont="1" applyFill="1" applyBorder="1" applyAlignment="1">
      <alignment horizontal="right"/>
    </xf>
    <xf numFmtId="0" fontId="2" fillId="28" borderId="30" xfId="49" quotePrefix="1" applyNumberFormat="1" applyFont="1" applyFill="1" applyBorder="1" applyAlignment="1">
      <alignment horizontal="right"/>
    </xf>
    <xf numFmtId="0" fontId="2" fillId="25" borderId="26" xfId="49" applyFont="1" applyFill="1" applyBorder="1"/>
    <xf numFmtId="4" fontId="2" fillId="28" borderId="32" xfId="52" applyNumberFormat="1" applyFill="1" applyBorder="1"/>
    <xf numFmtId="4" fontId="2" fillId="25" borderId="27" xfId="52" applyNumberFormat="1" applyFill="1" applyBorder="1"/>
    <xf numFmtId="0" fontId="2" fillId="25" borderId="27" xfId="49" applyFill="1" applyBorder="1"/>
    <xf numFmtId="0" fontId="2" fillId="25" borderId="27" xfId="49" applyFont="1" applyFill="1" applyBorder="1"/>
    <xf numFmtId="2" fontId="2" fillId="28" borderId="26" xfId="49" quotePrefix="1" applyNumberFormat="1" applyFont="1" applyFill="1" applyBorder="1" applyAlignment="1">
      <alignment horizontal="right"/>
    </xf>
    <xf numFmtId="2" fontId="2" fillId="28" borderId="28" xfId="49" quotePrefix="1" applyNumberFormat="1" applyFont="1" applyFill="1" applyBorder="1" applyAlignment="1">
      <alignment horizontal="right"/>
    </xf>
    <xf numFmtId="2" fontId="2" fillId="25" borderId="27" xfId="49" quotePrefix="1" applyNumberFormat="1" applyFont="1" applyFill="1" applyBorder="1" applyAlignment="1">
      <alignment horizontal="left"/>
    </xf>
    <xf numFmtId="0" fontId="2" fillId="25" borderId="27" xfId="49" applyFill="1" applyBorder="1" applyAlignment="1">
      <alignment horizontal="center"/>
    </xf>
    <xf numFmtId="0" fontId="22" fillId="24" borderId="11" xfId="46" applyFont="1" applyFill="1" applyBorder="1"/>
    <xf numFmtId="0" fontId="23" fillId="24" borderId="11" xfId="0" applyFont="1" applyFill="1" applyBorder="1"/>
    <xf numFmtId="0" fontId="0" fillId="24" borderId="0" xfId="0" applyFill="1" applyBorder="1"/>
    <xf numFmtId="0" fontId="22" fillId="24" borderId="17" xfId="49" applyFont="1" applyFill="1" applyBorder="1"/>
    <xf numFmtId="0" fontId="22" fillId="29" borderId="15" xfId="0" applyFont="1" applyFill="1" applyBorder="1"/>
    <xf numFmtId="0" fontId="0" fillId="28" borderId="34" xfId="0" applyFill="1" applyBorder="1"/>
    <xf numFmtId="0" fontId="0" fillId="29" borderId="12" xfId="0" applyFill="1" applyBorder="1"/>
    <xf numFmtId="0" fontId="0" fillId="29" borderId="15" xfId="0" applyFill="1" applyBorder="1"/>
    <xf numFmtId="0" fontId="0" fillId="29" borderId="16" xfId="0" applyFill="1" applyBorder="1"/>
    <xf numFmtId="0" fontId="2" fillId="29" borderId="15" xfId="49" applyFont="1" applyFill="1" applyBorder="1"/>
    <xf numFmtId="0" fontId="22" fillId="29" borderId="15" xfId="49" applyFont="1" applyFill="1" applyBorder="1"/>
    <xf numFmtId="0" fontId="0" fillId="29" borderId="17" xfId="0" applyFill="1" applyBorder="1"/>
    <xf numFmtId="0" fontId="0" fillId="28" borderId="35" xfId="0" applyFill="1" applyBorder="1"/>
    <xf numFmtId="0" fontId="0" fillId="29" borderId="19" xfId="0" applyFill="1" applyBorder="1"/>
    <xf numFmtId="0" fontId="0" fillId="28" borderId="36" xfId="0" applyFill="1" applyBorder="1"/>
    <xf numFmtId="0" fontId="22" fillId="29" borderId="12" xfId="0" applyFont="1" applyFill="1" applyBorder="1"/>
    <xf numFmtId="0" fontId="0" fillId="29" borderId="13" xfId="0" applyFill="1" applyBorder="1"/>
    <xf numFmtId="0" fontId="0" fillId="29" borderId="0" xfId="0" applyFill="1" applyBorder="1"/>
    <xf numFmtId="0" fontId="0" fillId="29" borderId="18" xfId="0" applyFill="1" applyBorder="1"/>
    <xf numFmtId="0" fontId="0" fillId="24" borderId="14" xfId="0" applyFill="1" applyBorder="1"/>
    <xf numFmtId="0" fontId="0" fillId="26" borderId="13" xfId="0" applyFill="1" applyBorder="1"/>
    <xf numFmtId="0" fontId="0" fillId="26" borderId="14" xfId="0" applyFill="1" applyBorder="1"/>
    <xf numFmtId="0" fontId="0" fillId="29" borderId="14" xfId="0" applyFill="1" applyBorder="1" applyAlignment="1">
      <alignment horizontal="left"/>
    </xf>
    <xf numFmtId="0" fontId="0" fillId="28" borderId="12" xfId="0" applyFill="1" applyBorder="1"/>
    <xf numFmtId="0" fontId="0" fillId="28" borderId="14" xfId="0" applyFill="1" applyBorder="1"/>
    <xf numFmtId="0" fontId="0" fillId="29" borderId="16" xfId="0" applyFill="1" applyBorder="1" applyAlignment="1">
      <alignment horizontal="left"/>
    </xf>
    <xf numFmtId="14" fontId="0" fillId="28" borderId="15" xfId="0" applyNumberFormat="1" applyFill="1" applyBorder="1"/>
    <xf numFmtId="14" fontId="0" fillId="28" borderId="16" xfId="0" applyNumberFormat="1" applyFill="1" applyBorder="1"/>
    <xf numFmtId="0" fontId="0" fillId="28" borderId="16" xfId="0" applyFill="1" applyBorder="1"/>
    <xf numFmtId="0" fontId="0" fillId="28" borderId="15" xfId="0" applyFill="1" applyBorder="1"/>
    <xf numFmtId="0" fontId="0" fillId="29" borderId="19" xfId="0" applyFill="1" applyBorder="1" applyAlignment="1">
      <alignment horizontal="left"/>
    </xf>
    <xf numFmtId="0" fontId="0" fillId="28" borderId="17" xfId="0" applyFill="1" applyBorder="1"/>
    <xf numFmtId="0" fontId="0" fillId="28" borderId="19" xfId="0" applyFill="1" applyBorder="1"/>
    <xf numFmtId="0" fontId="0" fillId="29" borderId="14" xfId="0" applyFill="1" applyBorder="1"/>
    <xf numFmtId="0" fontId="0" fillId="29" borderId="16" xfId="0" applyFill="1" applyBorder="1" applyAlignment="1">
      <alignment horizontal="center"/>
    </xf>
    <xf numFmtId="0" fontId="22" fillId="25" borderId="17" xfId="0" applyFont="1" applyFill="1" applyBorder="1"/>
    <xf numFmtId="0" fontId="0" fillId="0" borderId="0" xfId="0" applyNumberFormat="1"/>
    <xf numFmtId="167" fontId="17" fillId="0" borderId="0" xfId="0" applyNumberFormat="1" applyFont="1" applyFill="1" applyAlignment="1">
      <alignment horizontal="left"/>
    </xf>
    <xf numFmtId="0" fontId="17" fillId="0" borderId="27" xfId="0" applyFont="1" applyBorder="1"/>
    <xf numFmtId="0" fontId="22" fillId="24" borderId="13" xfId="46" applyFont="1" applyFill="1" applyBorder="1" applyAlignment="1">
      <alignment horizontal="center"/>
    </xf>
    <xf numFmtId="0" fontId="22" fillId="0" borderId="37" xfId="0" applyFont="1" applyBorder="1"/>
    <xf numFmtId="0" fontId="0" fillId="0" borderId="38" xfId="0" applyBorder="1"/>
    <xf numFmtId="0" fontId="0" fillId="25" borderId="23" xfId="0" applyFill="1" applyBorder="1"/>
    <xf numFmtId="0" fontId="22" fillId="0" borderId="38" xfId="0" applyFont="1" applyBorder="1" applyAlignment="1">
      <alignment horizontal="center"/>
    </xf>
    <xf numFmtId="0" fontId="22" fillId="0" borderId="39" xfId="0" applyFont="1" applyBorder="1"/>
    <xf numFmtId="14" fontId="0" fillId="25" borderId="0" xfId="0" applyNumberFormat="1" applyFill="1" applyBorder="1"/>
    <xf numFmtId="14" fontId="2" fillId="0" borderId="0" xfId="49" applyNumberFormat="1"/>
    <xf numFmtId="0" fontId="2" fillId="24" borderId="24" xfId="0" applyFont="1" applyFill="1" applyBorder="1"/>
    <xf numFmtId="0" fontId="2" fillId="24" borderId="25" xfId="0" applyFont="1" applyFill="1" applyBorder="1"/>
    <xf numFmtId="0" fontId="2" fillId="24" borderId="29" xfId="0" applyFont="1" applyFill="1" applyBorder="1"/>
    <xf numFmtId="0" fontId="2" fillId="24" borderId="0" xfId="0" applyFont="1" applyFill="1" applyBorder="1"/>
    <xf numFmtId="0" fontId="2" fillId="24" borderId="30" xfId="0" applyFont="1" applyFill="1" applyBorder="1"/>
    <xf numFmtId="0" fontId="2" fillId="24" borderId="26" xfId="0" applyFont="1" applyFill="1" applyBorder="1"/>
    <xf numFmtId="0" fontId="2" fillId="24" borderId="27" xfId="0" applyFont="1" applyFill="1" applyBorder="1"/>
    <xf numFmtId="0" fontId="2" fillId="24" borderId="28" xfId="0" applyFont="1" applyFill="1" applyBorder="1"/>
    <xf numFmtId="0" fontId="2" fillId="0" borderId="0" xfId="49" applyFont="1" applyAlignment="1">
      <alignment horizontal="left" indent="1"/>
    </xf>
    <xf numFmtId="0" fontId="0" fillId="30" borderId="23" xfId="0" applyFill="1" applyBorder="1"/>
    <xf numFmtId="0" fontId="0" fillId="30" borderId="24" xfId="0" applyFill="1" applyBorder="1"/>
    <xf numFmtId="0" fontId="0" fillId="30" borderId="25" xfId="0" applyFill="1" applyBorder="1"/>
    <xf numFmtId="0" fontId="2" fillId="0" borderId="0" xfId="49" applyAlignment="1">
      <alignment horizontal="left" indent="1"/>
    </xf>
    <xf numFmtId="0" fontId="22" fillId="0" borderId="37" xfId="49" applyFont="1" applyBorder="1"/>
    <xf numFmtId="0" fontId="2" fillId="0" borderId="38" xfId="49" applyBorder="1"/>
    <xf numFmtId="14" fontId="2" fillId="0" borderId="38" xfId="49" applyNumberFormat="1" applyBorder="1"/>
    <xf numFmtId="0" fontId="2" fillId="30" borderId="29" xfId="49" applyFont="1" applyFill="1" applyBorder="1"/>
    <xf numFmtId="0" fontId="2" fillId="30" borderId="0" xfId="49" applyFill="1" applyBorder="1"/>
    <xf numFmtId="2" fontId="2" fillId="30" borderId="0" xfId="52" applyNumberFormat="1" applyFill="1" applyBorder="1"/>
    <xf numFmtId="14" fontId="2" fillId="30" borderId="30" xfId="52" applyNumberFormat="1" applyFont="1" applyFill="1" applyBorder="1" applyAlignment="1">
      <alignment horizontal="right"/>
    </xf>
    <xf numFmtId="0" fontId="2" fillId="0" borderId="0" xfId="49" applyAlignment="1">
      <alignment horizontal="center"/>
    </xf>
    <xf numFmtId="1" fontId="2" fillId="30" borderId="30" xfId="52" applyNumberFormat="1" applyFill="1" applyBorder="1" applyAlignment="1">
      <alignment horizontal="right"/>
    </xf>
    <xf numFmtId="10" fontId="2" fillId="30" borderId="30" xfId="52" applyNumberFormat="1" applyFill="1" applyBorder="1" applyAlignment="1">
      <alignment horizontal="right"/>
    </xf>
    <xf numFmtId="10" fontId="2" fillId="30" borderId="30" xfId="52" applyNumberFormat="1" applyFont="1" applyFill="1" applyBorder="1" applyAlignment="1">
      <alignment horizontal="right"/>
    </xf>
    <xf numFmtId="0" fontId="2" fillId="30" borderId="29" xfId="49" applyFill="1" applyBorder="1"/>
    <xf numFmtId="14" fontId="2" fillId="30" borderId="0" xfId="49" applyNumberFormat="1" applyFill="1" applyBorder="1"/>
    <xf numFmtId="14" fontId="2" fillId="30" borderId="30" xfId="49" applyNumberFormat="1" applyFill="1" applyBorder="1" applyAlignment="1">
      <alignment horizontal="right"/>
    </xf>
    <xf numFmtId="1" fontId="2" fillId="30" borderId="30" xfId="52" applyNumberFormat="1" applyFont="1" applyFill="1" applyBorder="1" applyAlignment="1">
      <alignment horizontal="right"/>
    </xf>
    <xf numFmtId="0" fontId="2" fillId="30" borderId="26" xfId="49" applyFont="1" applyFill="1" applyBorder="1"/>
    <xf numFmtId="0" fontId="2" fillId="30" borderId="27" xfId="49" applyFill="1" applyBorder="1"/>
    <xf numFmtId="14" fontId="2" fillId="30" borderId="27" xfId="49" applyNumberFormat="1" applyFill="1" applyBorder="1"/>
    <xf numFmtId="10" fontId="2" fillId="30" borderId="28" xfId="52" applyNumberFormat="1" applyFont="1" applyFill="1" applyBorder="1" applyAlignment="1">
      <alignment horizontal="right"/>
    </xf>
    <xf numFmtId="0" fontId="2" fillId="0" borderId="0" xfId="49" applyFont="1"/>
    <xf numFmtId="0" fontId="22" fillId="27" borderId="10" xfId="49" applyFont="1" applyFill="1" applyBorder="1" applyAlignment="1">
      <alignment horizontal="center"/>
    </xf>
    <xf numFmtId="0" fontId="22" fillId="27" borderId="11" xfId="49" applyFont="1" applyFill="1" applyBorder="1" applyAlignment="1">
      <alignment horizontal="center"/>
    </xf>
    <xf numFmtId="0" fontId="22" fillId="27" borderId="20" xfId="49" applyFont="1" applyFill="1" applyBorder="1" applyAlignment="1">
      <alignment horizontal="center"/>
    </xf>
    <xf numFmtId="0" fontId="33" fillId="0" borderId="0" xfId="0" applyFont="1" applyAlignment="1">
      <alignment horizontal="center"/>
    </xf>
    <xf numFmtId="3" fontId="0" fillId="0" borderId="0" xfId="0" applyNumberFormat="1"/>
    <xf numFmtId="171" fontId="0" fillId="0" borderId="0" xfId="0" applyNumberFormat="1"/>
    <xf numFmtId="0" fontId="22" fillId="31" borderId="37" xfId="0" applyFont="1" applyFill="1" applyBorder="1"/>
    <xf numFmtId="0" fontId="17" fillId="31" borderId="38" xfId="0" applyFont="1" applyFill="1" applyBorder="1"/>
    <xf numFmtId="0" fontId="17" fillId="31" borderId="39" xfId="0" applyFont="1" applyFill="1" applyBorder="1"/>
    <xf numFmtId="0" fontId="17" fillId="25" borderId="23" xfId="0" applyFont="1" applyFill="1" applyBorder="1"/>
    <xf numFmtId="0" fontId="17" fillId="25" borderId="24" xfId="0" applyFont="1" applyFill="1" applyBorder="1"/>
    <xf numFmtId="0" fontId="17" fillId="25" borderId="25" xfId="0" applyFont="1" applyFill="1" applyBorder="1"/>
    <xf numFmtId="0" fontId="17" fillId="25" borderId="26" xfId="0" applyFont="1" applyFill="1" applyBorder="1"/>
    <xf numFmtId="0" fontId="17" fillId="25" borderId="27" xfId="0" applyFont="1" applyFill="1" applyBorder="1"/>
    <xf numFmtId="0" fontId="17" fillId="25" borderId="28" xfId="0" applyFont="1" applyFill="1" applyBorder="1"/>
    <xf numFmtId="0" fontId="22" fillId="25" borderId="40" xfId="0" applyFont="1" applyFill="1" applyBorder="1"/>
    <xf numFmtId="0" fontId="0" fillId="25" borderId="41" xfId="0" applyFill="1" applyBorder="1"/>
    <xf numFmtId="0" fontId="0" fillId="25" borderId="42" xfId="0" applyFill="1" applyBorder="1"/>
    <xf numFmtId="0" fontId="0" fillId="25" borderId="43" xfId="0" applyFill="1" applyBorder="1"/>
    <xf numFmtId="0" fontId="0" fillId="25" borderId="44" xfId="0" applyFill="1" applyBorder="1"/>
    <xf numFmtId="0" fontId="17" fillId="25" borderId="45" xfId="0" applyFont="1" applyFill="1" applyBorder="1"/>
    <xf numFmtId="0" fontId="0" fillId="25" borderId="46" xfId="0" applyFill="1" applyBorder="1"/>
    <xf numFmtId="0" fontId="0" fillId="25" borderId="47" xfId="0" applyFill="1" applyBorder="1"/>
    <xf numFmtId="0" fontId="22" fillId="24" borderId="48" xfId="0" applyFont="1" applyFill="1" applyBorder="1" applyAlignment="1">
      <alignment horizontal="center"/>
    </xf>
    <xf numFmtId="14" fontId="22" fillId="24" borderId="49" xfId="0" applyNumberFormat="1" applyFont="1" applyFill="1" applyBorder="1" applyAlignment="1">
      <alignment horizontal="center" wrapText="1"/>
    </xf>
    <xf numFmtId="0" fontId="22" fillId="24" borderId="49" xfId="0" applyFont="1" applyFill="1" applyBorder="1" applyAlignment="1">
      <alignment horizontal="center" wrapText="1"/>
    </xf>
    <xf numFmtId="0" fontId="22" fillId="24" borderId="50" xfId="0" applyFont="1" applyFill="1" applyBorder="1" applyAlignment="1">
      <alignment horizontal="center" wrapText="1"/>
    </xf>
    <xf numFmtId="0" fontId="25" fillId="29" borderId="48" xfId="0" applyFont="1" applyFill="1" applyBorder="1" applyAlignment="1">
      <alignment horizontal="right"/>
    </xf>
    <xf numFmtId="14" fontId="0" fillId="29" borderId="49" xfId="0" applyNumberFormat="1" applyFill="1" applyBorder="1"/>
    <xf numFmtId="43" fontId="17" fillId="29" borderId="49" xfId="28" applyFont="1" applyFill="1" applyBorder="1"/>
    <xf numFmtId="0" fontId="0" fillId="29" borderId="49" xfId="0" applyFill="1" applyBorder="1"/>
    <xf numFmtId="0" fontId="0" fillId="29" borderId="50" xfId="0" applyFill="1" applyBorder="1"/>
    <xf numFmtId="43" fontId="17" fillId="25" borderId="0" xfId="28" applyFont="1" applyFill="1" applyBorder="1"/>
    <xf numFmtId="9" fontId="17" fillId="25" borderId="0" xfId="52" applyFont="1" applyFill="1" applyBorder="1"/>
    <xf numFmtId="43" fontId="17" fillId="0" borderId="0" xfId="28" applyFont="1"/>
    <xf numFmtId="0" fontId="22" fillId="24" borderId="48" xfId="0" applyFont="1" applyFill="1" applyBorder="1" applyAlignment="1">
      <alignment horizontal="right"/>
    </xf>
    <xf numFmtId="14" fontId="22" fillId="24" borderId="49" xfId="0" applyNumberFormat="1" applyFont="1" applyFill="1" applyBorder="1"/>
    <xf numFmtId="14" fontId="22" fillId="24" borderId="50" xfId="0" applyNumberFormat="1" applyFont="1" applyFill="1" applyBorder="1"/>
    <xf numFmtId="43" fontId="17" fillId="25" borderId="46" xfId="28" applyFont="1" applyFill="1" applyBorder="1"/>
    <xf numFmtId="9" fontId="17" fillId="25" borderId="46" xfId="52" applyFont="1" applyFill="1" applyBorder="1"/>
    <xf numFmtId="0" fontId="36" fillId="0" borderId="0" xfId="0" applyFont="1"/>
    <xf numFmtId="0" fontId="17" fillId="0" borderId="0" xfId="0" applyFont="1" applyFill="1"/>
    <xf numFmtId="0" fontId="0" fillId="0" borderId="13" xfId="0" applyFill="1" applyBorder="1"/>
    <xf numFmtId="0" fontId="22" fillId="29" borderId="37" xfId="0" applyFont="1" applyFill="1" applyBorder="1"/>
    <xf numFmtId="0" fontId="0" fillId="29" borderId="38" xfId="0" applyFill="1" applyBorder="1"/>
    <xf numFmtId="0" fontId="0" fillId="29" borderId="39" xfId="0" applyFill="1" applyBorder="1"/>
    <xf numFmtId="0" fontId="0" fillId="24" borderId="23" xfId="0" applyFill="1" applyBorder="1"/>
    <xf numFmtId="0" fontId="0" fillId="24" borderId="29" xfId="0" applyFill="1" applyBorder="1"/>
    <xf numFmtId="0" fontId="0" fillId="24" borderId="30" xfId="0" applyFill="1" applyBorder="1"/>
    <xf numFmtId="0" fontId="0" fillId="0" borderId="23" xfId="0" applyFill="1" applyBorder="1"/>
    <xf numFmtId="0" fontId="0" fillId="0" borderId="25" xfId="0" applyFill="1" applyBorder="1"/>
    <xf numFmtId="0" fontId="0" fillId="0" borderId="29" xfId="0" applyFill="1" applyBorder="1"/>
    <xf numFmtId="0" fontId="0" fillId="0" borderId="30" xfId="0" applyFill="1" applyBorder="1"/>
    <xf numFmtId="0" fontId="2" fillId="0" borderId="0" xfId="49" applyFill="1" applyBorder="1"/>
    <xf numFmtId="164" fontId="2" fillId="0" borderId="0" xfId="32"/>
    <xf numFmtId="0" fontId="0" fillId="0" borderId="26" xfId="0" applyFill="1" applyBorder="1"/>
    <xf numFmtId="0" fontId="2" fillId="0" borderId="27" xfId="49" applyFill="1" applyBorder="1"/>
    <xf numFmtId="0" fontId="0" fillId="0" borderId="28" xfId="0" applyFill="1" applyBorder="1"/>
    <xf numFmtId="0" fontId="0" fillId="29" borderId="38" xfId="0" applyNumberFormat="1" applyFill="1" applyBorder="1"/>
    <xf numFmtId="170" fontId="0" fillId="0" borderId="24" xfId="0" applyNumberFormat="1" applyFill="1" applyBorder="1"/>
    <xf numFmtId="170" fontId="2" fillId="0" borderId="0" xfId="49" applyNumberFormat="1" applyFill="1" applyBorder="1"/>
    <xf numFmtId="170" fontId="0" fillId="0" borderId="0" xfId="0" applyNumberFormat="1" applyFill="1" applyBorder="1"/>
    <xf numFmtId="176" fontId="0" fillId="0" borderId="0" xfId="0" applyNumberFormat="1" applyFill="1" applyBorder="1"/>
    <xf numFmtId="1" fontId="0" fillId="29" borderId="38" xfId="0" applyNumberFormat="1" applyFill="1" applyBorder="1"/>
    <xf numFmtId="172" fontId="2" fillId="0" borderId="0" xfId="49" applyNumberFormat="1"/>
    <xf numFmtId="0" fontId="0" fillId="0" borderId="24" xfId="0" applyFill="1" applyBorder="1"/>
    <xf numFmtId="0" fontId="0" fillId="0" borderId="27" xfId="0" applyFill="1" applyBorder="1"/>
    <xf numFmtId="0" fontId="0" fillId="0" borderId="29" xfId="0" applyBorder="1"/>
    <xf numFmtId="0" fontId="0" fillId="0" borderId="30" xfId="0" applyBorder="1"/>
    <xf numFmtId="0" fontId="22" fillId="29" borderId="23" xfId="0" applyFont="1" applyFill="1" applyBorder="1"/>
    <xf numFmtId="0" fontId="0" fillId="29" borderId="24" xfId="0" applyFill="1" applyBorder="1"/>
    <xf numFmtId="0" fontId="0" fillId="29" borderId="25" xfId="0" applyFill="1" applyBorder="1"/>
    <xf numFmtId="0" fontId="22" fillId="24" borderId="10" xfId="45" applyFont="1" applyFill="1" applyBorder="1"/>
    <xf numFmtId="0" fontId="17" fillId="24" borderId="11" xfId="45" applyFont="1" applyFill="1" applyBorder="1"/>
    <xf numFmtId="0" fontId="17" fillId="0" borderId="0" xfId="45" applyFont="1"/>
    <xf numFmtId="167" fontId="17" fillId="0" borderId="0" xfId="45" applyNumberFormat="1" applyFont="1" applyAlignment="1">
      <alignment horizontal="left"/>
    </xf>
    <xf numFmtId="0" fontId="22" fillId="0" borderId="0" xfId="45" applyFont="1"/>
    <xf numFmtId="0" fontId="17" fillId="0" borderId="0" xfId="0" applyFont="1" applyAlignment="1">
      <alignment vertical="top"/>
    </xf>
    <xf numFmtId="0" fontId="0" fillId="0" borderId="0" xfId="0" applyAlignment="1"/>
    <xf numFmtId="0" fontId="0" fillId="0" borderId="0" xfId="0" applyBorder="1" applyAlignment="1"/>
    <xf numFmtId="0" fontId="22" fillId="24" borderId="11" xfId="0" applyFont="1" applyFill="1" applyBorder="1"/>
    <xf numFmtId="0" fontId="17" fillId="24" borderId="11" xfId="0" applyFont="1" applyFill="1" applyBorder="1"/>
    <xf numFmtId="0" fontId="22" fillId="0" borderId="38" xfId="0" applyFont="1" applyBorder="1"/>
    <xf numFmtId="3" fontId="17" fillId="0" borderId="0" xfId="0" applyNumberFormat="1" applyFont="1"/>
    <xf numFmtId="0" fontId="17" fillId="25" borderId="29" xfId="0" applyFont="1" applyFill="1" applyBorder="1"/>
    <xf numFmtId="0" fontId="17" fillId="25" borderId="30" xfId="0" applyFont="1" applyFill="1" applyBorder="1"/>
    <xf numFmtId="10" fontId="17" fillId="0" borderId="0" xfId="52" applyNumberFormat="1" applyFont="1"/>
    <xf numFmtId="8" fontId="17" fillId="0" borderId="0" xfId="0" applyNumberFormat="1" applyFont="1"/>
    <xf numFmtId="0" fontId="22" fillId="0" borderId="0" xfId="0" applyFont="1" applyBorder="1"/>
    <xf numFmtId="0" fontId="17" fillId="0" borderId="0" xfId="0" applyFont="1" applyBorder="1"/>
    <xf numFmtId="0" fontId="17" fillId="0" borderId="38" xfId="0" applyFont="1" applyBorder="1"/>
    <xf numFmtId="0" fontId="17" fillId="0" borderId="39" xfId="0" applyFont="1" applyBorder="1"/>
    <xf numFmtId="3" fontId="17" fillId="0" borderId="0" xfId="48" applyNumberFormat="1" applyFont="1" applyFill="1" applyBorder="1" applyAlignment="1">
      <alignment horizontal="right"/>
    </xf>
    <xf numFmtId="3" fontId="17" fillId="0" borderId="0" xfId="48" applyNumberFormat="1" applyFont="1" applyBorder="1" applyAlignment="1">
      <alignment horizontal="right"/>
    </xf>
    <xf numFmtId="0" fontId="22" fillId="25" borderId="29" xfId="0" applyFont="1" applyFill="1" applyBorder="1"/>
    <xf numFmtId="0" fontId="22" fillId="24" borderId="11" xfId="46" applyFont="1" applyFill="1" applyBorder="1" applyAlignment="1">
      <alignment horizontal="left"/>
    </xf>
    <xf numFmtId="0" fontId="17" fillId="0" borderId="0" xfId="0" applyFont="1" applyBorder="1" applyAlignment="1">
      <alignment vertical="top"/>
    </xf>
    <xf numFmtId="0" fontId="13" fillId="0" borderId="0" xfId="39" applyFont="1" applyBorder="1" applyAlignment="1" applyProtection="1"/>
    <xf numFmtId="0" fontId="17" fillId="0" borderId="0" xfId="46" applyFont="1" applyFill="1" applyBorder="1"/>
    <xf numFmtId="0" fontId="17" fillId="0" borderId="0" xfId="0" applyFont="1" applyFill="1" applyBorder="1" applyAlignment="1">
      <alignment vertical="top"/>
    </xf>
    <xf numFmtId="0" fontId="13" fillId="0" borderId="0" xfId="39" applyFill="1" applyBorder="1" applyAlignment="1" applyProtection="1"/>
    <xf numFmtId="0" fontId="0" fillId="30" borderId="29" xfId="0" applyFill="1" applyBorder="1"/>
    <xf numFmtId="0" fontId="0" fillId="30" borderId="0" xfId="0" applyFill="1" applyBorder="1"/>
    <xf numFmtId="0" fontId="0" fillId="30" borderId="30" xfId="0" applyFill="1" applyBorder="1"/>
    <xf numFmtId="0" fontId="17" fillId="0" borderId="0" xfId="0" applyNumberFormat="1" applyFont="1" applyBorder="1" applyAlignment="1">
      <alignment vertical="top" wrapText="1"/>
    </xf>
    <xf numFmtId="167" fontId="17" fillId="0" borderId="0" xfId="52" applyNumberFormat="1" applyFont="1" applyFill="1" applyBorder="1" applyAlignment="1">
      <alignment vertical="top" wrapText="1"/>
    </xf>
    <xf numFmtId="0" fontId="22" fillId="24" borderId="14" xfId="0" applyFont="1" applyFill="1" applyBorder="1"/>
    <xf numFmtId="0" fontId="22" fillId="24" borderId="19" xfId="0" applyFont="1" applyFill="1" applyBorder="1"/>
    <xf numFmtId="0" fontId="24" fillId="25" borderId="0" xfId="0" applyFont="1" applyFill="1" applyBorder="1" applyAlignment="1">
      <alignment horizontal="left" indent="1"/>
    </xf>
    <xf numFmtId="0" fontId="17" fillId="0" borderId="0" xfId="0" applyFont="1" applyFill="1" applyBorder="1" applyAlignment="1">
      <alignment horizontal="left"/>
    </xf>
    <xf numFmtId="0" fontId="22" fillId="27" borderId="21" xfId="0" applyFont="1" applyFill="1" applyBorder="1" applyAlignment="1">
      <alignment horizontal="center"/>
    </xf>
    <xf numFmtId="0" fontId="2" fillId="28" borderId="31" xfId="0" applyFont="1" applyFill="1" applyBorder="1"/>
    <xf numFmtId="0" fontId="2" fillId="28" borderId="33" xfId="0" applyFont="1" applyFill="1" applyBorder="1"/>
    <xf numFmtId="0" fontId="2" fillId="28" borderId="31" xfId="0" applyNumberFormat="1" applyFont="1" applyFill="1" applyBorder="1"/>
    <xf numFmtId="0" fontId="22" fillId="0" borderId="0" xfId="0" applyFont="1" applyAlignment="1">
      <alignment wrapText="1"/>
    </xf>
    <xf numFmtId="0" fontId="0" fillId="0" borderId="0" xfId="0" applyAlignment="1">
      <alignment wrapText="1"/>
    </xf>
    <xf numFmtId="0" fontId="17" fillId="0" borderId="0" xfId="0" applyFont="1" applyAlignment="1">
      <alignment wrapText="1"/>
    </xf>
    <xf numFmtId="0" fontId="0" fillId="25" borderId="30" xfId="0" applyFill="1" applyBorder="1" applyAlignment="1">
      <alignment wrapText="1"/>
    </xf>
    <xf numFmtId="0" fontId="2" fillId="25" borderId="30" xfId="49" applyFont="1" applyFill="1" applyBorder="1" applyAlignment="1">
      <alignment wrapText="1"/>
    </xf>
    <xf numFmtId="0" fontId="2" fillId="25" borderId="28" xfId="49" applyFont="1" applyFill="1" applyBorder="1" applyAlignment="1">
      <alignment wrapText="1"/>
    </xf>
    <xf numFmtId="0" fontId="0" fillId="24" borderId="11" xfId="0" applyFill="1" applyBorder="1" applyAlignment="1">
      <alignment wrapText="1"/>
    </xf>
    <xf numFmtId="0" fontId="0" fillId="0" borderId="0" xfId="0" applyAlignment="1">
      <alignment horizontal="center" wrapText="1"/>
    </xf>
    <xf numFmtId="0" fontId="17" fillId="0" borderId="0" xfId="0" applyFont="1" applyAlignment="1">
      <alignment horizontal="center" wrapText="1"/>
    </xf>
    <xf numFmtId="0" fontId="22" fillId="26" borderId="12" xfId="0" applyFont="1" applyFill="1" applyBorder="1" applyAlignment="1">
      <alignment horizontal="center"/>
    </xf>
    <xf numFmtId="0" fontId="25" fillId="25" borderId="15" xfId="0" applyFont="1" applyFill="1" applyBorder="1"/>
    <xf numFmtId="0" fontId="17" fillId="25" borderId="15" xfId="0" quotePrefix="1" applyFont="1" applyFill="1" applyBorder="1"/>
    <xf numFmtId="0" fontId="0" fillId="25" borderId="28" xfId="0" applyFill="1" applyBorder="1"/>
    <xf numFmtId="0" fontId="0" fillId="25" borderId="0" xfId="0" applyFill="1" applyBorder="1" applyAlignment="1">
      <alignment wrapText="1"/>
    </xf>
    <xf numFmtId="0" fontId="17" fillId="29" borderId="15" xfId="0" applyFont="1" applyFill="1" applyBorder="1"/>
    <xf numFmtId="0" fontId="40" fillId="32" borderId="23" xfId="0" applyFont="1" applyFill="1" applyBorder="1" applyAlignment="1"/>
    <xf numFmtId="0" fontId="40" fillId="32" borderId="24" xfId="0" applyFont="1" applyFill="1" applyBorder="1" applyAlignment="1"/>
    <xf numFmtId="0" fontId="40" fillId="32" borderId="25" xfId="0" applyFont="1" applyFill="1" applyBorder="1" applyAlignment="1"/>
    <xf numFmtId="0" fontId="40" fillId="32" borderId="26" xfId="0" applyFont="1" applyFill="1" applyBorder="1" applyAlignment="1"/>
    <xf numFmtId="0" fontId="40" fillId="32" borderId="27" xfId="0" applyFont="1" applyFill="1" applyBorder="1" applyAlignment="1"/>
    <xf numFmtId="0" fontId="40" fillId="32" borderId="28" xfId="0" applyFont="1" applyFill="1" applyBorder="1" applyAlignment="1"/>
    <xf numFmtId="0" fontId="0" fillId="0" borderId="23" xfId="0" applyBorder="1"/>
    <xf numFmtId="0" fontId="0" fillId="0" borderId="24" xfId="0" applyBorder="1"/>
    <xf numFmtId="0" fontId="0" fillId="0" borderId="25" xfId="0" applyBorder="1"/>
    <xf numFmtId="0" fontId="2" fillId="0" borderId="29" xfId="49" applyBorder="1"/>
    <xf numFmtId="0" fontId="2" fillId="0" borderId="0" xfId="49" applyBorder="1"/>
    <xf numFmtId="0" fontId="2" fillId="0" borderId="30" xfId="0" applyFont="1" applyFill="1" applyBorder="1" applyAlignment="1">
      <alignment horizontal="right"/>
    </xf>
    <xf numFmtId="169" fontId="2" fillId="0" borderId="30" xfId="49" applyNumberFormat="1" applyFill="1" applyBorder="1" applyAlignment="1">
      <alignment horizontal="right"/>
    </xf>
    <xf numFmtId="0" fontId="2" fillId="0" borderId="30" xfId="49" applyFont="1" applyFill="1" applyBorder="1" applyAlignment="1">
      <alignment horizontal="right"/>
    </xf>
    <xf numFmtId="14" fontId="2" fillId="0" borderId="30" xfId="49" applyNumberFormat="1" applyFill="1" applyBorder="1" applyAlignment="1">
      <alignment horizontal="right"/>
    </xf>
    <xf numFmtId="0" fontId="2" fillId="0" borderId="30" xfId="49" applyFill="1" applyBorder="1" applyAlignment="1">
      <alignment horizontal="right"/>
    </xf>
    <xf numFmtId="176" fontId="2" fillId="0" borderId="30" xfId="49" applyNumberFormat="1" applyFill="1" applyBorder="1" applyAlignment="1">
      <alignment horizontal="right"/>
    </xf>
    <xf numFmtId="0" fontId="2" fillId="0" borderId="29" xfId="49" applyFont="1" applyBorder="1"/>
    <xf numFmtId="0" fontId="2" fillId="0" borderId="0" xfId="49" applyFont="1" applyBorder="1"/>
    <xf numFmtId="0" fontId="2" fillId="0" borderId="30" xfId="49" applyBorder="1"/>
    <xf numFmtId="4" fontId="2" fillId="25" borderId="30" xfId="49" applyNumberFormat="1" applyFill="1" applyBorder="1"/>
    <xf numFmtId="14" fontId="2" fillId="0" borderId="30" xfId="49" applyNumberFormat="1" applyBorder="1"/>
    <xf numFmtId="172" fontId="2" fillId="0" borderId="30" xfId="49" applyNumberFormat="1" applyBorder="1"/>
    <xf numFmtId="14" fontId="2" fillId="0" borderId="30" xfId="52" applyNumberFormat="1" applyFont="1" applyFill="1" applyBorder="1" applyAlignment="1">
      <alignment horizontal="right"/>
    </xf>
    <xf numFmtId="1" fontId="2" fillId="0" borderId="30" xfId="52" applyNumberFormat="1" applyFill="1" applyBorder="1" applyAlignment="1">
      <alignment horizontal="right"/>
    </xf>
    <xf numFmtId="10" fontId="2" fillId="0" borderId="30" xfId="52" applyNumberFormat="1" applyFill="1" applyBorder="1" applyAlignment="1">
      <alignment horizontal="right"/>
    </xf>
    <xf numFmtId="10" fontId="2" fillId="0" borderId="30" xfId="52" applyNumberFormat="1" applyFont="1" applyFill="1" applyBorder="1" applyAlignment="1">
      <alignment horizontal="right"/>
    </xf>
    <xf numFmtId="1" fontId="2" fillId="0" borderId="30" xfId="52" applyNumberFormat="1" applyFont="1" applyFill="1" applyBorder="1" applyAlignment="1">
      <alignment horizontal="right"/>
    </xf>
    <xf numFmtId="0" fontId="0" fillId="0" borderId="26" xfId="0" applyBorder="1"/>
    <xf numFmtId="0" fontId="0" fillId="0" borderId="27" xfId="0" applyBorder="1"/>
    <xf numFmtId="0" fontId="0" fillId="0" borderId="28" xfId="0" applyBorder="1"/>
    <xf numFmtId="0" fontId="0" fillId="25" borderId="30" xfId="0" applyFill="1" applyBorder="1"/>
    <xf numFmtId="0" fontId="22" fillId="33" borderId="20" xfId="49" applyFont="1" applyFill="1" applyBorder="1"/>
    <xf numFmtId="0" fontId="2" fillId="0" borderId="30" xfId="49" applyFont="1" applyBorder="1"/>
    <xf numFmtId="0" fontId="17" fillId="0" borderId="29" xfId="49" applyFont="1" applyBorder="1"/>
    <xf numFmtId="164" fontId="2" fillId="25" borderId="0" xfId="32" applyFill="1" applyBorder="1" applyAlignment="1">
      <alignment horizontal="left"/>
    </xf>
    <xf numFmtId="164" fontId="2" fillId="0" borderId="30" xfId="32" applyBorder="1"/>
    <xf numFmtId="167" fontId="2" fillId="0" borderId="0" xfId="49" applyNumberFormat="1" applyBorder="1"/>
    <xf numFmtId="164" fontId="2" fillId="25" borderId="30" xfId="32" applyFill="1" applyBorder="1" applyAlignment="1">
      <alignment horizontal="left"/>
    </xf>
    <xf numFmtId="164" fontId="2" fillId="0" borderId="0" xfId="32" applyFill="1" applyBorder="1" applyAlignment="1">
      <alignment horizontal="left"/>
    </xf>
    <xf numFmtId="164" fontId="2" fillId="0" borderId="30" xfId="32" applyFill="1" applyBorder="1"/>
    <xf numFmtId="167" fontId="2" fillId="0" borderId="0" xfId="49" applyNumberFormat="1" applyFill="1" applyBorder="1"/>
    <xf numFmtId="164" fontId="2" fillId="0" borderId="30" xfId="32" applyFill="1" applyBorder="1" applyAlignment="1">
      <alignment horizontal="left"/>
    </xf>
    <xf numFmtId="0" fontId="22" fillId="33" borderId="11" xfId="49" applyFont="1" applyFill="1" applyBorder="1"/>
    <xf numFmtId="176" fontId="2" fillId="0" borderId="30" xfId="49" applyNumberFormat="1" applyBorder="1"/>
    <xf numFmtId="43" fontId="2" fillId="0" borderId="30" xfId="49" applyNumberFormat="1" applyBorder="1"/>
    <xf numFmtId="172" fontId="2" fillId="25" borderId="30" xfId="49" applyNumberFormat="1" applyFill="1" applyBorder="1"/>
    <xf numFmtId="0" fontId="2" fillId="25" borderId="30" xfId="49" applyFill="1" applyBorder="1"/>
    <xf numFmtId="0" fontId="2" fillId="0" borderId="26" xfId="49" applyFont="1" applyBorder="1"/>
    <xf numFmtId="0" fontId="2" fillId="0" borderId="27" xfId="49" applyBorder="1"/>
    <xf numFmtId="0" fontId="2" fillId="0" borderId="27" xfId="49" applyFont="1" applyBorder="1"/>
    <xf numFmtId="172" fontId="2" fillId="0" borderId="28" xfId="49" applyNumberFormat="1" applyBorder="1"/>
    <xf numFmtId="0" fontId="2" fillId="0" borderId="23" xfId="49" applyBorder="1"/>
    <xf numFmtId="14" fontId="0" fillId="0" borderId="0" xfId="0" applyNumberFormat="1" applyBorder="1"/>
    <xf numFmtId="0" fontId="0" fillId="0" borderId="30" xfId="0" applyNumberFormat="1" applyBorder="1"/>
    <xf numFmtId="0" fontId="0" fillId="0" borderId="0" xfId="0" quotePrefix="1" applyBorder="1"/>
    <xf numFmtId="0" fontId="0" fillId="0" borderId="30" xfId="0" quotePrefix="1" applyBorder="1"/>
    <xf numFmtId="0" fontId="0" fillId="0" borderId="30" xfId="0" applyBorder="1" applyAlignment="1">
      <alignment wrapText="1"/>
    </xf>
    <xf numFmtId="0" fontId="0" fillId="0" borderId="28" xfId="0" applyBorder="1" applyAlignment="1">
      <alignment wrapText="1"/>
    </xf>
    <xf numFmtId="0" fontId="0" fillId="24" borderId="51" xfId="0" applyFill="1" applyBorder="1"/>
    <xf numFmtId="0" fontId="0" fillId="24" borderId="52" xfId="0" applyFill="1" applyBorder="1"/>
    <xf numFmtId="0" fontId="0" fillId="24" borderId="26" xfId="0" applyFill="1" applyBorder="1"/>
    <xf numFmtId="0" fontId="17" fillId="0" borderId="29" xfId="0" applyFont="1" applyBorder="1"/>
    <xf numFmtId="0" fontId="17" fillId="0" borderId="30" xfId="0" applyFont="1" applyBorder="1"/>
    <xf numFmtId="0" fontId="17" fillId="0" borderId="26" xfId="0" applyFont="1" applyBorder="1"/>
    <xf numFmtId="0" fontId="17" fillId="0" borderId="28" xfId="0" applyFont="1" applyBorder="1"/>
    <xf numFmtId="0" fontId="17" fillId="0" borderId="23" xfId="0" applyFont="1" applyBorder="1" applyAlignment="1">
      <alignment horizontal="center"/>
    </xf>
    <xf numFmtId="0" fontId="17" fillId="0" borderId="24" xfId="0" applyFont="1" applyBorder="1"/>
    <xf numFmtId="0" fontId="17" fillId="0" borderId="25" xfId="0" applyFont="1" applyBorder="1"/>
    <xf numFmtId="0" fontId="17" fillId="0" borderId="29" xfId="0" applyFont="1" applyBorder="1" applyAlignment="1">
      <alignment horizontal="center"/>
    </xf>
    <xf numFmtId="0" fontId="17" fillId="0" borderId="26" xfId="0" applyFont="1" applyBorder="1" applyAlignment="1">
      <alignment horizontal="center"/>
    </xf>
    <xf numFmtId="0" fontId="17" fillId="0" borderId="23" xfId="0" applyFont="1" applyBorder="1"/>
    <xf numFmtId="14" fontId="17" fillId="0" borderId="0" xfId="0" applyNumberFormat="1" applyFont="1" applyBorder="1"/>
    <xf numFmtId="3" fontId="17" fillId="0" borderId="30" xfId="52" applyNumberFormat="1" applyFont="1" applyBorder="1"/>
    <xf numFmtId="173" fontId="17" fillId="0" borderId="30" xfId="0" applyNumberFormat="1" applyFont="1" applyBorder="1"/>
    <xf numFmtId="10" fontId="17" fillId="0" borderId="30" xfId="52" applyNumberFormat="1" applyFont="1" applyBorder="1"/>
    <xf numFmtId="0" fontId="17" fillId="0" borderId="0" xfId="0" applyFont="1" applyFill="1" applyBorder="1" applyAlignment="1">
      <alignment horizontal="right"/>
    </xf>
    <xf numFmtId="174" fontId="17" fillId="0" borderId="0" xfId="30" applyNumberFormat="1" applyFont="1" applyFill="1" applyBorder="1" applyAlignment="1">
      <alignment horizontal="left"/>
    </xf>
    <xf numFmtId="174" fontId="17" fillId="0" borderId="30" xfId="30" applyNumberFormat="1" applyFont="1" applyFill="1" applyBorder="1" applyAlignment="1">
      <alignment horizontal="right"/>
    </xf>
    <xf numFmtId="174" fontId="17" fillId="0" borderId="30" xfId="30" applyNumberFormat="1" applyFont="1" applyFill="1" applyBorder="1"/>
    <xf numFmtId="3" fontId="17" fillId="0" borderId="30" xfId="48" applyNumberFormat="1" applyFont="1" applyBorder="1" applyAlignment="1">
      <alignment horizontal="right"/>
    </xf>
    <xf numFmtId="174" fontId="17" fillId="0" borderId="0" xfId="30" applyNumberFormat="1" applyFont="1" applyFill="1" applyBorder="1" applyAlignment="1">
      <alignment horizontal="right"/>
    </xf>
    <xf numFmtId="9" fontId="17" fillId="0" borderId="30" xfId="52" applyFont="1" applyFill="1" applyBorder="1" applyAlignment="1">
      <alignment horizontal="right"/>
    </xf>
    <xf numFmtId="3" fontId="17" fillId="0" borderId="0" xfId="30" applyNumberFormat="1" applyFont="1" applyBorder="1" applyAlignment="1">
      <alignment horizontal="left"/>
    </xf>
    <xf numFmtId="0" fontId="0" fillId="29" borderId="19" xfId="0" applyFill="1" applyBorder="1" applyAlignment="1">
      <alignment horizontal="center"/>
    </xf>
    <xf numFmtId="0" fontId="17" fillId="0" borderId="0" xfId="0" applyFont="1" applyBorder="1" applyAlignment="1">
      <alignment horizontal="left"/>
    </xf>
    <xf numFmtId="0" fontId="0" fillId="0" borderId="0" xfId="0" applyBorder="1" applyAlignment="1">
      <alignment horizontal="center"/>
    </xf>
    <xf numFmtId="0" fontId="0" fillId="0" borderId="0" xfId="0" applyBorder="1" applyAlignment="1">
      <alignment horizontal="left"/>
    </xf>
    <xf numFmtId="167" fontId="17" fillId="0" borderId="0" xfId="0" applyNumberFormat="1" applyFont="1" applyAlignment="1">
      <alignment horizontal="center" vertical="top"/>
    </xf>
    <xf numFmtId="167" fontId="17" fillId="0" borderId="0" xfId="0" applyNumberFormat="1" applyFont="1" applyFill="1" applyBorder="1" applyAlignment="1">
      <alignment vertical="top"/>
    </xf>
    <xf numFmtId="14" fontId="0" fillId="0" borderId="0" xfId="0" applyNumberFormat="1" applyAlignment="1">
      <alignment vertical="top"/>
    </xf>
    <xf numFmtId="167" fontId="17" fillId="0" borderId="0" xfId="0" applyNumberFormat="1" applyFont="1" applyAlignment="1">
      <alignment vertical="top"/>
    </xf>
    <xf numFmtId="0" fontId="0" fillId="0" borderId="0" xfId="0" applyAlignment="1">
      <alignment vertical="top"/>
    </xf>
    <xf numFmtId="0" fontId="0" fillId="0" borderId="0" xfId="0" applyNumberFormat="1" applyFont="1" applyAlignment="1">
      <alignment vertical="top"/>
    </xf>
    <xf numFmtId="0" fontId="0" fillId="0" borderId="0" xfId="0" applyNumberFormat="1" applyAlignment="1">
      <alignment vertical="top"/>
    </xf>
    <xf numFmtId="167" fontId="17" fillId="0" borderId="0" xfId="0" applyNumberFormat="1" applyFont="1" applyAlignment="1">
      <alignment horizontal="left" vertical="top"/>
    </xf>
    <xf numFmtId="0" fontId="22" fillId="24" borderId="18" xfId="0" applyFont="1" applyFill="1" applyBorder="1" applyAlignment="1"/>
    <xf numFmtId="0" fontId="22" fillId="24" borderId="13" xfId="0" applyFont="1" applyFill="1" applyBorder="1"/>
    <xf numFmtId="0" fontId="22" fillId="24" borderId="17" xfId="0" applyFont="1" applyFill="1" applyBorder="1" applyAlignment="1"/>
    <xf numFmtId="0" fontId="22" fillId="24" borderId="19" xfId="0" applyFont="1" applyFill="1" applyBorder="1" applyAlignment="1"/>
    <xf numFmtId="0" fontId="17" fillId="0" borderId="30" xfId="0" applyFont="1" applyBorder="1" applyAlignment="1">
      <alignment horizontal="left"/>
    </xf>
    <xf numFmtId="0" fontId="17" fillId="0" borderId="27" xfId="0" applyFont="1" applyBorder="1" applyAlignment="1">
      <alignment horizontal="right"/>
    </xf>
    <xf numFmtId="16" fontId="17" fillId="0" borderId="0" xfId="0" applyNumberFormat="1" applyFont="1"/>
    <xf numFmtId="0" fontId="0" fillId="25" borderId="24" xfId="0" applyFill="1" applyBorder="1"/>
    <xf numFmtId="0" fontId="0" fillId="25" borderId="25" xfId="0" applyFill="1" applyBorder="1"/>
    <xf numFmtId="0" fontId="17" fillId="25" borderId="29" xfId="46" applyFont="1" applyFill="1" applyBorder="1"/>
    <xf numFmtId="0" fontId="0" fillId="25" borderId="27" xfId="0" applyFill="1" applyBorder="1"/>
    <xf numFmtId="0" fontId="22" fillId="25" borderId="29" xfId="46" applyFont="1" applyFill="1" applyBorder="1"/>
    <xf numFmtId="0" fontId="17" fillId="34" borderId="0" xfId="0" applyFont="1" applyFill="1" applyBorder="1"/>
    <xf numFmtId="167" fontId="0" fillId="25" borderId="0" xfId="0" applyNumberFormat="1" applyFill="1" applyBorder="1" applyAlignment="1">
      <alignment horizontal="left"/>
    </xf>
    <xf numFmtId="0" fontId="36" fillId="25" borderId="0" xfId="0" applyFont="1" applyFill="1" applyBorder="1"/>
    <xf numFmtId="0" fontId="36" fillId="25" borderId="27" xfId="0" applyFont="1" applyFill="1" applyBorder="1"/>
    <xf numFmtId="0" fontId="17" fillId="25" borderId="23" xfId="45" applyFont="1" applyFill="1" applyBorder="1"/>
    <xf numFmtId="0" fontId="17" fillId="25" borderId="24" xfId="45" applyFont="1" applyFill="1" applyBorder="1"/>
    <xf numFmtId="0" fontId="17" fillId="25" borderId="25" xfId="45" applyFont="1" applyFill="1" applyBorder="1"/>
    <xf numFmtId="0" fontId="17" fillId="25" borderId="29" xfId="45" applyFont="1" applyFill="1" applyBorder="1"/>
    <xf numFmtId="167" fontId="17" fillId="25" borderId="0" xfId="45" applyNumberFormat="1" applyFont="1" applyFill="1" applyBorder="1" applyAlignment="1">
      <alignment horizontal="left"/>
    </xf>
    <xf numFmtId="0" fontId="17" fillId="25" borderId="0" xfId="45" applyFont="1" applyFill="1" applyBorder="1"/>
    <xf numFmtId="0" fontId="17" fillId="25" borderId="30" xfId="45" applyFont="1" applyFill="1" applyBorder="1"/>
    <xf numFmtId="0" fontId="22" fillId="25" borderId="29" xfId="45" applyFont="1" applyFill="1" applyBorder="1"/>
    <xf numFmtId="0" fontId="17" fillId="25" borderId="26" xfId="45" applyFont="1" applyFill="1" applyBorder="1"/>
    <xf numFmtId="167" fontId="17" fillId="25" borderId="27" xfId="45" applyNumberFormat="1" applyFont="1" applyFill="1" applyBorder="1" applyAlignment="1">
      <alignment horizontal="left"/>
    </xf>
    <xf numFmtId="0" fontId="17" fillId="25" borderId="27" xfId="45" applyFont="1" applyFill="1" applyBorder="1"/>
    <xf numFmtId="0" fontId="17" fillId="25" borderId="28" xfId="45" applyFont="1" applyFill="1" applyBorder="1"/>
    <xf numFmtId="0" fontId="17" fillId="0" borderId="23" xfId="45" applyFont="1" applyBorder="1"/>
    <xf numFmtId="0" fontId="17" fillId="0" borderId="24" xfId="45" applyFont="1" applyBorder="1"/>
    <xf numFmtId="0" fontId="17" fillId="0" borderId="25" xfId="45" applyFont="1" applyBorder="1"/>
    <xf numFmtId="0" fontId="17" fillId="0" borderId="29" xfId="45" applyFont="1" applyBorder="1"/>
    <xf numFmtId="0" fontId="17" fillId="0" borderId="0" xfId="45" applyFont="1" applyBorder="1"/>
    <xf numFmtId="0" fontId="17" fillId="0" borderId="30" xfId="45" applyFont="1" applyBorder="1"/>
    <xf numFmtId="0" fontId="17" fillId="0" borderId="26" xfId="45" applyFont="1" applyBorder="1"/>
    <xf numFmtId="0" fontId="17" fillId="0" borderId="27" xfId="45" applyFont="1" applyBorder="1"/>
    <xf numFmtId="0" fontId="17" fillId="0" borderId="28" xfId="45" applyFont="1" applyBorder="1"/>
    <xf numFmtId="0" fontId="17" fillId="0" borderId="23" xfId="45" applyFont="1" applyBorder="1" applyAlignment="1">
      <alignment wrapText="1"/>
    </xf>
    <xf numFmtId="2" fontId="17" fillId="0" borderId="24" xfId="45" applyNumberFormat="1" applyFont="1" applyBorder="1" applyAlignment="1">
      <alignment wrapText="1"/>
    </xf>
    <xf numFmtId="2" fontId="17" fillId="0" borderId="25" xfId="45" applyNumberFormat="1" applyFont="1" applyBorder="1" applyAlignment="1">
      <alignment wrapText="1"/>
    </xf>
    <xf numFmtId="2" fontId="17" fillId="0" borderId="0" xfId="45" applyNumberFormat="1" applyFont="1" applyBorder="1" applyAlignment="1">
      <alignment wrapText="1"/>
    </xf>
    <xf numFmtId="2" fontId="17" fillId="0" borderId="30" xfId="45" applyNumberFormat="1" applyFont="1" applyBorder="1" applyAlignment="1">
      <alignment wrapText="1"/>
    </xf>
    <xf numFmtId="22" fontId="17" fillId="0" borderId="0" xfId="39" applyNumberFormat="1" applyFont="1" applyBorder="1" applyAlignment="1" applyProtection="1"/>
    <xf numFmtId="0" fontId="17" fillId="0" borderId="0" xfId="39" applyFont="1" applyBorder="1" applyAlignment="1" applyProtection="1"/>
    <xf numFmtId="0" fontId="0" fillId="24" borderId="11" xfId="0" applyFill="1" applyBorder="1" applyAlignment="1">
      <alignment horizontal="left"/>
    </xf>
    <xf numFmtId="0" fontId="2" fillId="25" borderId="27" xfId="49" applyFill="1" applyBorder="1" applyAlignment="1">
      <alignment horizontal="left"/>
    </xf>
    <xf numFmtId="0" fontId="22" fillId="25" borderId="23" xfId="46" applyFont="1" applyFill="1" applyBorder="1"/>
    <xf numFmtId="2" fontId="17" fillId="25" borderId="24" xfId="46" applyNumberFormat="1" applyFont="1" applyFill="1" applyBorder="1"/>
    <xf numFmtId="166" fontId="0" fillId="25" borderId="0" xfId="0" applyNumberFormat="1" applyFill="1" applyBorder="1"/>
    <xf numFmtId="0" fontId="42" fillId="25" borderId="29" xfId="0" applyFont="1" applyFill="1" applyBorder="1"/>
    <xf numFmtId="0" fontId="22" fillId="25" borderId="26" xfId="46" applyFont="1" applyFill="1" applyBorder="1"/>
    <xf numFmtId="0" fontId="23" fillId="25" borderId="29" xfId="46" applyFont="1" applyFill="1" applyBorder="1"/>
    <xf numFmtId="0" fontId="45" fillId="25" borderId="29" xfId="46" applyFont="1" applyFill="1" applyBorder="1"/>
    <xf numFmtId="0" fontId="47" fillId="25" borderId="29" xfId="46" applyFont="1" applyFill="1" applyBorder="1"/>
    <xf numFmtId="0" fontId="17" fillId="25" borderId="15" xfId="0" applyFont="1" applyFill="1" applyBorder="1" applyAlignment="1">
      <alignment horizontal="left" indent="3"/>
    </xf>
    <xf numFmtId="0" fontId="0" fillId="28" borderId="13" xfId="0" applyFill="1" applyBorder="1"/>
    <xf numFmtId="0" fontId="0" fillId="28" borderId="0" xfId="0" applyFill="1" applyBorder="1"/>
    <xf numFmtId="14" fontId="0" fillId="28" borderId="0" xfId="0" applyNumberFormat="1" applyFill="1" applyBorder="1"/>
    <xf numFmtId="0" fontId="0" fillId="28" borderId="18" xfId="0" applyFill="1" applyBorder="1"/>
    <xf numFmtId="0" fontId="0" fillId="0" borderId="0" xfId="0" applyFill="1" applyBorder="1" applyAlignment="1">
      <alignment horizontal="center"/>
    </xf>
    <xf numFmtId="0" fontId="22" fillId="24" borderId="17" xfId="0" applyFont="1" applyFill="1" applyBorder="1" applyAlignment="1">
      <alignment wrapText="1"/>
    </xf>
    <xf numFmtId="0" fontId="22" fillId="24" borderId="18" xfId="0" applyFont="1" applyFill="1" applyBorder="1" applyAlignment="1">
      <alignment horizontal="center" wrapText="1"/>
    </xf>
    <xf numFmtId="0" fontId="22" fillId="24" borderId="19" xfId="0" applyFont="1" applyFill="1" applyBorder="1" applyAlignment="1">
      <alignment wrapText="1"/>
    </xf>
    <xf numFmtId="0" fontId="17" fillId="25" borderId="0" xfId="46" applyFont="1" applyFill="1" applyBorder="1"/>
    <xf numFmtId="0" fontId="0" fillId="0" borderId="0" xfId="0" applyBorder="1" applyAlignment="1">
      <alignment vertical="top" wrapText="1"/>
    </xf>
    <xf numFmtId="0" fontId="22" fillId="24" borderId="13" xfId="0" applyFont="1" applyFill="1" applyBorder="1" applyAlignment="1"/>
    <xf numFmtId="0" fontId="22" fillId="24" borderId="14" xfId="0" applyFont="1" applyFill="1" applyBorder="1" applyAlignment="1"/>
    <xf numFmtId="0" fontId="17" fillId="0" borderId="24" xfId="0" applyFont="1" applyFill="1" applyBorder="1"/>
    <xf numFmtId="0" fontId="17" fillId="0" borderId="29" xfId="0" applyFont="1" applyBorder="1" applyAlignment="1"/>
    <xf numFmtId="0" fontId="17" fillId="0" borderId="0" xfId="0" applyFont="1" applyBorder="1" applyAlignment="1">
      <alignment horizontal="right" vertical="top"/>
    </xf>
    <xf numFmtId="0" fontId="17" fillId="0" borderId="0" xfId="0" applyFont="1" applyBorder="1" applyAlignment="1">
      <alignment horizontal="left" vertical="top"/>
    </xf>
    <xf numFmtId="0" fontId="17" fillId="0" borderId="30" xfId="0" applyFont="1" applyBorder="1" applyAlignment="1">
      <alignment horizontal="left" vertical="top"/>
    </xf>
    <xf numFmtId="0" fontId="17" fillId="0" borderId="0" xfId="0" applyFont="1" applyBorder="1" applyAlignment="1"/>
    <xf numFmtId="0" fontId="17" fillId="0" borderId="30" xfId="0" applyFont="1" applyBorder="1" applyAlignment="1"/>
    <xf numFmtId="0" fontId="17" fillId="0" borderId="29" xfId="0" applyFont="1" applyFill="1" applyBorder="1"/>
    <xf numFmtId="0" fontId="0" fillId="25" borderId="0" xfId="0" applyFont="1" applyFill="1" applyBorder="1"/>
    <xf numFmtId="0" fontId="17" fillId="24" borderId="29" xfId="0" applyFont="1" applyFill="1" applyBorder="1"/>
    <xf numFmtId="0" fontId="17" fillId="0" borderId="0" xfId="45" applyFont="1" applyAlignment="1"/>
    <xf numFmtId="0" fontId="17" fillId="0" borderId="0" xfId="45" applyNumberFormat="1" applyFont="1" applyBorder="1" applyAlignment="1"/>
    <xf numFmtId="0" fontId="17" fillId="0" borderId="30" xfId="45" applyNumberFormat="1" applyFont="1" applyBorder="1" applyAlignment="1"/>
    <xf numFmtId="0" fontId="17" fillId="0" borderId="29" xfId="45" applyNumberFormat="1" applyFont="1" applyBorder="1" applyAlignment="1"/>
    <xf numFmtId="0" fontId="17" fillId="0" borderId="26" xfId="45" applyNumberFormat="1" applyFont="1" applyBorder="1" applyAlignment="1"/>
    <xf numFmtId="0" fontId="17" fillId="0" borderId="27" xfId="45" applyNumberFormat="1" applyFont="1" applyBorder="1" applyAlignment="1"/>
    <xf numFmtId="0" fontId="17" fillId="0" borderId="28" xfId="45" applyNumberFormat="1" applyFont="1" applyBorder="1" applyAlignment="1"/>
    <xf numFmtId="0" fontId="17" fillId="35" borderId="0" xfId="45" applyNumberFormat="1" applyFont="1" applyFill="1" applyBorder="1" applyAlignment="1"/>
    <xf numFmtId="0" fontId="17" fillId="35" borderId="30" xfId="45" applyNumberFormat="1" applyFont="1" applyFill="1" applyBorder="1" applyAlignment="1"/>
    <xf numFmtId="0" fontId="17" fillId="35" borderId="0" xfId="45" applyFont="1" applyFill="1" applyBorder="1" applyAlignment="1"/>
    <xf numFmtId="0" fontId="17" fillId="35" borderId="27" xfId="45" applyNumberFormat="1" applyFont="1" applyFill="1" applyBorder="1" applyAlignment="1"/>
    <xf numFmtId="0" fontId="17" fillId="35" borderId="28" xfId="45" applyNumberFormat="1" applyFont="1" applyFill="1" applyBorder="1" applyAlignment="1"/>
    <xf numFmtId="0" fontId="17" fillId="36" borderId="24" xfId="45" applyNumberFormat="1" applyFont="1" applyFill="1" applyBorder="1" applyAlignment="1"/>
    <xf numFmtId="0" fontId="17" fillId="36" borderId="25" xfId="45" applyNumberFormat="1" applyFont="1" applyFill="1" applyBorder="1" applyAlignment="1"/>
    <xf numFmtId="0" fontId="17" fillId="36" borderId="0" xfId="45" applyNumberFormat="1" applyFont="1" applyFill="1" applyBorder="1" applyAlignment="1"/>
    <xf numFmtId="0" fontId="17" fillId="36" borderId="30" xfId="45" applyNumberFormat="1" applyFont="1" applyFill="1" applyBorder="1" applyAlignment="1"/>
    <xf numFmtId="0" fontId="17" fillId="37" borderId="0" xfId="45" applyNumberFormat="1" applyFont="1" applyFill="1" applyBorder="1" applyAlignment="1"/>
    <xf numFmtId="0" fontId="17" fillId="38" borderId="0" xfId="45" applyNumberFormat="1" applyFont="1" applyFill="1" applyBorder="1" applyAlignment="1"/>
    <xf numFmtId="0" fontId="17" fillId="39" borderId="0" xfId="45" applyNumberFormat="1" applyFont="1" applyFill="1" applyBorder="1" applyAlignment="1"/>
    <xf numFmtId="0" fontId="17" fillId="0" borderId="23" xfId="45" applyNumberFormat="1" applyFont="1" applyFill="1" applyBorder="1" applyAlignment="1"/>
    <xf numFmtId="0" fontId="17" fillId="0" borderId="24" xfId="45" applyNumberFormat="1" applyFont="1" applyFill="1" applyBorder="1" applyAlignment="1"/>
    <xf numFmtId="0" fontId="17" fillId="0" borderId="25" xfId="45" applyNumberFormat="1" applyFont="1" applyFill="1" applyBorder="1" applyAlignment="1"/>
    <xf numFmtId="0" fontId="17" fillId="0" borderId="29" xfId="45" applyNumberFormat="1" applyFont="1" applyFill="1" applyBorder="1" applyAlignment="1"/>
    <xf numFmtId="0" fontId="17" fillId="0" borderId="0" xfId="45" applyNumberFormat="1" applyFont="1" applyFill="1" applyBorder="1" applyAlignment="1"/>
    <xf numFmtId="0" fontId="17" fillId="0" borderId="30" xfId="45" applyNumberFormat="1" applyFont="1" applyFill="1" applyBorder="1" applyAlignment="1"/>
    <xf numFmtId="14" fontId="17" fillId="0" borderId="0" xfId="45" quotePrefix="1" applyNumberFormat="1" applyFont="1" applyFill="1" applyBorder="1" applyAlignment="1"/>
    <xf numFmtId="0" fontId="17" fillId="37" borderId="30" xfId="45" applyNumberFormat="1" applyFont="1" applyFill="1" applyBorder="1" applyAlignment="1"/>
    <xf numFmtId="0" fontId="17" fillId="38" borderId="30" xfId="45" applyNumberFormat="1" applyFont="1" applyFill="1" applyBorder="1" applyAlignment="1"/>
    <xf numFmtId="0" fontId="17" fillId="39" borderId="30" xfId="45" applyNumberFormat="1" applyFont="1" applyFill="1" applyBorder="1" applyAlignment="1"/>
    <xf numFmtId="0" fontId="17" fillId="39" borderId="27" xfId="45" applyFont="1" applyFill="1" applyBorder="1" applyAlignment="1"/>
    <xf numFmtId="0" fontId="17" fillId="39" borderId="28" xfId="45" applyFont="1" applyFill="1" applyBorder="1" applyAlignment="1"/>
    <xf numFmtId="0" fontId="17" fillId="40" borderId="23" xfId="45" applyNumberFormat="1" applyFont="1" applyFill="1" applyBorder="1" applyAlignment="1"/>
    <xf numFmtId="0" fontId="17" fillId="40" borderId="24" xfId="45" applyNumberFormat="1" applyFont="1" applyFill="1" applyBorder="1" applyAlignment="1"/>
    <xf numFmtId="0" fontId="17" fillId="40" borderId="29" xfId="45" applyNumberFormat="1" applyFont="1" applyFill="1" applyBorder="1" applyAlignment="1"/>
    <xf numFmtId="0" fontId="17" fillId="40" borderId="0" xfId="45" applyNumberFormat="1" applyFont="1" applyFill="1" applyBorder="1" applyAlignment="1"/>
    <xf numFmtId="0" fontId="17" fillId="40" borderId="0" xfId="45" applyFont="1" applyFill="1" applyBorder="1" applyAlignment="1"/>
    <xf numFmtId="0" fontId="17" fillId="40" borderId="26" xfId="45" applyNumberFormat="1" applyFont="1" applyFill="1" applyBorder="1" applyAlignment="1"/>
    <xf numFmtId="0" fontId="17" fillId="40" borderId="27" xfId="45" applyNumberFormat="1" applyFont="1" applyFill="1" applyBorder="1" applyAlignment="1"/>
    <xf numFmtId="0" fontId="17" fillId="36" borderId="27" xfId="45" applyNumberFormat="1" applyFont="1" applyFill="1" applyBorder="1" applyAlignment="1"/>
    <xf numFmtId="14" fontId="17" fillId="36" borderId="27" xfId="45" quotePrefix="1" applyNumberFormat="1" applyFont="1" applyFill="1" applyBorder="1" applyAlignment="1"/>
    <xf numFmtId="0" fontId="17" fillId="36" borderId="28" xfId="45" applyNumberFormat="1" applyFont="1" applyFill="1" applyBorder="1" applyAlignment="1"/>
    <xf numFmtId="0" fontId="17" fillId="37" borderId="24" xfId="45" applyNumberFormat="1" applyFont="1" applyFill="1" applyBorder="1" applyAlignment="1"/>
    <xf numFmtId="14" fontId="17" fillId="37" borderId="25" xfId="45" quotePrefix="1" applyNumberFormat="1" applyFont="1" applyFill="1" applyBorder="1" applyAlignment="1"/>
    <xf numFmtId="0" fontId="17" fillId="37" borderId="27" xfId="45" applyNumberFormat="1" applyFont="1" applyFill="1" applyBorder="1" applyAlignment="1"/>
    <xf numFmtId="0" fontId="17" fillId="37" borderId="28" xfId="45" applyNumberFormat="1" applyFont="1" applyFill="1" applyBorder="1" applyAlignment="1"/>
    <xf numFmtId="0" fontId="17" fillId="40" borderId="24" xfId="45" applyFont="1" applyFill="1" applyBorder="1" applyAlignment="1"/>
    <xf numFmtId="0" fontId="17" fillId="38" borderId="24" xfId="45" applyNumberFormat="1" applyFont="1" applyFill="1" applyBorder="1" applyAlignment="1"/>
    <xf numFmtId="0" fontId="17" fillId="38" borderId="24" xfId="45" applyFont="1" applyFill="1" applyBorder="1" applyAlignment="1"/>
    <xf numFmtId="0" fontId="17" fillId="38" borderId="25" xfId="45" applyFont="1" applyFill="1" applyBorder="1" applyAlignment="1"/>
    <xf numFmtId="0" fontId="17" fillId="40" borderId="27" xfId="45" applyFont="1" applyFill="1" applyBorder="1" applyAlignment="1"/>
    <xf numFmtId="0" fontId="17" fillId="38" borderId="27" xfId="45" applyFont="1" applyFill="1" applyBorder="1" applyAlignment="1"/>
    <xf numFmtId="0" fontId="17" fillId="38" borderId="28" xfId="45" applyFont="1" applyFill="1" applyBorder="1" applyAlignment="1"/>
    <xf numFmtId="0" fontId="17" fillId="39" borderId="24" xfId="45" applyNumberFormat="1" applyFont="1" applyFill="1" applyBorder="1" applyAlignment="1"/>
    <xf numFmtId="0" fontId="17" fillId="39" borderId="24" xfId="45" applyFont="1" applyFill="1" applyBorder="1" applyAlignment="1"/>
    <xf numFmtId="0" fontId="17" fillId="39" borderId="25" xfId="45" applyFont="1" applyFill="1" applyBorder="1" applyAlignment="1"/>
    <xf numFmtId="0" fontId="22" fillId="24" borderId="11" xfId="47" applyFont="1" applyFill="1" applyBorder="1" applyAlignment="1">
      <alignment horizontal="center"/>
    </xf>
    <xf numFmtId="0" fontId="17" fillId="0" borderId="24" xfId="0" quotePrefix="1" applyFont="1" applyBorder="1"/>
    <xf numFmtId="0" fontId="17" fillId="0" borderId="22" xfId="0" applyFont="1" applyBorder="1"/>
    <xf numFmtId="0" fontId="17" fillId="41" borderId="24" xfId="46" applyFont="1" applyFill="1" applyBorder="1"/>
    <xf numFmtId="0" fontId="0" fillId="41" borderId="24" xfId="0" applyFill="1" applyBorder="1"/>
    <xf numFmtId="0" fontId="0" fillId="41" borderId="25" xfId="0" applyFill="1" applyBorder="1"/>
    <xf numFmtId="2" fontId="17" fillId="41" borderId="0" xfId="46" applyNumberFormat="1" applyFont="1" applyFill="1" applyBorder="1"/>
    <xf numFmtId="0" fontId="0" fillId="41" borderId="0" xfId="0" applyFill="1" applyBorder="1"/>
    <xf numFmtId="0" fontId="0" fillId="41" borderId="30" xfId="0" applyFill="1" applyBorder="1"/>
    <xf numFmtId="0" fontId="22" fillId="41" borderId="23" xfId="46" applyFont="1" applyFill="1" applyBorder="1"/>
    <xf numFmtId="0" fontId="22" fillId="41" borderId="29" xfId="46" applyFont="1" applyFill="1" applyBorder="1"/>
    <xf numFmtId="2" fontId="17" fillId="41" borderId="24" xfId="46" applyNumberFormat="1" applyFont="1" applyFill="1" applyBorder="1"/>
    <xf numFmtId="0" fontId="0" fillId="41" borderId="29" xfId="0" applyFill="1" applyBorder="1"/>
    <xf numFmtId="0" fontId="25" fillId="41" borderId="0" xfId="0" applyFont="1" applyFill="1" applyBorder="1"/>
    <xf numFmtId="0" fontId="0" fillId="41" borderId="26" xfId="0" applyFill="1" applyBorder="1"/>
    <xf numFmtId="0" fontId="0" fillId="41" borderId="27" xfId="0" applyFill="1" applyBorder="1"/>
    <xf numFmtId="0" fontId="0" fillId="41" borderId="28" xfId="0" applyFill="1" applyBorder="1"/>
    <xf numFmtId="0" fontId="17" fillId="25" borderId="29" xfId="49" applyFont="1" applyFill="1" applyBorder="1"/>
    <xf numFmtId="0" fontId="0" fillId="24" borderId="13" xfId="0" applyFill="1" applyBorder="1" applyAlignment="1">
      <alignment horizontal="center"/>
    </xf>
    <xf numFmtId="0" fontId="0" fillId="29" borderId="13" xfId="0" applyFill="1" applyBorder="1" applyAlignment="1">
      <alignment horizontal="center"/>
    </xf>
    <xf numFmtId="0" fontId="0" fillId="29" borderId="0" xfId="0" applyFill="1" applyBorder="1" applyAlignment="1">
      <alignment horizontal="center"/>
    </xf>
    <xf numFmtId="0" fontId="17" fillId="29" borderId="18" xfId="0" applyFont="1" applyFill="1" applyBorder="1" applyAlignment="1">
      <alignment horizontal="center"/>
    </xf>
    <xf numFmtId="0" fontId="0" fillId="29" borderId="18" xfId="0" applyFill="1" applyBorder="1" applyAlignment="1">
      <alignment horizontal="center"/>
    </xf>
    <xf numFmtId="0" fontId="17" fillId="24" borderId="13" xfId="46" applyFont="1" applyFill="1" applyBorder="1" applyAlignment="1">
      <alignment horizontal="center"/>
    </xf>
    <xf numFmtId="0" fontId="22" fillId="26" borderId="14" xfId="0" applyFont="1" applyFill="1" applyBorder="1" applyAlignment="1">
      <alignment horizontal="left"/>
    </xf>
    <xf numFmtId="0" fontId="22" fillId="26" borderId="19" xfId="0" applyFont="1" applyFill="1" applyBorder="1" applyAlignment="1">
      <alignment horizontal="left"/>
    </xf>
    <xf numFmtId="0" fontId="22" fillId="24" borderId="12" xfId="43" applyFont="1" applyFill="1" applyBorder="1"/>
    <xf numFmtId="0" fontId="22" fillId="24" borderId="13" xfId="43" applyFont="1" applyFill="1" applyBorder="1"/>
    <xf numFmtId="0" fontId="22" fillId="24" borderId="14" xfId="43" applyFont="1" applyFill="1" applyBorder="1"/>
    <xf numFmtId="0" fontId="17" fillId="0" borderId="0" xfId="43"/>
    <xf numFmtId="0" fontId="22" fillId="24" borderId="17" xfId="43" applyFont="1" applyFill="1" applyBorder="1" applyAlignment="1"/>
    <xf numFmtId="0" fontId="22" fillId="24" borderId="18" xfId="43" applyFont="1" applyFill="1" applyBorder="1" applyAlignment="1"/>
    <xf numFmtId="0" fontId="22" fillId="24" borderId="19" xfId="43" applyFont="1" applyFill="1" applyBorder="1" applyAlignment="1"/>
    <xf numFmtId="0" fontId="48" fillId="0" borderId="27" xfId="0" applyFont="1" applyBorder="1"/>
    <xf numFmtId="0" fontId="48" fillId="0" borderId="0" xfId="0" applyFont="1"/>
    <xf numFmtId="0" fontId="17" fillId="0" borderId="0" xfId="44" applyFont="1" applyBorder="1"/>
    <xf numFmtId="0" fontId="13" fillId="0" borderId="0" xfId="39" applyBorder="1" applyAlignment="1" applyProtection="1"/>
    <xf numFmtId="0" fontId="0" fillId="0" borderId="23" xfId="0" applyBorder="1" applyAlignment="1"/>
    <xf numFmtId="0" fontId="17" fillId="0" borderId="25" xfId="0" applyFont="1" applyBorder="1" applyAlignment="1"/>
    <xf numFmtId="0" fontId="0" fillId="0" borderId="24" xfId="0" applyBorder="1" applyAlignment="1"/>
    <xf numFmtId="0" fontId="0" fillId="0" borderId="25" xfId="0" applyBorder="1" applyAlignment="1"/>
    <xf numFmtId="0" fontId="0" fillId="0" borderId="29" xfId="0" applyBorder="1" applyAlignment="1"/>
    <xf numFmtId="0" fontId="0" fillId="0" borderId="30" xfId="0" applyBorder="1" applyAlignment="1"/>
    <xf numFmtId="0" fontId="0" fillId="0" borderId="26" xfId="0" applyBorder="1" applyAlignment="1"/>
    <xf numFmtId="0" fontId="0" fillId="0" borderId="27" xfId="0" applyBorder="1" applyAlignment="1"/>
    <xf numFmtId="0" fontId="0" fillId="0" borderId="28" xfId="0" applyBorder="1" applyAlignment="1"/>
    <xf numFmtId="0" fontId="17" fillId="0" borderId="0" xfId="0" applyFont="1" applyAlignment="1"/>
    <xf numFmtId="0" fontId="17" fillId="0" borderId="0" xfId="0" applyFont="1" applyFill="1" applyBorder="1" applyAlignment="1"/>
    <xf numFmtId="0" fontId="0" fillId="0" borderId="0" xfId="0" applyFont="1" applyFill="1" applyBorder="1" applyAlignment="1"/>
    <xf numFmtId="0" fontId="22" fillId="0" borderId="39" xfId="0" applyFont="1" applyBorder="1" applyAlignment="1">
      <alignment horizontal="center"/>
    </xf>
    <xf numFmtId="0" fontId="17" fillId="27" borderId="29" xfId="49" applyFont="1" applyFill="1" applyBorder="1" applyAlignment="1"/>
    <xf numFmtId="0" fontId="0" fillId="27" borderId="29" xfId="0" applyFill="1" applyBorder="1"/>
    <xf numFmtId="0" fontId="0" fillId="27" borderId="26" xfId="0" applyFill="1" applyBorder="1"/>
    <xf numFmtId="169" fontId="2" fillId="27" borderId="0" xfId="49" applyNumberFormat="1" applyFill="1" applyBorder="1" applyAlignment="1">
      <alignment horizontal="left"/>
    </xf>
    <xf numFmtId="169" fontId="2" fillId="27" borderId="30" xfId="49" applyNumberFormat="1" applyFill="1" applyBorder="1" applyAlignment="1">
      <alignment horizontal="left"/>
    </xf>
    <xf numFmtId="0" fontId="2" fillId="27" borderId="0" xfId="49" applyFont="1" applyFill="1" applyBorder="1" applyAlignment="1">
      <alignment horizontal="left"/>
    </xf>
    <xf numFmtId="0" fontId="2" fillId="27" borderId="30" xfId="49" applyFont="1" applyFill="1" applyBorder="1" applyAlignment="1">
      <alignment horizontal="left"/>
    </xf>
    <xf numFmtId="14" fontId="2" fillId="27" borderId="0" xfId="49" applyNumberFormat="1" applyFill="1" applyBorder="1" applyAlignment="1">
      <alignment horizontal="left"/>
    </xf>
    <xf numFmtId="14" fontId="2" fillId="27" borderId="30" xfId="49" applyNumberFormat="1" applyFill="1" applyBorder="1" applyAlignment="1">
      <alignment horizontal="left"/>
    </xf>
    <xf numFmtId="0" fontId="0" fillId="27" borderId="0" xfId="0" applyFill="1" applyBorder="1" applyAlignment="1">
      <alignment horizontal="left"/>
    </xf>
    <xf numFmtId="0" fontId="0" fillId="27" borderId="30" xfId="0" applyFill="1" applyBorder="1" applyAlignment="1">
      <alignment horizontal="left"/>
    </xf>
    <xf numFmtId="0" fontId="2" fillId="27" borderId="0" xfId="49" applyFill="1" applyBorder="1" applyAlignment="1">
      <alignment horizontal="left"/>
    </xf>
    <xf numFmtId="0" fontId="2" fillId="27" borderId="30" xfId="49" applyFill="1" applyBorder="1" applyAlignment="1">
      <alignment horizontal="left"/>
    </xf>
    <xf numFmtId="14" fontId="2" fillId="27" borderId="27" xfId="49" applyNumberFormat="1" applyFill="1" applyBorder="1" applyAlignment="1">
      <alignment horizontal="left"/>
    </xf>
    <xf numFmtId="14" fontId="2" fillId="27" borderId="28" xfId="49" applyNumberFormat="1" applyFill="1" applyBorder="1" applyAlignment="1">
      <alignment horizontal="left"/>
    </xf>
    <xf numFmtId="0" fontId="17" fillId="0" borderId="0" xfId="49" applyFont="1" applyAlignment="1">
      <alignment horizontal="left" indent="1"/>
    </xf>
    <xf numFmtId="169" fontId="17" fillId="0" borderId="0" xfId="49" applyNumberFormat="1" applyFont="1" applyFill="1" applyBorder="1" applyAlignment="1">
      <alignment horizontal="left" indent="1"/>
    </xf>
    <xf numFmtId="0" fontId="0" fillId="42" borderId="23" xfId="0" applyFill="1" applyBorder="1"/>
    <xf numFmtId="14" fontId="0" fillId="42" borderId="24" xfId="0" applyNumberFormat="1" applyFill="1" applyBorder="1"/>
    <xf numFmtId="14" fontId="0" fillId="42" borderId="25" xfId="0" applyNumberFormat="1" applyFill="1" applyBorder="1"/>
    <xf numFmtId="0" fontId="0" fillId="42" borderId="29" xfId="0" applyFill="1" applyBorder="1"/>
    <xf numFmtId="14" fontId="0" fillId="42" borderId="0" xfId="0" applyNumberFormat="1" applyFill="1" applyBorder="1"/>
    <xf numFmtId="14" fontId="0" fillId="42" borderId="30" xfId="0" applyNumberFormat="1" applyFill="1" applyBorder="1"/>
    <xf numFmtId="0" fontId="2" fillId="42" borderId="29" xfId="49" applyFont="1" applyFill="1" applyBorder="1"/>
    <xf numFmtId="0" fontId="17" fillId="42" borderId="0" xfId="49" applyFont="1" applyFill="1" applyBorder="1"/>
    <xf numFmtId="2" fontId="2" fillId="42" borderId="0" xfId="52" applyNumberFormat="1" applyFont="1" applyFill="1" applyBorder="1"/>
    <xf numFmtId="14" fontId="2" fillId="42" borderId="30" xfId="49" applyNumberFormat="1" applyFill="1" applyBorder="1"/>
    <xf numFmtId="0" fontId="0" fillId="42" borderId="0" xfId="0" applyFill="1" applyBorder="1"/>
    <xf numFmtId="3" fontId="2" fillId="42" borderId="30" xfId="52" applyNumberFormat="1" applyFont="1" applyFill="1" applyBorder="1"/>
    <xf numFmtId="0" fontId="2" fillId="42" borderId="0" xfId="49" applyFill="1" applyBorder="1"/>
    <xf numFmtId="2" fontId="2" fillId="42" borderId="0" xfId="52" applyNumberFormat="1" applyFill="1" applyBorder="1"/>
    <xf numFmtId="3" fontId="2" fillId="42" borderId="30" xfId="52" applyNumberFormat="1" applyFill="1" applyBorder="1"/>
    <xf numFmtId="2" fontId="0" fillId="42" borderId="0" xfId="0" applyNumberFormat="1" applyFill="1" applyBorder="1"/>
    <xf numFmtId="10" fontId="2" fillId="42" borderId="30" xfId="52" applyNumberFormat="1" applyFont="1" applyFill="1" applyBorder="1"/>
    <xf numFmtId="0" fontId="2" fillId="42" borderId="29" xfId="49" applyFill="1" applyBorder="1"/>
    <xf numFmtId="14" fontId="2" fillId="42" borderId="0" xfId="49" applyNumberFormat="1" applyFill="1" applyBorder="1"/>
    <xf numFmtId="0" fontId="2" fillId="42" borderId="0" xfId="49" applyNumberFormat="1" applyFont="1" applyFill="1" applyBorder="1"/>
    <xf numFmtId="175" fontId="2" fillId="42" borderId="0" xfId="49" applyNumberFormat="1" applyFill="1" applyBorder="1"/>
    <xf numFmtId="175" fontId="2" fillId="42" borderId="30" xfId="49" applyNumberFormat="1" applyFill="1" applyBorder="1"/>
    <xf numFmtId="4" fontId="2" fillId="42" borderId="0" xfId="52" applyNumberFormat="1" applyFill="1" applyBorder="1"/>
    <xf numFmtId="4" fontId="2" fillId="42" borderId="30" xfId="52" applyNumberFormat="1" applyFill="1" applyBorder="1"/>
    <xf numFmtId="168" fontId="2" fillId="42" borderId="0" xfId="52" applyNumberFormat="1" applyFill="1" applyBorder="1"/>
    <xf numFmtId="168" fontId="2" fillId="42" borderId="30" xfId="52" applyNumberFormat="1" applyFill="1" applyBorder="1"/>
    <xf numFmtId="4" fontId="2" fillId="42" borderId="0" xfId="52" applyNumberFormat="1" applyFont="1" applyFill="1" applyBorder="1"/>
    <xf numFmtId="0" fontId="2" fillId="42" borderId="30" xfId="52" applyNumberFormat="1" applyFill="1" applyBorder="1"/>
    <xf numFmtId="1" fontId="0" fillId="42" borderId="0" xfId="0" applyNumberFormat="1" applyFill="1" applyBorder="1"/>
    <xf numFmtId="0" fontId="0" fillId="42" borderId="30" xfId="0" applyNumberFormat="1" applyFill="1" applyBorder="1"/>
    <xf numFmtId="0" fontId="0" fillId="42" borderId="26" xfId="0" applyFill="1" applyBorder="1"/>
    <xf numFmtId="1" fontId="0" fillId="42" borderId="27" xfId="0" applyNumberFormat="1" applyFill="1" applyBorder="1"/>
    <xf numFmtId="2" fontId="0" fillId="42" borderId="28" xfId="0" applyNumberFormat="1" applyFill="1" applyBorder="1"/>
    <xf numFmtId="14" fontId="22" fillId="0" borderId="39" xfId="49" applyNumberFormat="1" applyFont="1" applyBorder="1" applyAlignment="1">
      <alignment horizontal="center"/>
    </xf>
    <xf numFmtId="0" fontId="17" fillId="0" borderId="0" xfId="0" applyFont="1" applyAlignment="1">
      <alignment horizontal="left" indent="1"/>
    </xf>
    <xf numFmtId="0" fontId="0" fillId="0" borderId="0" xfId="0" applyFill="1" applyAlignment="1">
      <alignment horizontal="left" indent="1"/>
    </xf>
    <xf numFmtId="0" fontId="17" fillId="0" borderId="0" xfId="0" applyFont="1" applyFill="1" applyAlignment="1">
      <alignment horizontal="left" indent="1"/>
    </xf>
    <xf numFmtId="0" fontId="17" fillId="41" borderId="23" xfId="46" applyFont="1" applyFill="1" applyBorder="1"/>
    <xf numFmtId="0" fontId="17" fillId="41" borderId="29" xfId="46" applyFont="1" applyFill="1" applyBorder="1"/>
    <xf numFmtId="0" fontId="49" fillId="41" borderId="0" xfId="0" applyFont="1" applyFill="1" applyBorder="1" applyAlignment="1">
      <alignment horizontal="left" indent="1"/>
    </xf>
    <xf numFmtId="0" fontId="0" fillId="41" borderId="0" xfId="0" applyFill="1" applyBorder="1" applyAlignment="1">
      <alignment horizontal="left" indent="1"/>
    </xf>
    <xf numFmtId="167" fontId="17" fillId="41" borderId="0" xfId="46" applyNumberFormat="1" applyFont="1" applyFill="1" applyBorder="1" applyAlignment="1">
      <alignment horizontal="left"/>
    </xf>
    <xf numFmtId="0" fontId="17" fillId="41" borderId="26" xfId="46" applyFont="1" applyFill="1" applyBorder="1" applyAlignment="1">
      <alignment horizontal="left" indent="2"/>
    </xf>
    <xf numFmtId="167" fontId="17" fillId="41" borderId="27" xfId="46" applyNumberFormat="1" applyFont="1" applyFill="1" applyBorder="1" applyAlignment="1">
      <alignment horizontal="left"/>
    </xf>
    <xf numFmtId="0" fontId="22" fillId="24" borderId="53" xfId="0" applyFont="1" applyFill="1" applyBorder="1"/>
    <xf numFmtId="0" fontId="17" fillId="24" borderId="22" xfId="0" applyFont="1" applyFill="1" applyBorder="1"/>
    <xf numFmtId="0" fontId="17" fillId="24" borderId="54" xfId="0" applyFont="1" applyFill="1" applyBorder="1"/>
    <xf numFmtId="3" fontId="17" fillId="0" borderId="0" xfId="0" applyNumberFormat="1" applyFont="1" applyBorder="1"/>
    <xf numFmtId="10" fontId="17" fillId="0" borderId="0" xfId="52" applyNumberFormat="1" applyFont="1" applyBorder="1"/>
    <xf numFmtId="8" fontId="17" fillId="0" borderId="0" xfId="0" applyNumberFormat="1" applyFont="1" applyBorder="1"/>
    <xf numFmtId="0" fontId="17" fillId="25" borderId="29" xfId="0" applyFont="1" applyFill="1" applyBorder="1" applyAlignment="1">
      <alignment horizontal="left" indent="1"/>
    </xf>
    <xf numFmtId="0" fontId="17" fillId="25" borderId="24" xfId="0" applyFont="1" applyFill="1" applyBorder="1" applyAlignment="1">
      <alignment horizontal="left" indent="1"/>
    </xf>
    <xf numFmtId="0" fontId="17" fillId="25" borderId="29" xfId="0" applyFont="1" applyFill="1" applyBorder="1" applyAlignment="1">
      <alignment horizontal="left" indent="2"/>
    </xf>
    <xf numFmtId="0" fontId="36" fillId="25" borderId="0" xfId="0" applyFont="1" applyFill="1" applyBorder="1" applyAlignment="1">
      <alignment horizontal="left" indent="2"/>
    </xf>
    <xf numFmtId="0" fontId="17" fillId="25" borderId="30" xfId="0" applyFont="1" applyFill="1" applyBorder="1" applyAlignment="1">
      <alignment horizontal="left" indent="2"/>
    </xf>
    <xf numFmtId="0" fontId="17" fillId="0" borderId="0" xfId="0" applyFont="1" applyAlignment="1">
      <alignment horizontal="left" indent="2"/>
    </xf>
    <xf numFmtId="0" fontId="17" fillId="0" borderId="0" xfId="0" applyFont="1" applyFill="1" applyAlignment="1">
      <alignment horizontal="left" indent="2"/>
    </xf>
    <xf numFmtId="0" fontId="17" fillId="25" borderId="29" xfId="0" applyFont="1" applyFill="1" applyBorder="1" applyAlignment="1">
      <alignment horizontal="left" indent="3"/>
    </xf>
    <xf numFmtId="0" fontId="17" fillId="24" borderId="23" xfId="0" applyFont="1" applyFill="1" applyBorder="1"/>
    <xf numFmtId="0" fontId="48" fillId="0" borderId="0" xfId="0" applyFont="1" applyAlignment="1">
      <alignment horizontal="center"/>
    </xf>
    <xf numFmtId="0" fontId="50" fillId="0" borderId="0" xfId="0" applyFont="1"/>
    <xf numFmtId="0" fontId="50" fillId="0" borderId="0" xfId="0" applyFont="1" applyAlignment="1">
      <alignment horizontal="left"/>
    </xf>
    <xf numFmtId="0" fontId="51" fillId="0" borderId="0" xfId="0" applyFont="1"/>
    <xf numFmtId="43" fontId="0" fillId="0" borderId="0" xfId="0" applyNumberFormat="1" applyAlignment="1">
      <alignment horizontal="center"/>
    </xf>
    <xf numFmtId="0" fontId="0" fillId="0" borderId="0" xfId="0" applyAlignment="1">
      <alignment horizontal="left" indent="1"/>
    </xf>
    <xf numFmtId="0" fontId="0" fillId="0" borderId="0" xfId="0" applyAlignment="1">
      <alignment horizontal="left" indent="2"/>
    </xf>
    <xf numFmtId="177" fontId="0" fillId="0" borderId="0" xfId="0" applyNumberFormat="1" applyAlignment="1">
      <alignment horizontal="center"/>
    </xf>
    <xf numFmtId="0" fontId="51" fillId="0" borderId="0" xfId="0" applyFont="1" applyAlignment="1">
      <alignment horizontal="left" indent="1"/>
    </xf>
    <xf numFmtId="0" fontId="51" fillId="0" borderId="0" xfId="0" applyFont="1" applyAlignment="1">
      <alignment horizontal="left"/>
    </xf>
    <xf numFmtId="0" fontId="17" fillId="0" borderId="0" xfId="43" applyAlignment="1">
      <alignment horizontal="left" indent="1"/>
    </xf>
    <xf numFmtId="0" fontId="48" fillId="0" borderId="0" xfId="43" applyFont="1"/>
    <xf numFmtId="0" fontId="52" fillId="0" borderId="0" xfId="0" applyFont="1" applyAlignment="1">
      <alignment horizontal="left"/>
    </xf>
    <xf numFmtId="165" fontId="0" fillId="0" borderId="0" xfId="53" applyNumberFormat="1" applyFont="1"/>
    <xf numFmtId="0" fontId="53" fillId="0" borderId="0" xfId="43" applyFont="1"/>
    <xf numFmtId="178" fontId="0" fillId="0" borderId="0" xfId="31" applyNumberFormat="1" applyFont="1"/>
    <xf numFmtId="178" fontId="17" fillId="0" borderId="0" xfId="43" applyNumberFormat="1"/>
    <xf numFmtId="179" fontId="17" fillId="0" borderId="0" xfId="43" applyNumberFormat="1"/>
    <xf numFmtId="8" fontId="17" fillId="0" borderId="0" xfId="43" applyNumberFormat="1"/>
    <xf numFmtId="8" fontId="0" fillId="0" borderId="0" xfId="0" applyNumberFormat="1"/>
    <xf numFmtId="180" fontId="17" fillId="0" borderId="0" xfId="43" applyNumberFormat="1"/>
    <xf numFmtId="0" fontId="48" fillId="0" borderId="0" xfId="43" quotePrefix="1" applyFont="1"/>
    <xf numFmtId="0" fontId="0" fillId="0" borderId="0" xfId="0" applyNumberFormat="1" applyAlignment="1">
      <alignment horizontal="center"/>
    </xf>
    <xf numFmtId="43" fontId="0" fillId="0" borderId="0" xfId="29" applyFont="1"/>
    <xf numFmtId="43" fontId="17" fillId="0" borderId="0" xfId="43" applyNumberFormat="1"/>
    <xf numFmtId="0" fontId="17" fillId="0" borderId="0" xfId="43" applyFill="1"/>
    <xf numFmtId="0" fontId="0" fillId="0" borderId="0" xfId="0" applyFill="1" applyAlignment="1">
      <alignment horizontal="center"/>
    </xf>
    <xf numFmtId="0" fontId="51" fillId="0" borderId="0" xfId="0" applyFont="1" applyFill="1"/>
    <xf numFmtId="0" fontId="0" fillId="0" borderId="0" xfId="0" applyFill="1" applyAlignment="1">
      <alignment horizontal="left" indent="2"/>
    </xf>
    <xf numFmtId="0" fontId="0" fillId="0" borderId="0" xfId="28" applyNumberFormat="1" applyFont="1" applyAlignment="1">
      <alignment horizontal="center"/>
    </xf>
    <xf numFmtId="0" fontId="17" fillId="43" borderId="0" xfId="43" applyFill="1" applyAlignment="1">
      <alignment horizontal="left" indent="1"/>
    </xf>
    <xf numFmtId="0" fontId="0" fillId="43" borderId="0" xfId="0" applyFill="1" applyAlignment="1">
      <alignment horizontal="center"/>
    </xf>
    <xf numFmtId="0" fontId="51" fillId="43" borderId="0" xfId="0" applyFont="1" applyFill="1"/>
    <xf numFmtId="0" fontId="0" fillId="43" borderId="0" xfId="0" applyFill="1"/>
    <xf numFmtId="0" fontId="0" fillId="0" borderId="0" xfId="49" applyFont="1"/>
    <xf numFmtId="0" fontId="48" fillId="0" borderId="27" xfId="0" applyFont="1" applyBorder="1" applyAlignment="1">
      <alignment horizontal="center"/>
    </xf>
    <xf numFmtId="0" fontId="50" fillId="0" borderId="27" xfId="0" applyFont="1" applyBorder="1"/>
    <xf numFmtId="0" fontId="54" fillId="0" borderId="0" xfId="44" applyFont="1" applyAlignment="1">
      <alignment horizontal="left" indent="1"/>
    </xf>
    <xf numFmtId="0" fontId="17" fillId="0" borderId="0" xfId="44"/>
    <xf numFmtId="0" fontId="54" fillId="0" borderId="0" xfId="44" applyFont="1"/>
    <xf numFmtId="0" fontId="55" fillId="0" borderId="0" xfId="57" applyFont="1"/>
    <xf numFmtId="0" fontId="1" fillId="0" borderId="0" xfId="57"/>
    <xf numFmtId="0" fontId="48" fillId="0" borderId="0" xfId="57" applyFont="1"/>
    <xf numFmtId="0" fontId="1" fillId="0" borderId="0" xfId="57" applyFill="1"/>
    <xf numFmtId="0" fontId="1" fillId="0" borderId="0" xfId="57" applyFont="1"/>
    <xf numFmtId="0" fontId="56" fillId="47" borderId="0" xfId="58"/>
    <xf numFmtId="0" fontId="17" fillId="0" borderId="0" xfId="57" applyFont="1" applyFill="1" applyAlignment="1">
      <alignment horizontal="left"/>
    </xf>
    <xf numFmtId="0" fontId="1" fillId="0" borderId="0" xfId="57" quotePrefix="1"/>
    <xf numFmtId="0" fontId="0" fillId="44" borderId="0" xfId="0" applyFill="1"/>
    <xf numFmtId="0" fontId="0" fillId="45" borderId="0" xfId="0" applyFill="1"/>
    <xf numFmtId="0" fontId="0" fillId="46" borderId="0" xfId="0" applyFill="1"/>
    <xf numFmtId="0" fontId="17" fillId="41" borderId="0" xfId="46" applyFont="1" applyFill="1" applyBorder="1"/>
    <xf numFmtId="0" fontId="40" fillId="32" borderId="29" xfId="0" applyFont="1" applyFill="1" applyBorder="1" applyAlignment="1"/>
    <xf numFmtId="0" fontId="40" fillId="32" borderId="0" xfId="0" applyFont="1" applyFill="1" applyBorder="1" applyAlignment="1"/>
    <xf numFmtId="0" fontId="40" fillId="32" borderId="30" xfId="0" applyFont="1" applyFill="1" applyBorder="1" applyAlignment="1"/>
    <xf numFmtId="0" fontId="2" fillId="25" borderId="29" xfId="0" applyFont="1" applyFill="1" applyBorder="1" applyAlignment="1">
      <alignment horizontal="left" indent="2"/>
    </xf>
    <xf numFmtId="0" fontId="2" fillId="25" borderId="29" xfId="0" applyFont="1" applyFill="1" applyBorder="1"/>
    <xf numFmtId="0" fontId="57" fillId="32" borderId="23" xfId="43" applyFont="1" applyFill="1" applyBorder="1" applyAlignment="1"/>
    <xf numFmtId="0" fontId="57" fillId="32" borderId="24" xfId="43" applyFont="1" applyFill="1" applyBorder="1" applyAlignment="1"/>
    <xf numFmtId="0" fontId="57" fillId="32" borderId="25" xfId="43" applyFont="1" applyFill="1" applyBorder="1" applyAlignment="1"/>
    <xf numFmtId="0" fontId="58" fillId="0" borderId="0" xfId="43" applyFont="1"/>
    <xf numFmtId="0" fontId="57" fillId="32" borderId="0" xfId="43" applyFont="1" applyFill="1" applyBorder="1" applyAlignment="1"/>
    <xf numFmtId="0" fontId="58" fillId="0" borderId="0" xfId="43" applyFont="1" applyBorder="1"/>
    <xf numFmtId="0" fontId="57" fillId="32" borderId="26" xfId="43" applyFont="1" applyFill="1" applyBorder="1" applyAlignment="1"/>
    <xf numFmtId="0" fontId="57" fillId="32" borderId="27" xfId="43" applyFont="1" applyFill="1" applyBorder="1" applyAlignment="1"/>
    <xf numFmtId="0" fontId="57" fillId="32" borderId="28" xfId="43" applyFont="1" applyFill="1" applyBorder="1" applyAlignment="1"/>
    <xf numFmtId="0" fontId="58" fillId="0" borderId="0" xfId="43" quotePrefix="1" applyFont="1"/>
    <xf numFmtId="1" fontId="58" fillId="0" borderId="0" xfId="43" applyNumberFormat="1" applyFont="1"/>
    <xf numFmtId="0" fontId="58" fillId="35" borderId="0" xfId="43" applyFont="1" applyFill="1"/>
    <xf numFmtId="1" fontId="58" fillId="0" borderId="0" xfId="29" applyNumberFormat="1" applyFont="1" applyFill="1"/>
    <xf numFmtId="1" fontId="58" fillId="0" borderId="0" xfId="43" applyNumberFormat="1" applyFont="1" applyFill="1"/>
    <xf numFmtId="3" fontId="58" fillId="0" borderId="0" xfId="43" applyNumberFormat="1" applyFont="1"/>
    <xf numFmtId="0" fontId="58" fillId="0" borderId="0" xfId="43" applyFont="1" applyFill="1"/>
    <xf numFmtId="0" fontId="17" fillId="25" borderId="24" xfId="0" applyFont="1" applyFill="1" applyBorder="1" applyAlignment="1">
      <alignment vertical="top" wrapText="1"/>
    </xf>
    <xf numFmtId="0" fontId="17" fillId="0" borderId="24" xfId="0" applyFont="1" applyBorder="1" applyAlignment="1">
      <alignment vertical="top" wrapText="1"/>
    </xf>
    <xf numFmtId="0" fontId="17" fillId="0" borderId="25" xfId="0" applyFont="1" applyBorder="1" applyAlignment="1">
      <alignment vertical="top" wrapText="1"/>
    </xf>
    <xf numFmtId="0" fontId="17" fillId="0" borderId="0" xfId="0" applyFont="1" applyBorder="1" applyAlignment="1">
      <alignment vertical="top" wrapText="1"/>
    </xf>
    <xf numFmtId="0" fontId="17" fillId="0" borderId="30" xfId="0" applyFont="1" applyBorder="1" applyAlignment="1">
      <alignment vertical="top" wrapText="1"/>
    </xf>
    <xf numFmtId="0" fontId="17" fillId="0" borderId="27" xfId="0" applyFont="1" applyBorder="1" applyAlignment="1">
      <alignment vertical="top" wrapText="1"/>
    </xf>
    <xf numFmtId="0" fontId="17" fillId="0" borderId="28" xfId="0" applyFont="1" applyBorder="1" applyAlignment="1">
      <alignment vertical="top" wrapText="1"/>
    </xf>
    <xf numFmtId="0" fontId="22" fillId="26" borderId="10" xfId="0" applyFont="1" applyFill="1" applyBorder="1" applyAlignment="1">
      <alignment horizontal="center"/>
    </xf>
    <xf numFmtId="0" fontId="0" fillId="0" borderId="11" xfId="0" applyBorder="1" applyAlignment="1"/>
    <xf numFmtId="0" fontId="0" fillId="0" borderId="20" xfId="0" applyBorder="1" applyAlignment="1"/>
    <xf numFmtId="0" fontId="22" fillId="26" borderId="17" xfId="0" applyFont="1" applyFill="1" applyBorder="1" applyAlignment="1">
      <alignment horizontal="center"/>
    </xf>
    <xf numFmtId="0" fontId="0" fillId="0" borderId="18" xfId="0" applyBorder="1" applyAlignment="1"/>
    <xf numFmtId="0" fontId="22" fillId="24" borderId="10" xfId="0" applyFont="1" applyFill="1" applyBorder="1" applyAlignment="1">
      <alignment horizontal="center"/>
    </xf>
    <xf numFmtId="0" fontId="0" fillId="0" borderId="11" xfId="0" applyBorder="1" applyAlignment="1">
      <alignment horizontal="center"/>
    </xf>
    <xf numFmtId="0" fontId="0" fillId="0" borderId="20" xfId="0" applyBorder="1" applyAlignment="1">
      <alignment horizontal="center"/>
    </xf>
    <xf numFmtId="0" fontId="22" fillId="24" borderId="17" xfId="0" applyFont="1" applyFill="1" applyBorder="1" applyAlignment="1">
      <alignment horizontal="center"/>
    </xf>
    <xf numFmtId="0" fontId="0" fillId="0" borderId="18" xfId="0" applyBorder="1" applyAlignment="1">
      <alignment horizontal="center"/>
    </xf>
    <xf numFmtId="0" fontId="0" fillId="0" borderId="19" xfId="0" applyBorder="1" applyAlignment="1">
      <alignment horizontal="center"/>
    </xf>
    <xf numFmtId="0" fontId="22" fillId="24" borderId="11" xfId="0" applyFont="1" applyFill="1" applyBorder="1" applyAlignment="1"/>
    <xf numFmtId="0" fontId="22" fillId="24" borderId="20" xfId="0" applyFont="1" applyFill="1" applyBorder="1" applyAlignment="1"/>
    <xf numFmtId="0" fontId="22" fillId="24" borderId="18" xfId="0" applyFont="1" applyFill="1" applyBorder="1" applyAlignment="1"/>
    <xf numFmtId="0" fontId="22" fillId="24" borderId="19" xfId="0" applyFont="1" applyFill="1" applyBorder="1" applyAlignment="1"/>
    <xf numFmtId="0" fontId="0" fillId="0" borderId="0" xfId="0" applyAlignment="1">
      <alignment vertical="top" wrapText="1"/>
    </xf>
    <xf numFmtId="0" fontId="0" fillId="0" borderId="13" xfId="0" applyBorder="1" applyAlignment="1">
      <alignment vertical="top" wrapText="1"/>
    </xf>
    <xf numFmtId="0" fontId="0" fillId="0" borderId="18" xfId="0" applyBorder="1" applyAlignment="1">
      <alignment vertical="top" wrapText="1"/>
    </xf>
    <xf numFmtId="0" fontId="0" fillId="0" borderId="0" xfId="0" applyAlignment="1"/>
    <xf numFmtId="0" fontId="0" fillId="0" borderId="13" xfId="0" applyBorder="1" applyAlignment="1"/>
    <xf numFmtId="0" fontId="0" fillId="0" borderId="19" xfId="0" applyBorder="1" applyAlignment="1"/>
    <xf numFmtId="0" fontId="2" fillId="25" borderId="15" xfId="0" applyFont="1" applyFill="1" applyBorder="1"/>
  </cellXfs>
  <cellStyles count="5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Bad 2" xfId="58"/>
    <cellStyle name="Calculation" xfId="26" builtinId="22" customBuiltin="1"/>
    <cellStyle name="Check Cell" xfId="27" builtinId="23" customBuiltin="1"/>
    <cellStyle name="Comma" xfId="28" builtinId="3"/>
    <cellStyle name="Comma 2" xfId="29"/>
    <cellStyle name="Currency" xfId="30" builtinId="4"/>
    <cellStyle name="Currency 2" xfId="31"/>
    <cellStyle name="Currency_RBL - GPF" xfId="32"/>
    <cellStyle name="Explanatory Text" xfId="33" builtinId="53" customBuiltin="1"/>
    <cellStyle name="Good" xfId="34" builtinId="26" customBuiltin="1"/>
    <cellStyle name="Heading 1" xfId="35" builtinId="16" customBuiltin="1"/>
    <cellStyle name="Heading 2" xfId="36" builtinId="17" customBuiltin="1"/>
    <cellStyle name="Heading 3" xfId="37" builtinId="18" customBuiltin="1"/>
    <cellStyle name="Heading 4" xfId="38" builtinId="19" customBuiltin="1"/>
    <cellStyle name="Hyperlink" xfId="39" builtinId="8"/>
    <cellStyle name="Input" xfId="40" builtinId="20" customBuiltin="1"/>
    <cellStyle name="Linked Cell" xfId="41" builtinId="24" customBuiltin="1"/>
    <cellStyle name="Neutral" xfId="42" builtinId="28" customBuiltin="1"/>
    <cellStyle name="Normal" xfId="0" builtinId="0"/>
    <cellStyle name="Normal 2" xfId="43"/>
    <cellStyle name="Normal 3" xfId="44"/>
    <cellStyle name="Normal 4" xfId="57"/>
    <cellStyle name="Normal_Buck_Eskaton" xfId="45"/>
    <cellStyle name="Normal_Input" xfId="46"/>
    <cellStyle name="Normal_Input 2" xfId="47"/>
    <cellStyle name="Normal_Mellon_BOW_SE" xfId="48"/>
    <cellStyle name="Normal_RBL" xfId="49"/>
    <cellStyle name="Note" xfId="50" builtinId="10" customBuiltin="1"/>
    <cellStyle name="Output" xfId="51" builtinId="21" customBuiltin="1"/>
    <cellStyle name="Percent" xfId="52" builtinId="5"/>
    <cellStyle name="Percent 2" xfId="53"/>
    <cellStyle name="Title" xfId="54" builtinId="15" customBuiltin="1"/>
    <cellStyle name="Total" xfId="55" builtinId="25" customBuiltin="1"/>
    <cellStyle name="Warning Text" xfId="56"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terry.aney/Desktop/Buck_ValleyHospital_SE.xls"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Library" Target="BTRTools/RBL.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BLInfo"/>
      <sheetName val="RBLInput"/>
      <sheetName val="RBLUpdate"/>
      <sheetName val="RBLResult"/>
      <sheetName val="RBLWorkTables"/>
      <sheetName val="RBLBenCalc"/>
      <sheetName val="RBLReport_LS"/>
      <sheetName val="Calc"/>
      <sheetName val="Inputs"/>
      <sheetName val="Results"/>
      <sheetName val="ER Schedule"/>
      <sheetName val="SSLIO"/>
      <sheetName val="RBLReport_Export"/>
      <sheetName val="RBLReport_TV"/>
      <sheetName val="RBLMinibatch"/>
      <sheetName val="RBLUpdate_AWS"/>
      <sheetName val="RBLReport_AWS"/>
      <sheetName val="Sheet1"/>
    </sheetNames>
    <sheetDataSet>
      <sheetData sheetId="0"/>
      <sheetData sheetId="1">
        <row r="108">
          <cell r="E108">
            <v>2</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History"/>
      <sheetName val="_HiddenBTR"/>
    </sheetNames>
    <definedNames>
      <definedName name="AddYears"/>
      <definedName name="AgeAtDate"/>
      <definedName name="CopyFormula"/>
      <definedName name="FormatValue"/>
      <definedName name="GetDataConfig"/>
      <definedName name="GetMappingOrdinal"/>
      <definedName name="GetMappingValue"/>
      <definedName name="GetProfileDate"/>
      <definedName name="GetProfileNumber"/>
      <definedName name="GetProfileString"/>
      <definedName name="InStrings"/>
      <definedName name="IsNull"/>
      <definedName name="NewValueNumber"/>
      <definedName name="PadLeft"/>
      <definedName name="StringFormat"/>
      <definedName name="ToDate"/>
      <definedName name="Tonumber"/>
      <definedName name="ToString"/>
    </definedNames>
    <sheetDataSet>
      <sheetData sheetId="0"/>
      <sheetData sheetId="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3" Type="http://schemas.openxmlformats.org/officeDocument/2006/relationships/hyperlink" Target="mailto:Address/@City" TargetMode="External"/><Relationship Id="rId2" Type="http://schemas.openxmlformats.org/officeDocument/2006/relationships/hyperlink" Target="mailto:Address/@AddressLine2" TargetMode="External"/><Relationship Id="rId1" Type="http://schemas.openxmlformats.org/officeDocument/2006/relationships/hyperlink" Target="mailto:Address/@AddressLine1" TargetMode="External"/><Relationship Id="rId4" Type="http://schemas.openxmlformats.org/officeDocument/2006/relationships/hyperlink" Target="mailto:../@BeginDate" TargetMode="External"/></Relationships>
</file>

<file path=xl/worksheets/_rels/sheet17.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8.bin"/></Relationships>
</file>

<file path=xl/worksheets/_rels/sheet22.xml.rels><?xml version="1.0" encoding="UTF-8" standalone="yes"?>
<Relationships xmlns="http://schemas.openxmlformats.org/package/2006/relationships"><Relationship Id="rId3" Type="http://schemas.openxmlformats.org/officeDocument/2006/relationships/hyperlink" Target="https://www.benefitadmin.com/azi" TargetMode="External"/><Relationship Id="rId2" Type="http://schemas.openxmlformats.org/officeDocument/2006/relationships/hyperlink" Target="http://www.ssa.gov/" TargetMode="External"/><Relationship Id="rId1" Type="http://schemas.openxmlformats.org/officeDocument/2006/relationships/hyperlink" Target="https://www.benefitadmin.com/azi" TargetMode="External"/><Relationship Id="rId6" Type="http://schemas.openxmlformats.org/officeDocument/2006/relationships/comments" Target="../comments13.xml"/><Relationship Id="rId5" Type="http://schemas.openxmlformats.org/officeDocument/2006/relationships/vmlDrawing" Target="../drawings/vmlDrawing13.vml"/><Relationship Id="rId4" Type="http://schemas.openxmlformats.org/officeDocument/2006/relationships/printerSettings" Target="../printerSettings/printerSettings19.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8" Type="http://schemas.openxmlformats.org/officeDocument/2006/relationships/comments" Target="../comments16.xml"/><Relationship Id="rId3" Type="http://schemas.openxmlformats.org/officeDocument/2006/relationships/hyperlink" Target="http://www.ssa.gov/" TargetMode="External"/><Relationship Id="rId7" Type="http://schemas.openxmlformats.org/officeDocument/2006/relationships/vmlDrawing" Target="../drawings/vmlDrawing16.vml"/><Relationship Id="rId2" Type="http://schemas.openxmlformats.org/officeDocument/2006/relationships/hyperlink" Target="http://www.ssa.gov/" TargetMode="External"/><Relationship Id="rId1" Type="http://schemas.openxmlformats.org/officeDocument/2006/relationships/hyperlink" Target="https://www.myseverancebenefits.com/azi" TargetMode="External"/><Relationship Id="rId6" Type="http://schemas.openxmlformats.org/officeDocument/2006/relationships/printerSettings" Target="../printerSettings/printerSettings22.bin"/><Relationship Id="rId5" Type="http://schemas.openxmlformats.org/officeDocument/2006/relationships/hyperlink" Target="http://eactuary.mellon.com/intro.html" TargetMode="External"/><Relationship Id="rId4" Type="http://schemas.openxmlformats.org/officeDocument/2006/relationships/hyperlink" Target="https://www.benefitadmin.com/azi/fr" TargetMode="External"/></Relationships>
</file>

<file path=xl/worksheets/_rels/sheet26.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3" Type="http://schemas.openxmlformats.org/officeDocument/2006/relationships/vmlDrawing" Target="../drawings/vmlDrawing18.vml"/><Relationship Id="rId2" Type="http://schemas.openxmlformats.org/officeDocument/2006/relationships/printerSettings" Target="../printerSettings/printerSettings24.bin"/><Relationship Id="rId1" Type="http://schemas.openxmlformats.org/officeDocument/2006/relationships/hyperlink" Target="mailto:terry.aney@charter.net" TargetMode="External"/><Relationship Id="rId4" Type="http://schemas.openxmlformats.org/officeDocument/2006/relationships/comments" Target="../comments18.xml"/></Relationships>
</file>

<file path=xl/worksheets/_rels/sheet28.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benefitmodeling.com/client_test" TargetMode="External"/><Relationship Id="rId2" Type="http://schemas.openxmlformats.org/officeDocument/2006/relationships/hyperlink" Target="https://www.benefitmodeling.com/client" TargetMode="External"/><Relationship Id="rId1" Type="http://schemas.openxmlformats.org/officeDocument/2006/relationships/hyperlink" Target="https://secure.benefittech.com/tasks/default.aspx?tl=1&amp;tid=1" TargetMode="External"/></Relationships>
</file>

<file path=xl/worksheets/_rels/sheet30.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ddInVersionHistory"/>
  <dimension ref="A1:D87"/>
  <sheetViews>
    <sheetView workbookViewId="0"/>
  </sheetViews>
  <sheetFormatPr defaultRowHeight="12.75" x14ac:dyDescent="0.2"/>
  <cols>
    <col min="1" max="1" width="19.5703125" bestFit="1" customWidth="1"/>
    <col min="2" max="2" width="20.85546875" customWidth="1"/>
    <col min="3" max="3" width="15.28515625" customWidth="1"/>
  </cols>
  <sheetData>
    <row r="1" spans="1:4" s="3" customFormat="1" x14ac:dyDescent="0.2">
      <c r="A1" s="27" t="s">
        <v>257</v>
      </c>
      <c r="B1" s="359"/>
    </row>
    <row r="2" spans="1:4" x14ac:dyDescent="0.2">
      <c r="A2" s="29" t="s">
        <v>1151</v>
      </c>
      <c r="B2" s="29" t="s">
        <v>1216</v>
      </c>
    </row>
    <row r="3" spans="1:4" x14ac:dyDescent="0.2">
      <c r="A3" s="29" t="s">
        <v>2050</v>
      </c>
      <c r="B3" s="235">
        <v>9.0074000000000005</v>
      </c>
    </row>
    <row r="5" spans="1:4" s="40" customFormat="1" x14ac:dyDescent="0.2">
      <c r="A5" s="33" t="s">
        <v>2049</v>
      </c>
      <c r="B5" s="39"/>
    </row>
    <row r="6" spans="1:4" s="42" customFormat="1" x14ac:dyDescent="0.2">
      <c r="A6" s="41" t="s">
        <v>2050</v>
      </c>
      <c r="B6" s="37" t="s">
        <v>2051</v>
      </c>
      <c r="C6" s="36" t="s">
        <v>2052</v>
      </c>
      <c r="D6" s="36" t="s">
        <v>1151</v>
      </c>
    </row>
    <row r="7" spans="1:4" x14ac:dyDescent="0.2">
      <c r="A7" s="367">
        <v>9.0074000000000005</v>
      </c>
      <c r="B7" s="545">
        <v>42472.56527777778</v>
      </c>
      <c r="C7" s="367" t="s">
        <v>456</v>
      </c>
      <c r="D7" s="367" t="s">
        <v>3027</v>
      </c>
    </row>
    <row r="8" spans="1:4" x14ac:dyDescent="0.2">
      <c r="A8" s="367">
        <v>9.0073000000000008</v>
      </c>
      <c r="B8" s="545">
        <v>42439.494664351849</v>
      </c>
      <c r="C8" s="367" t="s">
        <v>456</v>
      </c>
      <c r="D8" s="367" t="s">
        <v>3015</v>
      </c>
    </row>
    <row r="9" spans="1:4" x14ac:dyDescent="0.2">
      <c r="A9" s="367">
        <v>9.0071999999999992</v>
      </c>
      <c r="B9" s="545">
        <v>42429.491550925923</v>
      </c>
      <c r="C9" s="367" t="s">
        <v>456</v>
      </c>
      <c r="D9" s="367" t="s">
        <v>3013</v>
      </c>
    </row>
    <row r="10" spans="1:4" x14ac:dyDescent="0.2">
      <c r="A10" s="367">
        <v>9.0070999999999994</v>
      </c>
      <c r="B10" s="545">
        <v>42213.519270833334</v>
      </c>
      <c r="C10" s="367" t="s">
        <v>456</v>
      </c>
      <c r="D10" s="367" t="s">
        <v>2961</v>
      </c>
    </row>
    <row r="11" spans="1:4" x14ac:dyDescent="0.2">
      <c r="A11" s="367">
        <v>9.0069999999999997</v>
      </c>
      <c r="B11" s="545">
        <v>42205.58730324074</v>
      </c>
      <c r="C11" s="367" t="s">
        <v>456</v>
      </c>
      <c r="D11" s="367" t="s">
        <v>2957</v>
      </c>
    </row>
    <row r="12" spans="1:4" x14ac:dyDescent="0.2">
      <c r="A12" s="367">
        <v>9.0068999999999999</v>
      </c>
      <c r="B12" s="545">
        <v>42144.963819444441</v>
      </c>
      <c r="C12" s="367" t="s">
        <v>456</v>
      </c>
      <c r="D12" s="367" t="s">
        <v>2950</v>
      </c>
    </row>
    <row r="13" spans="1:4" x14ac:dyDescent="0.2">
      <c r="A13" s="367">
        <v>9.0068000000000001</v>
      </c>
      <c r="B13" s="545">
        <v>42142.953043981484</v>
      </c>
      <c r="C13" s="367" t="s">
        <v>456</v>
      </c>
      <c r="D13" s="367" t="s">
        <v>2938</v>
      </c>
    </row>
    <row r="14" spans="1:4" x14ac:dyDescent="0.2">
      <c r="A14" s="367">
        <v>9.0067000000000004</v>
      </c>
      <c r="B14" s="545">
        <v>41977.774745370371</v>
      </c>
      <c r="C14" s="367" t="s">
        <v>456</v>
      </c>
      <c r="D14" s="367" t="s">
        <v>2871</v>
      </c>
    </row>
    <row r="15" spans="1:4" x14ac:dyDescent="0.2">
      <c r="A15" s="367">
        <v>9.0066000000000006</v>
      </c>
      <c r="B15" s="545">
        <v>41975.501076388886</v>
      </c>
      <c r="C15" s="367" t="s">
        <v>456</v>
      </c>
      <c r="D15" s="367" t="s">
        <v>2809</v>
      </c>
    </row>
    <row r="16" spans="1:4" x14ac:dyDescent="0.2">
      <c r="A16" s="367">
        <v>9.0065000000000008</v>
      </c>
      <c r="B16" s="545">
        <v>41555.55364583333</v>
      </c>
      <c r="C16" s="367" t="s">
        <v>456</v>
      </c>
      <c r="D16" s="367" t="s">
        <v>2669</v>
      </c>
    </row>
    <row r="17" spans="1:4" x14ac:dyDescent="0.2">
      <c r="A17" s="367">
        <v>9.0063999999999993</v>
      </c>
      <c r="B17" s="545">
        <v>41498.471898148149</v>
      </c>
      <c r="C17" s="367" t="s">
        <v>456</v>
      </c>
      <c r="D17" s="367" t="s">
        <v>2628</v>
      </c>
    </row>
    <row r="18" spans="1:4" x14ac:dyDescent="0.2">
      <c r="A18" s="367">
        <v>9.0062999999999995</v>
      </c>
      <c r="B18" s="545">
        <v>41498.464699074073</v>
      </c>
      <c r="C18" s="367" t="s">
        <v>456</v>
      </c>
      <c r="D18" s="367" t="s">
        <v>2626</v>
      </c>
    </row>
    <row r="19" spans="1:4" x14ac:dyDescent="0.2">
      <c r="A19" s="367">
        <v>9.0061999999999998</v>
      </c>
      <c r="B19" s="545">
        <v>41439.012673611112</v>
      </c>
      <c r="C19" s="367" t="s">
        <v>456</v>
      </c>
      <c r="D19" s="367" t="s">
        <v>2624</v>
      </c>
    </row>
    <row r="20" spans="1:4" x14ac:dyDescent="0.2">
      <c r="A20" s="367">
        <v>9.0061</v>
      </c>
      <c r="B20" s="545">
        <v>41404.414305555554</v>
      </c>
      <c r="C20" s="367" t="s">
        <v>456</v>
      </c>
      <c r="D20" s="367" t="s">
        <v>2619</v>
      </c>
    </row>
    <row r="21" spans="1:4" x14ac:dyDescent="0.2">
      <c r="A21" s="367">
        <v>9.0060000000000002</v>
      </c>
      <c r="B21" s="545">
        <v>41396.915972222225</v>
      </c>
      <c r="C21" s="367" t="s">
        <v>456</v>
      </c>
      <c r="D21" s="367" t="s">
        <v>2615</v>
      </c>
    </row>
    <row r="22" spans="1:4" x14ac:dyDescent="0.2">
      <c r="A22" s="367">
        <v>9.0059000000000005</v>
      </c>
      <c r="B22" s="545">
        <v>41382.628703703704</v>
      </c>
      <c r="C22" s="367" t="s">
        <v>456</v>
      </c>
      <c r="D22" s="367" t="s">
        <v>2610</v>
      </c>
    </row>
    <row r="23" spans="1:4" x14ac:dyDescent="0.2">
      <c r="A23" s="367">
        <v>9.0058000000000007</v>
      </c>
      <c r="B23" s="545">
        <v>41339.563402777778</v>
      </c>
      <c r="C23" s="367" t="s">
        <v>456</v>
      </c>
      <c r="D23" s="367" t="s">
        <v>2607</v>
      </c>
    </row>
    <row r="24" spans="1:4" x14ac:dyDescent="0.2">
      <c r="A24" s="367">
        <v>9.0056999999999992</v>
      </c>
      <c r="B24" s="545">
        <v>41242.651053240741</v>
      </c>
      <c r="C24" s="367" t="s">
        <v>456</v>
      </c>
      <c r="D24" s="367" t="s">
        <v>2605</v>
      </c>
    </row>
    <row r="25" spans="1:4" x14ac:dyDescent="0.2">
      <c r="A25" s="367">
        <v>9.0055999999999994</v>
      </c>
      <c r="B25" s="545">
        <v>41218.413113425922</v>
      </c>
      <c r="C25" s="367" t="s">
        <v>456</v>
      </c>
      <c r="D25" s="367" t="s">
        <v>2602</v>
      </c>
    </row>
    <row r="26" spans="1:4" x14ac:dyDescent="0.2">
      <c r="A26" s="367">
        <v>9.0054999999999996</v>
      </c>
      <c r="B26" s="545">
        <v>41148.544629629629</v>
      </c>
      <c r="C26" s="367" t="s">
        <v>456</v>
      </c>
      <c r="D26" s="367" t="s">
        <v>2493</v>
      </c>
    </row>
    <row r="27" spans="1:4" x14ac:dyDescent="0.2">
      <c r="A27" s="367">
        <v>9.0053999999999998</v>
      </c>
      <c r="B27" s="545">
        <v>41124.515590277777</v>
      </c>
      <c r="C27" s="367" t="s">
        <v>456</v>
      </c>
      <c r="D27" s="367" t="s">
        <v>2490</v>
      </c>
    </row>
    <row r="28" spans="1:4" x14ac:dyDescent="0.2">
      <c r="A28" s="367">
        <v>9.0053000000000001</v>
      </c>
      <c r="B28" s="545">
        <v>41052.507025462961</v>
      </c>
      <c r="C28" s="367" t="s">
        <v>456</v>
      </c>
      <c r="D28" s="367" t="s">
        <v>2486</v>
      </c>
    </row>
    <row r="29" spans="1:4" x14ac:dyDescent="0.2">
      <c r="A29" s="367">
        <v>9.0052000000000003</v>
      </c>
      <c r="B29" s="545">
        <v>41052.48946759259</v>
      </c>
      <c r="C29" s="367" t="s">
        <v>456</v>
      </c>
      <c r="D29" s="367" t="s">
        <v>2484</v>
      </c>
    </row>
    <row r="30" spans="1:4" x14ac:dyDescent="0.2">
      <c r="A30" s="367">
        <v>9.0051000000000005</v>
      </c>
      <c r="B30" s="545">
        <v>40975.635312500002</v>
      </c>
      <c r="C30" s="367" t="s">
        <v>456</v>
      </c>
      <c r="D30" s="367" t="s">
        <v>2474</v>
      </c>
    </row>
    <row r="31" spans="1:4" x14ac:dyDescent="0.2">
      <c r="A31" s="367">
        <v>9.0050000000000008</v>
      </c>
      <c r="B31" s="545">
        <v>40952.405925925923</v>
      </c>
      <c r="C31" s="367" t="s">
        <v>456</v>
      </c>
      <c r="D31" s="367" t="s">
        <v>2473</v>
      </c>
    </row>
    <row r="32" spans="1:4" x14ac:dyDescent="0.2">
      <c r="A32" s="367">
        <v>9.0048999999999992</v>
      </c>
      <c r="B32" s="545">
        <v>40945.523078703707</v>
      </c>
      <c r="C32" s="367" t="s">
        <v>456</v>
      </c>
      <c r="D32" s="367" t="s">
        <v>2470</v>
      </c>
    </row>
    <row r="33" spans="1:4" x14ac:dyDescent="0.2">
      <c r="A33" s="367">
        <v>9.0047999999999995</v>
      </c>
      <c r="B33" s="545">
        <v>40931.687523148146</v>
      </c>
      <c r="C33" s="367" t="s">
        <v>456</v>
      </c>
      <c r="D33" s="367" t="s">
        <v>2464</v>
      </c>
    </row>
    <row r="34" spans="1:4" x14ac:dyDescent="0.2">
      <c r="A34" s="367">
        <v>9.0046999999999997</v>
      </c>
      <c r="B34" s="545">
        <v>40931.645949074074</v>
      </c>
      <c r="C34" s="367" t="s">
        <v>456</v>
      </c>
      <c r="D34" s="367" t="s">
        <v>2460</v>
      </c>
    </row>
    <row r="35" spans="1:4" x14ac:dyDescent="0.2">
      <c r="A35" s="367">
        <v>9.0045999999999999</v>
      </c>
      <c r="B35" s="545">
        <v>40921.550659722219</v>
      </c>
      <c r="C35" s="367" t="s">
        <v>456</v>
      </c>
      <c r="D35" s="367" t="s">
        <v>2449</v>
      </c>
    </row>
    <row r="36" spans="1:4" x14ac:dyDescent="0.2">
      <c r="A36" s="367">
        <v>9.0045000000000002</v>
      </c>
      <c r="B36" s="545">
        <v>40847.604768518519</v>
      </c>
      <c r="C36" s="367" t="s">
        <v>456</v>
      </c>
      <c r="D36" s="367" t="s">
        <v>2424</v>
      </c>
    </row>
    <row r="37" spans="1:4" x14ac:dyDescent="0.2">
      <c r="A37" s="367">
        <v>9.0044000000000004</v>
      </c>
      <c r="B37" s="545">
        <v>40837.514513888891</v>
      </c>
      <c r="C37" s="367" t="s">
        <v>456</v>
      </c>
      <c r="D37" s="367" t="s">
        <v>2411</v>
      </c>
    </row>
    <row r="38" spans="1:4" x14ac:dyDescent="0.2">
      <c r="A38" s="367">
        <v>9.0043000000000006</v>
      </c>
      <c r="B38" s="545">
        <v>40837.042326388888</v>
      </c>
      <c r="C38" s="367" t="s">
        <v>456</v>
      </c>
      <c r="D38" s="367" t="s">
        <v>2410</v>
      </c>
    </row>
    <row r="39" spans="1:4" x14ac:dyDescent="0.2">
      <c r="A39" s="367">
        <v>9.0042000000000009</v>
      </c>
      <c r="B39" s="545">
        <v>40835.664976851855</v>
      </c>
      <c r="C39" s="367" t="s">
        <v>456</v>
      </c>
      <c r="D39" s="367" t="s">
        <v>2340</v>
      </c>
    </row>
    <row r="40" spans="1:4" x14ac:dyDescent="0.2">
      <c r="A40" s="367">
        <v>9.0040999999999993</v>
      </c>
      <c r="B40" s="545">
        <v>40834.408391203702</v>
      </c>
      <c r="C40" s="367" t="s">
        <v>456</v>
      </c>
      <c r="D40" s="367" t="s">
        <v>2338</v>
      </c>
    </row>
    <row r="41" spans="1:4" x14ac:dyDescent="0.2">
      <c r="A41" s="367">
        <v>9.0039999999999996</v>
      </c>
      <c r="B41" s="545">
        <v>40798.537754629629</v>
      </c>
      <c r="C41" s="367" t="s">
        <v>456</v>
      </c>
      <c r="D41" s="367" t="s">
        <v>2331</v>
      </c>
    </row>
    <row r="42" spans="1:4" x14ac:dyDescent="0.2">
      <c r="A42" s="367">
        <v>9.0038999999999998</v>
      </c>
      <c r="B42" s="545">
        <v>40798.406759259262</v>
      </c>
      <c r="C42" s="367" t="s">
        <v>456</v>
      </c>
      <c r="D42" s="367" t="s">
        <v>2325</v>
      </c>
    </row>
    <row r="43" spans="1:4" x14ac:dyDescent="0.2">
      <c r="A43" s="367">
        <v>9.0038</v>
      </c>
      <c r="B43" s="545">
        <v>40777.641736111109</v>
      </c>
      <c r="C43" s="367" t="s">
        <v>456</v>
      </c>
      <c r="D43" s="367" t="s">
        <v>2323</v>
      </c>
    </row>
    <row r="44" spans="1:4" x14ac:dyDescent="0.2">
      <c r="A44" s="367">
        <v>9.0037000000000003</v>
      </c>
      <c r="B44" s="545">
        <v>40731.390277777777</v>
      </c>
      <c r="C44" s="367" t="s">
        <v>456</v>
      </c>
      <c r="D44" s="367" t="s">
        <v>2315</v>
      </c>
    </row>
    <row r="45" spans="1:4" x14ac:dyDescent="0.2">
      <c r="A45" s="367">
        <v>9.0036000000000005</v>
      </c>
      <c r="B45" s="545">
        <v>40611.53398148148</v>
      </c>
      <c r="C45" s="367" t="s">
        <v>456</v>
      </c>
      <c r="D45" s="367" t="s">
        <v>2307</v>
      </c>
    </row>
    <row r="46" spans="1:4" x14ac:dyDescent="0.2">
      <c r="A46" s="367">
        <v>9.0035000000000007</v>
      </c>
      <c r="B46" s="545">
        <v>40611.452893518515</v>
      </c>
      <c r="C46" s="367" t="s">
        <v>456</v>
      </c>
      <c r="D46" s="367" t="s">
        <v>907</v>
      </c>
    </row>
    <row r="47" spans="1:4" x14ac:dyDescent="0.2">
      <c r="A47" s="367">
        <v>9.0033999999999992</v>
      </c>
      <c r="B47" s="545">
        <v>40599.617662037039</v>
      </c>
      <c r="C47" s="367" t="s">
        <v>456</v>
      </c>
      <c r="D47" s="367" t="s">
        <v>2304</v>
      </c>
    </row>
    <row r="48" spans="1:4" x14ac:dyDescent="0.2">
      <c r="A48" s="367">
        <v>9.0032999999999994</v>
      </c>
      <c r="B48" s="545">
        <v>40572.993460648147</v>
      </c>
      <c r="C48" s="367" t="s">
        <v>456</v>
      </c>
      <c r="D48" s="367" t="s">
        <v>2299</v>
      </c>
    </row>
    <row r="49" spans="1:4" x14ac:dyDescent="0.2">
      <c r="A49" s="367">
        <v>9.0031999999999996</v>
      </c>
      <c r="B49" s="545">
        <v>40571.935983796298</v>
      </c>
      <c r="C49" s="367" t="s">
        <v>456</v>
      </c>
      <c r="D49" s="367" t="s">
        <v>512</v>
      </c>
    </row>
    <row r="50" spans="1:4" x14ac:dyDescent="0.2">
      <c r="A50" s="367">
        <v>9.0030999999999999</v>
      </c>
      <c r="B50" s="545">
        <v>40571.67423611111</v>
      </c>
      <c r="C50" s="367" t="s">
        <v>456</v>
      </c>
      <c r="D50" s="367" t="s">
        <v>2298</v>
      </c>
    </row>
    <row r="51" spans="1:4" x14ac:dyDescent="0.2">
      <c r="A51" s="367">
        <v>9.0030000000000001</v>
      </c>
      <c r="B51" s="545">
        <v>40570.575439814813</v>
      </c>
      <c r="C51" s="367" t="s">
        <v>456</v>
      </c>
      <c r="D51" s="367" t="s">
        <v>2292</v>
      </c>
    </row>
    <row r="52" spans="1:4" x14ac:dyDescent="0.2">
      <c r="A52" s="367"/>
      <c r="B52" s="545"/>
      <c r="C52" s="367"/>
      <c r="D52" s="367" t="s">
        <v>2293</v>
      </c>
    </row>
    <row r="53" spans="1:4" x14ac:dyDescent="0.2">
      <c r="A53" s="367"/>
      <c r="B53" s="545"/>
      <c r="C53" s="367"/>
      <c r="D53" s="367" t="s">
        <v>2294</v>
      </c>
    </row>
    <row r="54" spans="1:4" x14ac:dyDescent="0.2">
      <c r="A54" s="367"/>
      <c r="B54" s="545"/>
      <c r="C54" s="367"/>
      <c r="D54" s="367" t="s">
        <v>2295</v>
      </c>
    </row>
    <row r="55" spans="1:4" x14ac:dyDescent="0.2">
      <c r="A55" s="367">
        <v>9.0029000000000003</v>
      </c>
      <c r="B55" s="545">
        <v>40570.015879629631</v>
      </c>
      <c r="C55" s="367" t="s">
        <v>456</v>
      </c>
      <c r="D55" s="367" t="s">
        <v>477</v>
      </c>
    </row>
    <row r="56" spans="1:4" x14ac:dyDescent="0.2">
      <c r="A56" s="367">
        <v>9.0028000000000006</v>
      </c>
      <c r="B56" s="545">
        <v>40570.014374999999</v>
      </c>
      <c r="C56" s="367" t="s">
        <v>456</v>
      </c>
      <c r="D56" s="367" t="s">
        <v>476</v>
      </c>
    </row>
    <row r="57" spans="1:4" x14ac:dyDescent="0.2">
      <c r="A57" s="367">
        <v>9.0027000000000008</v>
      </c>
      <c r="B57" s="545">
        <v>40546.419872685183</v>
      </c>
      <c r="C57" s="367" t="s">
        <v>456</v>
      </c>
      <c r="D57" s="367" t="s">
        <v>2279</v>
      </c>
    </row>
    <row r="58" spans="1:4" x14ac:dyDescent="0.2">
      <c r="A58" s="367">
        <v>9.0025999999999993</v>
      </c>
      <c r="B58" s="545">
        <v>40541.572013888886</v>
      </c>
      <c r="C58" s="367" t="s">
        <v>456</v>
      </c>
      <c r="D58" s="367" t="s">
        <v>223</v>
      </c>
    </row>
    <row r="59" spans="1:4" x14ac:dyDescent="0.2">
      <c r="A59" s="367">
        <v>9.0024999999999995</v>
      </c>
      <c r="B59" s="545">
        <v>40534.114189814813</v>
      </c>
      <c r="C59" s="367" t="s">
        <v>456</v>
      </c>
      <c r="D59" s="367" t="s">
        <v>892</v>
      </c>
    </row>
    <row r="60" spans="1:4" x14ac:dyDescent="0.2">
      <c r="A60" s="367">
        <v>9.0023999999999997</v>
      </c>
      <c r="B60" s="545">
        <v>40532.546053240738</v>
      </c>
      <c r="C60" s="367" t="s">
        <v>456</v>
      </c>
      <c r="D60" s="367" t="s">
        <v>2260</v>
      </c>
    </row>
    <row r="61" spans="1:4" x14ac:dyDescent="0.2">
      <c r="A61" s="367">
        <v>9.0023</v>
      </c>
      <c r="B61" s="545">
        <v>40528.985636574071</v>
      </c>
      <c r="C61" s="367" t="s">
        <v>456</v>
      </c>
      <c r="D61" s="367" t="s">
        <v>475</v>
      </c>
    </row>
    <row r="62" spans="1:4" x14ac:dyDescent="0.2">
      <c r="A62" s="367">
        <v>9.0022000000000002</v>
      </c>
      <c r="B62" s="545">
        <v>40528.218171296299</v>
      </c>
      <c r="C62" s="367" t="s">
        <v>456</v>
      </c>
      <c r="D62" s="367" t="s">
        <v>2259</v>
      </c>
    </row>
    <row r="63" spans="1:4" x14ac:dyDescent="0.2">
      <c r="A63" s="367">
        <v>9.0021000000000004</v>
      </c>
      <c r="B63" s="545">
        <v>40528.213356481479</v>
      </c>
      <c r="C63" s="367" t="s">
        <v>456</v>
      </c>
      <c r="D63" s="367" t="s">
        <v>230</v>
      </c>
    </row>
    <row r="64" spans="1:4" x14ac:dyDescent="0.2">
      <c r="A64" s="367">
        <v>9.0020000000000007</v>
      </c>
      <c r="B64" s="545">
        <v>40528.20207175926</v>
      </c>
      <c r="C64" s="367" t="s">
        <v>456</v>
      </c>
      <c r="D64" s="367" t="s">
        <v>2257</v>
      </c>
    </row>
    <row r="65" spans="1:4" x14ac:dyDescent="0.2">
      <c r="A65" s="367">
        <v>9.0018999999999991</v>
      </c>
      <c r="B65" s="545">
        <v>40521.395787037036</v>
      </c>
      <c r="C65" s="367" t="s">
        <v>456</v>
      </c>
      <c r="D65" s="367" t="s">
        <v>906</v>
      </c>
    </row>
    <row r="66" spans="1:4" x14ac:dyDescent="0.2">
      <c r="A66" s="367">
        <v>9.0017999999999994</v>
      </c>
      <c r="B66" s="545">
        <v>40515.667002314818</v>
      </c>
      <c r="C66" s="367" t="s">
        <v>456</v>
      </c>
      <c r="D66" s="367" t="s">
        <v>1382</v>
      </c>
    </row>
    <row r="67" spans="1:4" x14ac:dyDescent="0.2">
      <c r="A67" s="367">
        <v>9.0016999999999996</v>
      </c>
      <c r="B67" s="545">
        <v>40513.943981481483</v>
      </c>
      <c r="C67" s="367" t="s">
        <v>456</v>
      </c>
      <c r="D67" s="367" t="s">
        <v>2238</v>
      </c>
    </row>
    <row r="68" spans="1:4" x14ac:dyDescent="0.2">
      <c r="A68" s="367">
        <v>9.0015999999999998</v>
      </c>
      <c r="B68" s="545">
        <v>40513.728437500002</v>
      </c>
      <c r="C68" s="367" t="s">
        <v>456</v>
      </c>
      <c r="D68" s="367" t="s">
        <v>789</v>
      </c>
    </row>
    <row r="69" spans="1:4" x14ac:dyDescent="0.2">
      <c r="A69" s="367">
        <v>9.0015000000000001</v>
      </c>
      <c r="B69" s="545">
        <v>40511.959004629629</v>
      </c>
      <c r="C69" s="367" t="s">
        <v>456</v>
      </c>
      <c r="D69" s="367" t="s">
        <v>2237</v>
      </c>
    </row>
    <row r="70" spans="1:4" x14ac:dyDescent="0.2">
      <c r="A70" s="367">
        <v>9.0014000000000003</v>
      </c>
      <c r="B70" s="545">
        <v>40499.689409722225</v>
      </c>
      <c r="C70" s="367" t="s">
        <v>456</v>
      </c>
      <c r="D70" s="367" t="s">
        <v>2226</v>
      </c>
    </row>
    <row r="71" spans="1:4" x14ac:dyDescent="0.2">
      <c r="A71" s="367">
        <v>9.0013000000000005</v>
      </c>
      <c r="B71" s="545">
        <v>40492.038425925923</v>
      </c>
      <c r="C71" s="367" t="s">
        <v>456</v>
      </c>
      <c r="D71" s="367" t="s">
        <v>187</v>
      </c>
    </row>
    <row r="72" spans="1:4" x14ac:dyDescent="0.2">
      <c r="A72" s="367">
        <v>9.0012000000000008</v>
      </c>
      <c r="B72" s="545">
        <v>40492.032500000001</v>
      </c>
      <c r="C72" s="367" t="s">
        <v>456</v>
      </c>
      <c r="D72" s="367" t="s">
        <v>2205</v>
      </c>
    </row>
    <row r="73" spans="1:4" x14ac:dyDescent="0.2">
      <c r="A73" s="367">
        <v>9.0010999999999992</v>
      </c>
      <c r="B73" s="545">
        <v>40491.968657407408</v>
      </c>
      <c r="C73" s="367" t="s">
        <v>456</v>
      </c>
      <c r="D73" s="367" t="s">
        <v>2204</v>
      </c>
    </row>
    <row r="74" spans="1:4" x14ac:dyDescent="0.2">
      <c r="A74" s="367">
        <v>9.0009999999999994</v>
      </c>
      <c r="B74" s="545">
        <v>40453.920243055552</v>
      </c>
      <c r="C74" s="367" t="s">
        <v>456</v>
      </c>
      <c r="D74" s="367" t="s">
        <v>136</v>
      </c>
    </row>
    <row r="75" spans="1:4" x14ac:dyDescent="0.2">
      <c r="A75" s="367">
        <v>9.0008999999999997</v>
      </c>
      <c r="B75" s="545">
        <v>40448.708541666667</v>
      </c>
      <c r="C75" s="367" t="s">
        <v>456</v>
      </c>
      <c r="D75" s="367" t="s">
        <v>2203</v>
      </c>
    </row>
    <row r="76" spans="1:4" x14ac:dyDescent="0.2">
      <c r="A76" s="367">
        <v>9.0007999999999999</v>
      </c>
      <c r="B76" s="545">
        <v>40448.708275462966</v>
      </c>
      <c r="C76" s="367" t="s">
        <v>456</v>
      </c>
      <c r="D76" s="367" t="s">
        <v>2202</v>
      </c>
    </row>
    <row r="77" spans="1:4" x14ac:dyDescent="0.2">
      <c r="A77" s="367">
        <v>9.0007000000000001</v>
      </c>
      <c r="B77" s="545">
        <v>40448.675381944442</v>
      </c>
      <c r="C77" s="367" t="s">
        <v>456</v>
      </c>
      <c r="D77" s="367" t="s">
        <v>2183</v>
      </c>
    </row>
    <row r="78" spans="1:4" x14ac:dyDescent="0.2">
      <c r="A78" s="367">
        <v>9.0006000000000004</v>
      </c>
      <c r="B78" s="545">
        <v>40442.436099537037</v>
      </c>
      <c r="C78" s="367" t="s">
        <v>456</v>
      </c>
      <c r="D78" s="367" t="s">
        <v>521</v>
      </c>
    </row>
    <row r="79" spans="1:4" x14ac:dyDescent="0.2">
      <c r="A79" s="367">
        <v>9.0005000000000006</v>
      </c>
      <c r="B79" s="545">
        <v>40441.96298611111</v>
      </c>
      <c r="C79" s="367" t="s">
        <v>456</v>
      </c>
      <c r="D79" s="367" t="s">
        <v>2176</v>
      </c>
    </row>
    <row r="80" spans="1:4" x14ac:dyDescent="0.2">
      <c r="A80" s="367">
        <v>9.0004000000000008</v>
      </c>
      <c r="B80" s="545">
        <v>40439.078194444446</v>
      </c>
      <c r="C80" s="367" t="s">
        <v>456</v>
      </c>
      <c r="D80" s="367" t="s">
        <v>2173</v>
      </c>
    </row>
    <row r="81" spans="1:4" x14ac:dyDescent="0.2">
      <c r="A81" s="367"/>
      <c r="B81" s="545"/>
      <c r="C81" s="367"/>
      <c r="D81" s="367" t="s">
        <v>2174</v>
      </c>
    </row>
    <row r="82" spans="1:4" x14ac:dyDescent="0.2">
      <c r="A82" s="367">
        <v>9.0002999999999993</v>
      </c>
      <c r="B82" s="545">
        <v>40437.5158912037</v>
      </c>
      <c r="C82" s="367" t="s">
        <v>456</v>
      </c>
      <c r="D82" s="367" t="s">
        <v>2167</v>
      </c>
    </row>
    <row r="83" spans="1:4" x14ac:dyDescent="0.2">
      <c r="A83" s="367">
        <v>9.0001999999999995</v>
      </c>
      <c r="B83" s="545">
        <v>40437.479062500002</v>
      </c>
      <c r="C83" s="367" t="s">
        <v>456</v>
      </c>
      <c r="D83" s="367" t="s">
        <v>458</v>
      </c>
    </row>
    <row r="84" spans="1:4" x14ac:dyDescent="0.2">
      <c r="A84" s="367">
        <v>9.0000999999999998</v>
      </c>
      <c r="B84" s="545">
        <v>40437.47855324074</v>
      </c>
      <c r="C84" s="367" t="s">
        <v>456</v>
      </c>
      <c r="D84" s="367" t="s">
        <v>457</v>
      </c>
    </row>
    <row r="85" spans="1:4" x14ac:dyDescent="0.2">
      <c r="A85" s="367"/>
      <c r="B85" s="546"/>
      <c r="C85" s="367"/>
      <c r="D85" s="367"/>
    </row>
    <row r="86" spans="1:4" x14ac:dyDescent="0.2">
      <c r="A86" s="367"/>
      <c r="B86" s="367"/>
      <c r="C86" s="367"/>
      <c r="D86" s="367"/>
    </row>
    <row r="87" spans="1:4" x14ac:dyDescent="0.2">
      <c r="A87" s="367"/>
      <c r="B87" s="367"/>
      <c r="C87" s="367"/>
      <c r="D87" s="367"/>
    </row>
  </sheetData>
  <phoneticPr fontId="0" type="noConversion"/>
  <pageMargins left="0.75" right="0.75" top="1" bottom="1" header="0.5" footer="0.5"/>
  <pageSetup orientation="portrait" horizontalDpi="4294967293" verticalDpi="4294967293"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BLBenCalc1"/>
  <dimension ref="A1:CM56"/>
  <sheetViews>
    <sheetView workbookViewId="0">
      <pane ySplit="14" topLeftCell="A15" activePane="bottomLeft" state="frozen"/>
      <selection pane="bottomLeft" activeCell="A15" sqref="A15"/>
    </sheetView>
  </sheetViews>
  <sheetFormatPr defaultRowHeight="12.75" x14ac:dyDescent="0.2"/>
  <cols>
    <col min="1" max="2" width="26" customWidth="1"/>
    <col min="3" max="3" width="24.28515625" customWidth="1"/>
    <col min="4" max="4" width="10" bestFit="1" customWidth="1"/>
    <col min="5" max="5" width="9" bestFit="1" customWidth="1"/>
    <col min="6" max="6" width="11.140625" bestFit="1" customWidth="1"/>
    <col min="7" max="7" width="10" bestFit="1" customWidth="1"/>
    <col min="8" max="8" width="10.140625" bestFit="1" customWidth="1"/>
    <col min="9" max="9" width="9" bestFit="1" customWidth="1"/>
    <col min="10" max="10" width="11.5703125" bestFit="1" customWidth="1"/>
    <col min="11" max="11" width="6" bestFit="1" customWidth="1"/>
    <col min="12" max="12" width="16.42578125" bestFit="1" customWidth="1"/>
    <col min="13" max="14" width="9" bestFit="1" customWidth="1"/>
    <col min="15" max="15" width="5.42578125" bestFit="1" customWidth="1"/>
    <col min="16" max="16" width="6" bestFit="1" customWidth="1"/>
    <col min="17" max="17" width="8.7109375" bestFit="1" customWidth="1"/>
    <col min="18" max="18" width="15" bestFit="1" customWidth="1"/>
    <col min="19" max="19" width="6" bestFit="1" customWidth="1"/>
    <col min="20" max="20" width="19.85546875" bestFit="1" customWidth="1"/>
    <col min="21" max="21" width="6" bestFit="1" customWidth="1"/>
    <col min="22" max="22" width="6.42578125" bestFit="1" customWidth="1"/>
    <col min="23" max="23" width="8.28515625" bestFit="1" customWidth="1"/>
    <col min="24" max="24" width="17.85546875" bestFit="1" customWidth="1"/>
    <col min="25" max="25" width="10.85546875" bestFit="1" customWidth="1"/>
    <col min="26" max="26" width="12" bestFit="1" customWidth="1"/>
    <col min="27" max="27" width="8.28515625" bestFit="1" customWidth="1"/>
    <col min="28" max="28" width="4.7109375" bestFit="1" customWidth="1"/>
    <col min="29" max="29" width="12" bestFit="1" customWidth="1"/>
    <col min="30" max="30" width="16.7109375" bestFit="1" customWidth="1"/>
    <col min="31" max="32" width="17.42578125" bestFit="1" customWidth="1"/>
    <col min="33" max="33" width="11" bestFit="1" customWidth="1"/>
    <col min="34" max="34" width="8" bestFit="1" customWidth="1"/>
    <col min="35" max="35" width="11.7109375" bestFit="1" customWidth="1"/>
    <col min="36" max="38" width="8.42578125" bestFit="1" customWidth="1"/>
    <col min="39" max="39" width="9.42578125" bestFit="1" customWidth="1"/>
    <col min="40" max="42" width="12.42578125" bestFit="1" customWidth="1"/>
    <col min="43" max="43" width="13.5703125" bestFit="1" customWidth="1"/>
    <col min="44" max="44" width="8" bestFit="1" customWidth="1"/>
    <col min="45" max="45" width="8.5703125" bestFit="1" customWidth="1"/>
    <col min="46" max="46" width="9.7109375" bestFit="1" customWidth="1"/>
    <col min="47" max="47" width="6.5703125" bestFit="1" customWidth="1"/>
    <col min="48" max="48" width="9.28515625" bestFit="1" customWidth="1"/>
    <col min="49" max="49" width="10.28515625" bestFit="1" customWidth="1"/>
    <col min="50" max="50" width="6.5703125" bestFit="1" customWidth="1"/>
    <col min="51" max="51" width="9.28515625" bestFit="1" customWidth="1"/>
    <col min="52" max="52" width="10.5703125" bestFit="1" customWidth="1"/>
    <col min="53" max="55" width="15.28515625" bestFit="1" customWidth="1"/>
    <col min="56" max="56" width="16.28515625" bestFit="1" customWidth="1"/>
    <col min="57" max="57" width="14.42578125" bestFit="1" customWidth="1"/>
    <col min="58" max="58" width="15.42578125" bestFit="1" customWidth="1"/>
    <col min="59" max="59" width="57.5703125" bestFit="1" customWidth="1"/>
    <col min="60" max="60" width="19.140625" bestFit="1" customWidth="1"/>
    <col min="61" max="61" width="18.140625" bestFit="1" customWidth="1"/>
    <col min="62" max="62" width="24.140625" bestFit="1" customWidth="1"/>
    <col min="63" max="65" width="7.7109375" bestFit="1" customWidth="1"/>
    <col min="66" max="66" width="14.7109375" bestFit="1" customWidth="1"/>
    <col min="67" max="67" width="9.42578125" bestFit="1" customWidth="1"/>
    <col min="68" max="68" width="9.85546875" bestFit="1" customWidth="1"/>
    <col min="69" max="69" width="10.140625" bestFit="1" customWidth="1"/>
    <col min="70" max="70" width="4.5703125" bestFit="1" customWidth="1"/>
    <col min="71" max="71" width="8" bestFit="1" customWidth="1"/>
    <col min="72" max="72" width="12.28515625" bestFit="1" customWidth="1"/>
    <col min="73" max="73" width="9.28515625" bestFit="1" customWidth="1"/>
    <col min="74" max="74" width="15.5703125" bestFit="1" customWidth="1"/>
    <col min="75" max="75" width="16.28515625" bestFit="1" customWidth="1"/>
    <col min="76" max="76" width="15" bestFit="1" customWidth="1"/>
    <col min="77" max="77" width="25.140625" bestFit="1" customWidth="1"/>
    <col min="78" max="78" width="13.28515625" bestFit="1" customWidth="1"/>
    <col min="79" max="79" width="14" bestFit="1" customWidth="1"/>
    <col min="80" max="80" width="6" bestFit="1" customWidth="1"/>
    <col min="81" max="81" width="17.7109375" bestFit="1" customWidth="1"/>
    <col min="83" max="83" width="16.7109375" bestFit="1" customWidth="1"/>
    <col min="84" max="84" width="6.85546875" bestFit="1" customWidth="1"/>
    <col min="86" max="86" width="18.5703125" bestFit="1" customWidth="1"/>
    <col min="87" max="87" width="17.7109375" bestFit="1" customWidth="1"/>
    <col min="88" max="89" width="14.7109375" bestFit="1" customWidth="1"/>
    <col min="90" max="90" width="19" bestFit="1" customWidth="1"/>
    <col min="91" max="91" width="10.140625" bestFit="1" customWidth="1"/>
  </cols>
  <sheetData>
    <row r="1" spans="1:60" s="3" customFormat="1" ht="13.5" thickBot="1" x14ac:dyDescent="0.25">
      <c r="A1" s="33" t="s">
        <v>576</v>
      </c>
      <c r="B1" s="40"/>
      <c r="C1" s="40"/>
      <c r="D1" s="40"/>
      <c r="E1" s="40"/>
      <c r="F1" s="40"/>
      <c r="G1" s="40"/>
      <c r="H1" s="40"/>
      <c r="I1" s="40"/>
      <c r="J1" s="40"/>
      <c r="K1" s="40"/>
      <c r="L1" s="40"/>
      <c r="M1" s="40"/>
      <c r="N1" s="40"/>
      <c r="O1" s="40"/>
      <c r="P1" s="40"/>
      <c r="Q1" s="40"/>
      <c r="R1" s="40"/>
      <c r="S1" s="40"/>
    </row>
    <row r="2" spans="1:60" x14ac:dyDescent="0.2">
      <c r="A2" s="240" t="s">
        <v>1151</v>
      </c>
      <c r="B2" s="510" t="s">
        <v>508</v>
      </c>
      <c r="C2" s="510"/>
      <c r="D2" s="510"/>
      <c r="E2" s="510"/>
      <c r="F2" s="510"/>
      <c r="G2" s="510"/>
      <c r="H2" s="510"/>
      <c r="I2" s="510"/>
      <c r="J2" s="510"/>
      <c r="K2" s="510"/>
      <c r="L2" s="510"/>
      <c r="M2" s="510"/>
      <c r="N2" s="510"/>
      <c r="O2" s="510"/>
      <c r="P2" s="510"/>
      <c r="Q2" s="510"/>
      <c r="R2" s="510"/>
      <c r="S2" s="511"/>
    </row>
    <row r="3" spans="1:60" x14ac:dyDescent="0.2">
      <c r="A3" s="512" t="s">
        <v>509</v>
      </c>
      <c r="B3" s="9">
        <v>6</v>
      </c>
      <c r="C3" s="10"/>
      <c r="D3" s="10"/>
      <c r="E3" s="10"/>
      <c r="F3" s="10"/>
      <c r="G3" s="10"/>
      <c r="H3" s="10"/>
      <c r="I3" s="10"/>
      <c r="J3" s="10"/>
      <c r="K3" s="10"/>
      <c r="L3" s="10"/>
      <c r="M3" s="10"/>
      <c r="N3" s="10"/>
      <c r="O3" s="10"/>
      <c r="P3" s="10"/>
      <c r="Q3" s="10"/>
      <c r="R3" s="10"/>
      <c r="S3" s="438"/>
    </row>
    <row r="4" spans="1:60" x14ac:dyDescent="0.2">
      <c r="A4" s="136" t="s">
        <v>1149</v>
      </c>
      <c r="B4" s="516" t="s">
        <v>717</v>
      </c>
      <c r="C4" s="10"/>
      <c r="D4" s="10"/>
      <c r="E4" s="10"/>
      <c r="F4" s="10"/>
      <c r="G4" s="10"/>
      <c r="H4" s="10"/>
      <c r="I4" s="10"/>
      <c r="J4" s="10"/>
      <c r="K4" s="10"/>
      <c r="L4" s="10"/>
      <c r="M4" s="10"/>
      <c r="N4" s="10"/>
      <c r="O4" s="10"/>
      <c r="P4" s="10"/>
      <c r="Q4" s="10"/>
      <c r="R4" s="10"/>
      <c r="S4" s="438"/>
    </row>
    <row r="5" spans="1:60" s="29" customFormat="1" x14ac:dyDescent="0.2">
      <c r="A5" s="362" t="s">
        <v>718</v>
      </c>
      <c r="B5" s="12" t="str">
        <f>IF(B22=1,"report-ls","")</f>
        <v>report-ls</v>
      </c>
      <c r="C5" s="517" t="s">
        <v>719</v>
      </c>
      <c r="D5" s="12"/>
      <c r="E5" s="12"/>
      <c r="F5" s="12"/>
      <c r="G5" s="12"/>
      <c r="H5" s="12"/>
      <c r="I5" s="12"/>
      <c r="J5" s="12"/>
      <c r="K5" s="12"/>
      <c r="L5" s="12"/>
      <c r="M5" s="12"/>
      <c r="N5" s="12"/>
      <c r="O5" s="12"/>
      <c r="P5" s="12"/>
      <c r="Q5" s="12"/>
      <c r="R5" s="12"/>
      <c r="S5" s="363"/>
      <c r="AF5" s="319"/>
      <c r="AG5" s="319"/>
      <c r="AH5" s="319"/>
    </row>
    <row r="6" spans="1:60" s="29" customFormat="1" x14ac:dyDescent="0.2">
      <c r="A6" s="362" t="s">
        <v>720</v>
      </c>
      <c r="B6" s="12" t="b">
        <v>1</v>
      </c>
      <c r="C6" s="517" t="s">
        <v>722</v>
      </c>
      <c r="D6" s="12"/>
      <c r="E6" s="12"/>
      <c r="F6" s="12"/>
      <c r="G6" s="12"/>
      <c r="H6" s="12"/>
      <c r="I6" s="12"/>
      <c r="J6" s="12"/>
      <c r="K6" s="12"/>
      <c r="L6" s="12"/>
      <c r="M6" s="12"/>
      <c r="N6" s="12"/>
      <c r="O6" s="12"/>
      <c r="P6" s="12"/>
      <c r="Q6" s="12"/>
      <c r="R6" s="12"/>
      <c r="S6" s="363"/>
      <c r="AF6" s="319"/>
      <c r="AG6" s="319"/>
      <c r="AH6" s="319"/>
    </row>
    <row r="7" spans="1:60" s="29" customFormat="1" x14ac:dyDescent="0.2">
      <c r="A7" s="362"/>
      <c r="B7" s="12"/>
      <c r="C7" s="517"/>
      <c r="D7" s="12"/>
      <c r="E7" s="12"/>
      <c r="F7" s="12"/>
      <c r="G7" s="12"/>
      <c r="H7" s="12"/>
      <c r="I7" s="12"/>
      <c r="J7" s="12"/>
      <c r="K7" s="12"/>
      <c r="L7" s="12"/>
      <c r="M7" s="12"/>
      <c r="N7" s="12"/>
      <c r="O7" s="12"/>
      <c r="P7" s="12"/>
      <c r="Q7" s="12"/>
      <c r="R7" s="12"/>
      <c r="S7" s="363"/>
      <c r="AF7" s="319"/>
      <c r="AG7" s="319"/>
      <c r="AH7" s="319"/>
      <c r="BC7" s="367"/>
      <c r="BD7" s="367"/>
      <c r="BE7" s="367"/>
      <c r="BF7" s="367"/>
      <c r="BG7" s="367"/>
      <c r="BH7" s="367"/>
    </row>
    <row r="8" spans="1:60" s="29" customFormat="1" x14ac:dyDescent="0.2">
      <c r="A8" s="362" t="s">
        <v>3292</v>
      </c>
      <c r="B8" s="12"/>
      <c r="C8" s="517"/>
      <c r="D8" s="12"/>
      <c r="E8" s="12"/>
      <c r="F8" s="12"/>
      <c r="G8" s="12"/>
      <c r="H8" s="12"/>
      <c r="I8" s="12"/>
      <c r="J8" s="12"/>
      <c r="K8" s="12"/>
      <c r="L8" s="12"/>
      <c r="M8" s="12"/>
      <c r="N8" s="12"/>
      <c r="O8" s="12"/>
      <c r="P8" s="12"/>
      <c r="Q8" s="12"/>
      <c r="R8" s="12"/>
      <c r="S8" s="363"/>
      <c r="AF8" s="319"/>
      <c r="AG8" s="319"/>
      <c r="AH8" s="319"/>
      <c r="BC8" s="367"/>
      <c r="BD8" s="367"/>
      <c r="BE8" s="367"/>
      <c r="BF8" s="367"/>
      <c r="BG8" s="367"/>
      <c r="BH8" s="367"/>
    </row>
    <row r="9" spans="1:60" s="29" customFormat="1" x14ac:dyDescent="0.2">
      <c r="A9" s="362" t="s">
        <v>3293</v>
      </c>
      <c r="B9" s="12"/>
      <c r="C9" s="517"/>
      <c r="D9" s="12"/>
      <c r="E9" s="12"/>
      <c r="F9" s="12"/>
      <c r="G9" s="12"/>
      <c r="H9" s="12"/>
      <c r="I9" s="12"/>
      <c r="J9" s="12"/>
      <c r="K9" s="12"/>
      <c r="L9" s="12"/>
      <c r="M9" s="12"/>
      <c r="N9" s="12"/>
      <c r="O9" s="12"/>
      <c r="P9" s="12"/>
      <c r="Q9" s="12"/>
      <c r="R9" s="12"/>
      <c r="S9" s="363"/>
      <c r="AF9" s="319"/>
      <c r="AG9" s="319"/>
      <c r="AH9" s="319"/>
      <c r="BC9" s="61"/>
      <c r="BD9" s="61"/>
      <c r="BE9" s="61"/>
      <c r="BF9" s="61"/>
      <c r="BG9" s="61"/>
      <c r="BH9" s="61"/>
    </row>
    <row r="10" spans="1:60" s="29" customFormat="1" x14ac:dyDescent="0.2">
      <c r="A10" s="362"/>
      <c r="B10" s="12"/>
      <c r="C10" s="517"/>
      <c r="D10" s="12"/>
      <c r="E10" s="12"/>
      <c r="F10" s="12"/>
      <c r="G10" s="12"/>
      <c r="H10" s="12"/>
      <c r="I10" s="12"/>
      <c r="J10" s="12"/>
      <c r="K10" s="12"/>
      <c r="L10" s="12"/>
      <c r="M10" s="12"/>
      <c r="N10" s="12"/>
      <c r="O10" s="12"/>
      <c r="P10" s="12"/>
      <c r="Q10" s="12"/>
      <c r="R10" s="12"/>
      <c r="S10" s="363"/>
      <c r="AF10" s="319"/>
      <c r="AG10" s="319"/>
      <c r="AH10" s="319"/>
      <c r="BC10" s="61"/>
      <c r="BD10" s="61"/>
      <c r="BE10" s="61"/>
      <c r="BF10" s="61"/>
      <c r="BG10" s="61"/>
      <c r="BH10" s="61"/>
    </row>
    <row r="11" spans="1:60" s="29" customFormat="1" x14ac:dyDescent="0.2">
      <c r="A11" s="362" t="s">
        <v>3294</v>
      </c>
      <c r="B11" s="12"/>
      <c r="C11" s="517"/>
      <c r="D11" s="12"/>
      <c r="E11" s="12"/>
      <c r="F11" s="12"/>
      <c r="G11" s="12"/>
      <c r="H11" s="12"/>
      <c r="I11" s="12"/>
      <c r="J11" s="12"/>
      <c r="K11" s="12"/>
      <c r="L11" s="12"/>
      <c r="M11" s="12"/>
      <c r="N11" s="12"/>
      <c r="O11" s="12"/>
      <c r="P11" s="12"/>
      <c r="Q11" s="12"/>
      <c r="R11" s="12"/>
      <c r="S11" s="363"/>
      <c r="AF11" s="319"/>
      <c r="AG11" s="319"/>
      <c r="AH11" s="319"/>
      <c r="BC11" s="367"/>
      <c r="BD11" s="367"/>
      <c r="BE11" s="367"/>
      <c r="BF11" s="367"/>
      <c r="BG11" s="367"/>
      <c r="BH11" s="367"/>
    </row>
    <row r="12" spans="1:60" s="29" customFormat="1" x14ac:dyDescent="0.2">
      <c r="A12" s="362"/>
      <c r="B12" s="12"/>
      <c r="C12" s="517"/>
      <c r="D12" s="12"/>
      <c r="E12" s="12"/>
      <c r="F12" s="12"/>
      <c r="G12" s="12"/>
      <c r="H12" s="12"/>
      <c r="I12" s="12"/>
      <c r="J12" s="12"/>
      <c r="K12" s="12"/>
      <c r="L12" s="12"/>
      <c r="M12" s="12"/>
      <c r="N12" s="12"/>
      <c r="O12" s="12"/>
      <c r="P12" s="12"/>
      <c r="Q12" s="12"/>
      <c r="R12" s="12"/>
      <c r="S12" s="363"/>
      <c r="AF12" s="319"/>
      <c r="AG12" s="319"/>
      <c r="AH12" s="319"/>
      <c r="BC12" s="367"/>
      <c r="BD12" s="367"/>
      <c r="BE12" s="367"/>
      <c r="BF12" s="367"/>
      <c r="BG12" s="367"/>
      <c r="BH12" s="367"/>
    </row>
    <row r="13" spans="1:60" s="29" customFormat="1" x14ac:dyDescent="0.2">
      <c r="A13" s="362" t="s">
        <v>3295</v>
      </c>
      <c r="B13" s="12"/>
      <c r="C13" s="517"/>
      <c r="D13" s="12"/>
      <c r="E13" s="12"/>
      <c r="F13" s="12"/>
      <c r="G13" s="12"/>
      <c r="H13" s="12"/>
      <c r="I13" s="12"/>
      <c r="J13" s="12"/>
      <c r="K13" s="12"/>
      <c r="L13" s="12"/>
      <c r="M13" s="12"/>
      <c r="N13" s="12"/>
      <c r="O13" s="12"/>
      <c r="P13" s="12"/>
      <c r="Q13" s="12"/>
      <c r="R13" s="12"/>
      <c r="S13" s="363"/>
      <c r="AF13" s="319"/>
      <c r="AG13" s="319"/>
      <c r="AH13" s="319"/>
      <c r="BC13" s="61"/>
      <c r="BD13" s="61"/>
      <c r="BE13" s="61"/>
      <c r="BF13" s="61"/>
      <c r="BG13" s="61"/>
      <c r="BH13" s="61"/>
    </row>
    <row r="14" spans="1:60" s="29" customFormat="1" ht="13.5" thickBot="1" x14ac:dyDescent="0.25">
      <c r="A14" s="290"/>
      <c r="B14" s="291"/>
      <c r="C14" s="518"/>
      <c r="D14" s="291"/>
      <c r="E14" s="291"/>
      <c r="F14" s="291"/>
      <c r="G14" s="291"/>
      <c r="H14" s="291"/>
      <c r="I14" s="291"/>
      <c r="J14" s="291"/>
      <c r="K14" s="291"/>
      <c r="L14" s="291"/>
      <c r="M14" s="291"/>
      <c r="N14" s="291"/>
      <c r="O14" s="291"/>
      <c r="P14" s="291"/>
      <c r="Q14" s="291"/>
      <c r="R14" s="291"/>
      <c r="S14" s="292"/>
      <c r="AF14" s="319"/>
      <c r="AG14" s="319"/>
      <c r="AH14" s="319"/>
      <c r="AV14" s="57"/>
    </row>
    <row r="15" spans="1:60" s="29" customFormat="1" x14ac:dyDescent="0.2">
      <c r="C15" s="318"/>
      <c r="AF15" s="319"/>
      <c r="AG15" s="319"/>
      <c r="AH15" s="319"/>
      <c r="AV15" s="57"/>
    </row>
    <row r="16" spans="1:60" s="3" customFormat="1" x14ac:dyDescent="0.2">
      <c r="A16" s="27" t="s">
        <v>578</v>
      </c>
    </row>
    <row r="17" spans="1:91" s="3" customFormat="1" x14ac:dyDescent="0.2">
      <c r="A17" s="27" t="s">
        <v>1072</v>
      </c>
    </row>
    <row r="18" spans="1:91" x14ac:dyDescent="0.2">
      <c r="A18" s="813" t="s">
        <v>159</v>
      </c>
      <c r="B18" s="814"/>
      <c r="C18" s="814"/>
      <c r="D18" s="814"/>
      <c r="E18" s="814"/>
      <c r="F18" s="814"/>
      <c r="G18" s="814"/>
      <c r="H18" s="814"/>
      <c r="I18" s="814"/>
      <c r="J18" s="814"/>
      <c r="K18" s="814"/>
      <c r="L18" s="814"/>
      <c r="M18" s="814"/>
      <c r="N18" s="814"/>
      <c r="O18" s="814"/>
      <c r="P18" s="814"/>
      <c r="Q18" s="814"/>
      <c r="R18" s="814"/>
      <c r="S18" s="814"/>
      <c r="T18" s="814"/>
      <c r="U18" s="814"/>
      <c r="V18" s="814"/>
      <c r="W18" s="814"/>
      <c r="X18" s="814"/>
      <c r="Y18" s="814"/>
      <c r="Z18" s="814"/>
      <c r="AA18" s="814"/>
      <c r="AB18" s="814"/>
      <c r="AC18" s="814"/>
      <c r="AD18" s="814"/>
      <c r="AE18" s="814"/>
      <c r="AF18" s="814"/>
      <c r="AG18" s="814"/>
      <c r="AH18" s="814"/>
      <c r="AI18" s="814"/>
      <c r="AJ18" s="814"/>
      <c r="AK18" s="814"/>
      <c r="AL18" s="814"/>
      <c r="AM18" s="814"/>
      <c r="AN18" s="814"/>
      <c r="AO18" s="814"/>
      <c r="AP18" s="814"/>
      <c r="AQ18" s="814"/>
      <c r="AR18" s="814"/>
      <c r="AS18" s="814"/>
      <c r="AT18" s="814"/>
      <c r="AU18" s="814"/>
      <c r="AV18" s="814"/>
      <c r="AW18" s="814"/>
      <c r="AX18" s="814"/>
      <c r="AY18" s="814"/>
      <c r="AZ18" s="814"/>
      <c r="BA18" s="814"/>
      <c r="BB18" s="814"/>
      <c r="BC18" s="814"/>
      <c r="BD18" s="814"/>
      <c r="BE18" s="814"/>
      <c r="BF18" s="814"/>
      <c r="BG18" s="814"/>
      <c r="BH18" s="814"/>
      <c r="BI18" s="814"/>
      <c r="BJ18" s="814"/>
      <c r="BK18" s="814"/>
      <c r="BL18" s="814"/>
      <c r="BM18" s="814"/>
      <c r="BN18" s="814"/>
      <c r="BO18" s="814"/>
      <c r="BP18" s="814"/>
      <c r="BQ18" s="814"/>
      <c r="BR18" s="814"/>
      <c r="BS18" s="814"/>
      <c r="BT18" s="814"/>
      <c r="BU18" s="814"/>
      <c r="BV18" s="814"/>
      <c r="BW18" s="814"/>
      <c r="BX18" s="814"/>
      <c r="BY18" s="814"/>
      <c r="BZ18" s="814"/>
      <c r="CA18" s="814"/>
      <c r="CB18" s="814"/>
      <c r="CC18" s="815"/>
      <c r="CE18" s="813" t="s">
        <v>3115</v>
      </c>
      <c r="CF18" s="815"/>
      <c r="CH18" s="813" t="s">
        <v>1974</v>
      </c>
      <c r="CI18" s="814"/>
      <c r="CJ18" s="814"/>
      <c r="CK18" s="814"/>
      <c r="CL18" s="814"/>
      <c r="CM18" s="815"/>
    </row>
    <row r="19" spans="1:91" ht="13.5" thickBot="1" x14ac:dyDescent="0.25">
      <c r="A19" s="410" t="s">
        <v>1079</v>
      </c>
      <c r="B19" s="411" t="s">
        <v>1977</v>
      </c>
      <c r="C19" s="411" t="s">
        <v>3153</v>
      </c>
      <c r="D19" s="411" t="s">
        <v>2515</v>
      </c>
      <c r="E19" s="411" t="s">
        <v>1504</v>
      </c>
      <c r="F19" s="411" t="s">
        <v>3154</v>
      </c>
      <c r="G19" s="411" t="s">
        <v>342</v>
      </c>
      <c r="H19" s="411" t="s">
        <v>344</v>
      </c>
      <c r="I19" s="411" t="s">
        <v>369</v>
      </c>
      <c r="J19" s="411" t="s">
        <v>3155</v>
      </c>
      <c r="K19" s="411" t="s">
        <v>3156</v>
      </c>
      <c r="L19" s="411" t="s">
        <v>1003</v>
      </c>
      <c r="M19" s="411" t="s">
        <v>1005</v>
      </c>
      <c r="N19" s="411" t="s">
        <v>1007</v>
      </c>
      <c r="O19" s="411" t="s">
        <v>1009</v>
      </c>
      <c r="P19" s="411" t="s">
        <v>1012</v>
      </c>
      <c r="Q19" s="411" t="s">
        <v>3157</v>
      </c>
      <c r="R19" s="411" t="s">
        <v>3158</v>
      </c>
      <c r="S19" s="411" t="s">
        <v>3159</v>
      </c>
      <c r="T19" s="411" t="s">
        <v>3160</v>
      </c>
      <c r="U19" s="411" t="s">
        <v>3161</v>
      </c>
      <c r="V19" s="411" t="s">
        <v>2044</v>
      </c>
      <c r="W19" s="411" t="s">
        <v>3162</v>
      </c>
      <c r="X19" s="411" t="s">
        <v>3163</v>
      </c>
      <c r="Y19" s="411" t="s">
        <v>3164</v>
      </c>
      <c r="Z19" s="411" t="s">
        <v>3165</v>
      </c>
      <c r="AA19" s="411" t="s">
        <v>3166</v>
      </c>
      <c r="AB19" s="411" t="s">
        <v>3167</v>
      </c>
      <c r="AC19" s="411" t="s">
        <v>3168</v>
      </c>
      <c r="AD19" s="411" t="s">
        <v>3169</v>
      </c>
      <c r="AE19" s="411" t="s">
        <v>3170</v>
      </c>
      <c r="AF19" s="411" t="s">
        <v>3171</v>
      </c>
      <c r="AG19" s="411" t="s">
        <v>3172</v>
      </c>
      <c r="AH19" s="411" t="s">
        <v>3173</v>
      </c>
      <c r="AI19" s="411" t="s">
        <v>3174</v>
      </c>
      <c r="AJ19" s="411" t="s">
        <v>3175</v>
      </c>
      <c r="AK19" s="411" t="s">
        <v>3176</v>
      </c>
      <c r="AL19" s="411" t="s">
        <v>3177</v>
      </c>
      <c r="AM19" s="411" t="s">
        <v>3178</v>
      </c>
      <c r="AN19" s="411" t="s">
        <v>3179</v>
      </c>
      <c r="AO19" s="411" t="s">
        <v>3180</v>
      </c>
      <c r="AP19" s="411" t="s">
        <v>3181</v>
      </c>
      <c r="AQ19" s="411" t="s">
        <v>3182</v>
      </c>
      <c r="AR19" s="411" t="s">
        <v>3183</v>
      </c>
      <c r="AS19" s="411" t="s">
        <v>3184</v>
      </c>
      <c r="AT19" s="411" t="s">
        <v>3185</v>
      </c>
      <c r="AU19" s="411" t="s">
        <v>3186</v>
      </c>
      <c r="AV19" s="411" t="s">
        <v>3187</v>
      </c>
      <c r="AW19" s="411" t="s">
        <v>3188</v>
      </c>
      <c r="AX19" s="411" t="s">
        <v>3189</v>
      </c>
      <c r="AY19" s="411" t="s">
        <v>3190</v>
      </c>
      <c r="AZ19" s="411" t="s">
        <v>3191</v>
      </c>
      <c r="BA19" s="411" t="s">
        <v>3192</v>
      </c>
      <c r="BB19" s="411" t="s">
        <v>3193</v>
      </c>
      <c r="BC19" s="411" t="s">
        <v>3194</v>
      </c>
      <c r="BD19" s="411" t="s">
        <v>3195</v>
      </c>
      <c r="BE19" s="411" t="s">
        <v>3196</v>
      </c>
      <c r="BF19" s="411" t="s">
        <v>3197</v>
      </c>
      <c r="BG19" s="411" t="s">
        <v>3198</v>
      </c>
      <c r="BH19" s="411" t="s">
        <v>3199</v>
      </c>
      <c r="BI19" s="411" t="s">
        <v>3200</v>
      </c>
      <c r="BJ19" s="411" t="s">
        <v>3201</v>
      </c>
      <c r="BK19" s="411" t="s">
        <v>3128</v>
      </c>
      <c r="BL19" s="411" t="s">
        <v>3129</v>
      </c>
      <c r="BM19" s="411" t="s">
        <v>3130</v>
      </c>
      <c r="BN19" s="411" t="s">
        <v>3202</v>
      </c>
      <c r="BO19" s="411" t="s">
        <v>3203</v>
      </c>
      <c r="BP19" s="411" t="s">
        <v>3204</v>
      </c>
      <c r="BQ19" s="411" t="s">
        <v>3205</v>
      </c>
      <c r="BR19" s="411" t="s">
        <v>3206</v>
      </c>
      <c r="BS19" s="411" t="s">
        <v>3207</v>
      </c>
      <c r="BT19" s="411" t="s">
        <v>3208</v>
      </c>
      <c r="BU19" s="411" t="s">
        <v>3209</v>
      </c>
      <c r="BV19" s="411" t="s">
        <v>3210</v>
      </c>
      <c r="BW19" s="411" t="s">
        <v>3211</v>
      </c>
      <c r="BX19" s="411" t="s">
        <v>3212</v>
      </c>
      <c r="BY19" s="411" t="s">
        <v>3213</v>
      </c>
      <c r="BZ19" s="411" t="s">
        <v>3214</v>
      </c>
      <c r="CA19" s="411" t="s">
        <v>3215</v>
      </c>
      <c r="CB19" s="411" t="s">
        <v>3216</v>
      </c>
      <c r="CC19" s="412" t="s">
        <v>3217</v>
      </c>
      <c r="CE19" s="410" t="s">
        <v>1079</v>
      </c>
      <c r="CF19" s="412" t="s">
        <v>3116</v>
      </c>
      <c r="CH19" s="410" t="s">
        <v>1977</v>
      </c>
      <c r="CI19" s="411" t="s">
        <v>385</v>
      </c>
      <c r="CJ19" s="411" t="s">
        <v>1984</v>
      </c>
      <c r="CK19" s="411" t="s">
        <v>2313</v>
      </c>
      <c r="CL19" s="411" t="s">
        <v>1297</v>
      </c>
      <c r="CM19" s="412" t="s">
        <v>1985</v>
      </c>
    </row>
    <row r="20" spans="1:91" x14ac:dyDescent="0.2">
      <c r="A20" s="413" t="s">
        <v>1977</v>
      </c>
      <c r="B20" s="414">
        <v>1</v>
      </c>
      <c r="C20" s="414">
        <v>1</v>
      </c>
      <c r="D20" s="414">
        <v>1</v>
      </c>
      <c r="E20" s="414">
        <v>1</v>
      </c>
      <c r="F20" s="414">
        <v>1</v>
      </c>
      <c r="G20" s="414">
        <v>1</v>
      </c>
      <c r="H20" s="414">
        <v>1</v>
      </c>
      <c r="I20" s="414">
        <v>1</v>
      </c>
      <c r="J20" s="414">
        <v>1</v>
      </c>
      <c r="K20" s="414">
        <v>1</v>
      </c>
      <c r="L20" s="414">
        <v>1</v>
      </c>
      <c r="M20" s="414">
        <v>1</v>
      </c>
      <c r="N20" s="414">
        <v>1</v>
      </c>
      <c r="O20" s="414">
        <v>1</v>
      </c>
      <c r="P20" s="414">
        <v>1</v>
      </c>
      <c r="Q20" s="414">
        <v>1</v>
      </c>
      <c r="R20" s="414">
        <v>1</v>
      </c>
      <c r="S20" s="414">
        <v>1</v>
      </c>
      <c r="T20" s="414">
        <v>1</v>
      </c>
      <c r="U20" s="414">
        <v>1</v>
      </c>
      <c r="V20" s="414">
        <v>1</v>
      </c>
      <c r="W20" s="414">
        <v>1</v>
      </c>
      <c r="X20" s="414">
        <v>1</v>
      </c>
      <c r="Y20" s="414">
        <v>1</v>
      </c>
      <c r="Z20" s="414">
        <v>1</v>
      </c>
      <c r="AA20" s="414">
        <v>1</v>
      </c>
      <c r="AB20" s="414">
        <v>1</v>
      </c>
      <c r="AC20" s="414">
        <v>1</v>
      </c>
      <c r="AD20" s="414">
        <v>1</v>
      </c>
      <c r="AE20" s="414">
        <v>1</v>
      </c>
      <c r="AF20" s="414">
        <v>1</v>
      </c>
      <c r="AG20" s="414">
        <v>1</v>
      </c>
      <c r="AH20" s="414">
        <v>1</v>
      </c>
      <c r="AI20" s="414">
        <v>1</v>
      </c>
      <c r="AJ20" s="414">
        <v>1</v>
      </c>
      <c r="AK20" s="414">
        <v>1</v>
      </c>
      <c r="AL20" s="414">
        <v>1</v>
      </c>
      <c r="AM20" s="414">
        <v>1</v>
      </c>
      <c r="AN20" s="414">
        <v>1</v>
      </c>
      <c r="AO20" s="414">
        <v>1</v>
      </c>
      <c r="AP20" s="414">
        <v>1</v>
      </c>
      <c r="AQ20" s="414">
        <v>1</v>
      </c>
      <c r="AR20" s="414">
        <v>1</v>
      </c>
      <c r="AS20" s="414">
        <v>1</v>
      </c>
      <c r="AT20" s="414">
        <v>1</v>
      </c>
      <c r="AU20" s="414">
        <v>1</v>
      </c>
      <c r="AV20" s="414">
        <v>1</v>
      </c>
      <c r="AW20" s="414">
        <v>1</v>
      </c>
      <c r="AX20" s="414">
        <v>1</v>
      </c>
      <c r="AY20" s="414">
        <v>1</v>
      </c>
      <c r="AZ20" s="414">
        <v>1</v>
      </c>
      <c r="BA20" s="414">
        <v>1</v>
      </c>
      <c r="BB20" s="414">
        <v>1</v>
      </c>
      <c r="BC20" s="414">
        <v>1</v>
      </c>
      <c r="BD20" s="414">
        <v>1</v>
      </c>
      <c r="BE20" s="414">
        <v>1</v>
      </c>
      <c r="BF20" s="414">
        <v>1</v>
      </c>
      <c r="BG20" s="414">
        <v>1</v>
      </c>
      <c r="BH20" s="414">
        <v>1</v>
      </c>
      <c r="BI20" s="414">
        <v>1</v>
      </c>
      <c r="BJ20" s="414">
        <v>1</v>
      </c>
      <c r="BK20" s="414">
        <v>1</v>
      </c>
      <c r="BL20" s="414">
        <v>1</v>
      </c>
      <c r="BM20" s="414">
        <v>1</v>
      </c>
      <c r="BN20" s="414">
        <v>1</v>
      </c>
      <c r="BO20" s="414">
        <v>1</v>
      </c>
      <c r="BP20" s="414">
        <v>1</v>
      </c>
      <c r="BQ20" s="414">
        <v>1</v>
      </c>
      <c r="BR20" s="414">
        <v>1</v>
      </c>
      <c r="BS20" s="414">
        <v>1</v>
      </c>
      <c r="BT20" s="414">
        <v>1</v>
      </c>
      <c r="BU20" s="414">
        <v>1</v>
      </c>
      <c r="BV20" s="414">
        <v>1</v>
      </c>
      <c r="BW20" s="414">
        <v>1</v>
      </c>
      <c r="BX20" s="414">
        <v>1</v>
      </c>
      <c r="BY20" s="414">
        <v>1</v>
      </c>
      <c r="BZ20" s="414">
        <v>1</v>
      </c>
      <c r="CA20" s="414">
        <v>1</v>
      </c>
      <c r="CB20" s="414">
        <v>1</v>
      </c>
      <c r="CC20" s="414">
        <v>1</v>
      </c>
      <c r="CE20" s="459" t="s">
        <v>3117</v>
      </c>
      <c r="CF20" s="415">
        <v>1</v>
      </c>
      <c r="CH20" s="459" t="e">
        <f>IF(#REF!&lt;5, 0, IF(AND(isDeminimus=FALSE, iMHACalcType=2), 1, 0))</f>
        <v>#REF!</v>
      </c>
      <c r="CI20" s="414" t="str">
        <f>"TermVested_NoRequest_"&amp;F17</f>
        <v>TermVested_NoRequest_</v>
      </c>
      <c r="CJ20" t="s">
        <v>3291</v>
      </c>
      <c r="CK20" s="414" t="str">
        <f>CJ20</f>
        <v>TermVested_NoRequest.doc</v>
      </c>
      <c r="CL20" s="414" t="s">
        <v>1298</v>
      </c>
      <c r="CM20" s="415"/>
    </row>
    <row r="21" spans="1:91" ht="12.75" customHeight="1" x14ac:dyDescent="0.2">
      <c r="A21" s="469" t="s">
        <v>3152</v>
      </c>
      <c r="B21" s="61">
        <v>1</v>
      </c>
      <c r="C21" s="61" t="s">
        <v>3218</v>
      </c>
      <c r="D21" s="61" t="s">
        <v>3219</v>
      </c>
      <c r="E21" s="61" t="s">
        <v>340</v>
      </c>
      <c r="F21" s="61" t="s">
        <v>3220</v>
      </c>
      <c r="G21" s="61" t="s">
        <v>341</v>
      </c>
      <c r="H21" s="61" t="s">
        <v>343</v>
      </c>
      <c r="I21" s="61" t="s">
        <v>3221</v>
      </c>
      <c r="J21" s="61" t="s">
        <v>3222</v>
      </c>
      <c r="K21" s="61" t="s">
        <v>3223</v>
      </c>
      <c r="L21" s="61" t="s">
        <v>3224</v>
      </c>
      <c r="M21" s="61" t="s">
        <v>3225</v>
      </c>
      <c r="N21" s="61" t="s">
        <v>1008</v>
      </c>
      <c r="O21" s="61" t="s">
        <v>1010</v>
      </c>
      <c r="P21" s="61" t="s">
        <v>3226</v>
      </c>
      <c r="Q21" s="61" t="s">
        <v>3227</v>
      </c>
      <c r="R21" s="61" t="s">
        <v>3228</v>
      </c>
      <c r="S21" s="61" t="s">
        <v>3229</v>
      </c>
      <c r="T21" s="61" t="s">
        <v>3230</v>
      </c>
      <c r="U21" s="61" t="s">
        <v>3075</v>
      </c>
      <c r="V21" s="61" t="s">
        <v>2045</v>
      </c>
      <c r="W21" s="61" t="s">
        <v>3231</v>
      </c>
      <c r="X21" s="61" t="s">
        <v>3232</v>
      </c>
      <c r="Y21" s="61" t="s">
        <v>3233</v>
      </c>
      <c r="Z21" s="61" t="s">
        <v>3234</v>
      </c>
      <c r="AA21" s="61" t="s">
        <v>3235</v>
      </c>
      <c r="AB21" s="61" t="s">
        <v>3236</v>
      </c>
      <c r="AC21" s="61" t="s">
        <v>3237</v>
      </c>
      <c r="AD21" s="61" t="s">
        <v>3238</v>
      </c>
      <c r="AE21" s="61" t="s">
        <v>3239</v>
      </c>
      <c r="AF21" s="61" t="s">
        <v>3240</v>
      </c>
      <c r="AG21" s="61" t="s">
        <v>1729</v>
      </c>
      <c r="AH21" s="61" t="s">
        <v>3241</v>
      </c>
      <c r="AI21" s="61" t="s">
        <v>3242</v>
      </c>
      <c r="AJ21" s="61" t="s">
        <v>2887</v>
      </c>
      <c r="AK21" s="61" t="s">
        <v>3243</v>
      </c>
      <c r="AL21" s="61" t="s">
        <v>3244</v>
      </c>
      <c r="AM21" s="61" t="s">
        <v>2888</v>
      </c>
      <c r="AN21" s="61" t="s">
        <v>2887</v>
      </c>
      <c r="AO21" s="61" t="s">
        <v>3243</v>
      </c>
      <c r="AP21" s="61" t="s">
        <v>3244</v>
      </c>
      <c r="AQ21" s="61" t="s">
        <v>2888</v>
      </c>
      <c r="AR21" s="61" t="s">
        <v>3245</v>
      </c>
      <c r="AS21" s="61" t="s">
        <v>3246</v>
      </c>
      <c r="AT21" s="61" t="s">
        <v>3247</v>
      </c>
      <c r="AU21" s="61" t="s">
        <v>3248</v>
      </c>
      <c r="AV21" s="61" t="s">
        <v>3249</v>
      </c>
      <c r="AW21" s="61" t="s">
        <v>3250</v>
      </c>
      <c r="AX21" s="61" t="s">
        <v>3251</v>
      </c>
      <c r="AY21" s="61" t="s">
        <v>3252</v>
      </c>
      <c r="AZ21" s="61" t="s">
        <v>3253</v>
      </c>
      <c r="BA21" s="61" t="s">
        <v>3254</v>
      </c>
      <c r="BB21" s="61" t="s">
        <v>3255</v>
      </c>
      <c r="BC21" s="61" t="s">
        <v>3256</v>
      </c>
      <c r="BD21" s="61" t="s">
        <v>3257</v>
      </c>
      <c r="BE21" s="61" t="s">
        <v>3258</v>
      </c>
      <c r="BF21" s="61" t="s">
        <v>3259</v>
      </c>
      <c r="BG21" s="61" t="s">
        <v>3260</v>
      </c>
      <c r="BH21" s="61" t="s">
        <v>3261</v>
      </c>
      <c r="BI21" s="61" t="s">
        <v>3262</v>
      </c>
      <c r="BJ21" s="61" t="s">
        <v>3263</v>
      </c>
      <c r="BK21" s="61" t="s">
        <v>3128</v>
      </c>
      <c r="BL21" s="61" t="s">
        <v>3129</v>
      </c>
      <c r="BM21" s="61" t="s">
        <v>3130</v>
      </c>
      <c r="BN21" s="61" t="s">
        <v>3264</v>
      </c>
      <c r="BO21" s="61" t="s">
        <v>3265</v>
      </c>
      <c r="BP21" s="61" t="s">
        <v>3266</v>
      </c>
      <c r="BQ21" s="61" t="s">
        <v>3267</v>
      </c>
      <c r="BR21" s="61" t="s">
        <v>3268</v>
      </c>
      <c r="BS21" s="61" t="s">
        <v>3269</v>
      </c>
      <c r="BT21" s="61" t="s">
        <v>3270</v>
      </c>
      <c r="BU21" s="61" t="s">
        <v>3271</v>
      </c>
      <c r="BV21" s="61" t="s">
        <v>3272</v>
      </c>
      <c r="BW21" s="61" t="s">
        <v>3273</v>
      </c>
      <c r="BX21" s="61" t="s">
        <v>3274</v>
      </c>
      <c r="BY21" s="61" t="s">
        <v>3275</v>
      </c>
      <c r="BZ21" s="61" t="s">
        <v>3276</v>
      </c>
      <c r="CA21" s="61" t="s">
        <v>1550</v>
      </c>
      <c r="CB21" s="61" t="s">
        <v>3277</v>
      </c>
      <c r="CC21" s="330" t="s">
        <v>3278</v>
      </c>
      <c r="CE21" s="416" t="s">
        <v>3118</v>
      </c>
      <c r="CF21" s="346">
        <v>1</v>
      </c>
      <c r="CH21" s="345"/>
      <c r="CI21" s="97"/>
      <c r="CJ21" s="417"/>
      <c r="CK21" s="417"/>
      <c r="CL21" s="97"/>
      <c r="CM21" s="346"/>
    </row>
    <row r="22" spans="1:91" ht="13.5" thickBot="1" x14ac:dyDescent="0.25">
      <c r="A22" s="469" t="s">
        <v>1971</v>
      </c>
      <c r="B22" s="61">
        <v>1</v>
      </c>
      <c r="C22" s="61" t="s">
        <v>3279</v>
      </c>
      <c r="D22" s="61">
        <v>100002065</v>
      </c>
      <c r="E22" s="61">
        <v>55503202</v>
      </c>
      <c r="F22" s="61" t="s">
        <v>3280</v>
      </c>
      <c r="G22" s="61" t="s">
        <v>3281</v>
      </c>
      <c r="H22" s="61" t="s">
        <v>3282</v>
      </c>
      <c r="I22" s="61" t="s">
        <v>3279</v>
      </c>
      <c r="J22" s="61" t="s">
        <v>3279</v>
      </c>
      <c r="K22" s="61">
        <v>16582</v>
      </c>
      <c r="L22" s="61" t="s">
        <v>3283</v>
      </c>
      <c r="M22" s="61" t="s">
        <v>3279</v>
      </c>
      <c r="N22" s="61" t="s">
        <v>3284</v>
      </c>
      <c r="O22" s="61" t="s">
        <v>3285</v>
      </c>
      <c r="P22" s="61" t="s">
        <v>3286</v>
      </c>
      <c r="Q22" s="61">
        <v>31557</v>
      </c>
      <c r="R22" s="61" t="s">
        <v>3279</v>
      </c>
      <c r="S22" s="61">
        <v>42521</v>
      </c>
      <c r="T22" s="61">
        <v>40178</v>
      </c>
      <c r="U22" s="61">
        <v>40330</v>
      </c>
      <c r="V22" s="61">
        <v>33</v>
      </c>
      <c r="W22" s="61">
        <v>7663.29</v>
      </c>
      <c r="X22" s="61">
        <v>71</v>
      </c>
      <c r="Y22" s="61">
        <v>71</v>
      </c>
      <c r="Z22" s="61">
        <v>1.0193937590773676</v>
      </c>
      <c r="AA22" s="61" t="s">
        <v>366</v>
      </c>
      <c r="AB22" s="61">
        <v>1</v>
      </c>
      <c r="AC22" s="61">
        <v>11.163477271816694</v>
      </c>
      <c r="AD22" s="61">
        <v>11.163477271816694</v>
      </c>
      <c r="AE22" s="61" t="e">
        <v>#VALUE!</v>
      </c>
      <c r="AF22" s="61" t="e">
        <v>#VALUE!</v>
      </c>
      <c r="AG22" s="61">
        <v>1046496.96</v>
      </c>
      <c r="AH22" s="61">
        <v>7811.91</v>
      </c>
      <c r="AI22" s="61" t="s">
        <v>3279</v>
      </c>
      <c r="AJ22" s="61">
        <v>0</v>
      </c>
      <c r="AK22" s="61">
        <v>0</v>
      </c>
      <c r="AL22" s="61">
        <v>0</v>
      </c>
      <c r="AM22" s="61">
        <v>0</v>
      </c>
      <c r="AN22" s="61">
        <v>0</v>
      </c>
      <c r="AO22" s="61">
        <v>0</v>
      </c>
      <c r="AP22" s="61">
        <v>0</v>
      </c>
      <c r="AQ22" s="61">
        <v>0</v>
      </c>
      <c r="AR22" s="61">
        <v>7624.42</v>
      </c>
      <c r="AS22" s="61">
        <v>7163.52</v>
      </c>
      <c r="AT22" s="61" t="s">
        <v>1427</v>
      </c>
      <c r="AU22" s="61" t="s">
        <v>1427</v>
      </c>
      <c r="AV22" s="61" t="s">
        <v>1427</v>
      </c>
      <c r="AW22" s="61" t="s">
        <v>1427</v>
      </c>
      <c r="AX22" s="61" t="s">
        <v>1427</v>
      </c>
      <c r="AY22" s="61" t="s">
        <v>1427</v>
      </c>
      <c r="AZ22" s="61">
        <v>27</v>
      </c>
      <c r="BA22" s="61">
        <v>0</v>
      </c>
      <c r="BB22" s="61">
        <v>0</v>
      </c>
      <c r="BC22" s="61">
        <v>0</v>
      </c>
      <c r="BD22" s="61">
        <v>0</v>
      </c>
      <c r="BE22" s="61">
        <v>0.97599999999999998</v>
      </c>
      <c r="BF22" s="61">
        <v>0.91700000000000004</v>
      </c>
      <c r="BG22" s="61" t="s">
        <v>3287</v>
      </c>
      <c r="BH22" s="61" t="s">
        <v>3288</v>
      </c>
      <c r="BI22" s="61" t="s">
        <v>3289</v>
      </c>
      <c r="BJ22" s="61" t="s">
        <v>3290</v>
      </c>
      <c r="BK22" s="61">
        <v>0</v>
      </c>
      <c r="BL22" s="61">
        <v>1</v>
      </c>
      <c r="BM22" s="61">
        <v>0</v>
      </c>
      <c r="BN22" s="61" t="s">
        <v>366</v>
      </c>
      <c r="BO22" s="61">
        <v>0.5</v>
      </c>
      <c r="BP22" s="61" t="s">
        <v>3279</v>
      </c>
      <c r="BQ22" s="61" t="s">
        <v>3279</v>
      </c>
      <c r="BR22" s="61" t="s">
        <v>3279</v>
      </c>
      <c r="BS22" s="61" t="s">
        <v>3279</v>
      </c>
      <c r="BT22" s="61" t="s">
        <v>3279</v>
      </c>
      <c r="BU22" s="61">
        <v>42521</v>
      </c>
      <c r="BV22" s="61" t="s">
        <v>3279</v>
      </c>
      <c r="BW22" s="61" t="s">
        <v>3279</v>
      </c>
      <c r="BX22" s="61" t="s">
        <v>3279</v>
      </c>
      <c r="BY22" s="61" t="s">
        <v>3291</v>
      </c>
      <c r="BZ22" s="61">
        <v>1</v>
      </c>
      <c r="CA22" s="61">
        <v>27</v>
      </c>
      <c r="CB22" s="61">
        <v>42522</v>
      </c>
      <c r="CC22" s="330">
        <v>42500</v>
      </c>
      <c r="CE22" s="416" t="s">
        <v>3119</v>
      </c>
      <c r="CF22" s="346">
        <v>1</v>
      </c>
      <c r="CH22" s="435"/>
      <c r="CI22" s="436"/>
      <c r="CJ22" s="456"/>
      <c r="CK22" s="456"/>
      <c r="CL22" s="436"/>
      <c r="CM22" s="437"/>
    </row>
    <row r="23" spans="1:91" ht="13.5" thickBot="1" x14ac:dyDescent="0.25">
      <c r="A23" s="333"/>
      <c r="B23" s="344"/>
      <c r="C23" s="344"/>
      <c r="D23" s="344"/>
      <c r="E23" s="344"/>
      <c r="F23" s="344"/>
      <c r="G23" s="344"/>
      <c r="H23" s="344"/>
      <c r="I23" s="344"/>
      <c r="J23" s="344"/>
      <c r="K23" s="344"/>
      <c r="L23" s="344"/>
      <c r="M23" s="344"/>
      <c r="N23" s="344"/>
      <c r="O23" s="344"/>
      <c r="P23" s="344"/>
      <c r="Q23" s="344"/>
      <c r="R23" s="344"/>
      <c r="S23" s="344"/>
      <c r="T23" s="344"/>
      <c r="U23" s="344"/>
      <c r="V23" s="344"/>
      <c r="W23" s="344"/>
      <c r="X23" s="344"/>
      <c r="Y23" s="344"/>
      <c r="Z23" s="344"/>
      <c r="AA23" s="344"/>
      <c r="AB23" s="344"/>
      <c r="AC23" s="344"/>
      <c r="AD23" s="344"/>
      <c r="AE23" s="344"/>
      <c r="AF23" s="344"/>
      <c r="AG23" s="344"/>
      <c r="AH23" s="344"/>
      <c r="AI23" s="344"/>
      <c r="AJ23" s="344"/>
      <c r="AK23" s="344"/>
      <c r="AL23" s="344"/>
      <c r="AM23" s="344"/>
      <c r="AN23" s="344"/>
      <c r="AO23" s="344"/>
      <c r="AP23" s="344"/>
      <c r="AQ23" s="344"/>
      <c r="AR23" s="344"/>
      <c r="AS23" s="344"/>
      <c r="AT23" s="344"/>
      <c r="AU23" s="344"/>
      <c r="AV23" s="344"/>
      <c r="AW23" s="344"/>
      <c r="AX23" s="344"/>
      <c r="AY23" s="344"/>
      <c r="AZ23" s="344"/>
      <c r="BA23" s="344"/>
      <c r="BB23" s="344"/>
      <c r="BC23" s="344"/>
      <c r="BD23" s="344"/>
      <c r="BE23" s="344"/>
      <c r="BF23" s="344"/>
      <c r="BG23" s="344"/>
      <c r="BH23" s="344"/>
      <c r="BI23" s="344"/>
      <c r="BJ23" s="344"/>
      <c r="BK23" s="344"/>
      <c r="BL23" s="344"/>
      <c r="BM23" s="344"/>
      <c r="BN23" s="344"/>
      <c r="BO23" s="344"/>
      <c r="BP23" s="344"/>
      <c r="BQ23" s="344"/>
      <c r="BR23" s="344"/>
      <c r="BS23" s="344"/>
      <c r="BT23" s="344"/>
      <c r="BU23" s="344"/>
      <c r="BV23" s="344"/>
      <c r="BW23" s="344"/>
      <c r="BX23" s="344"/>
      <c r="BY23" s="344"/>
      <c r="BZ23" s="344"/>
      <c r="CA23" s="344"/>
      <c r="CB23" s="344"/>
      <c r="CC23" s="335"/>
      <c r="CE23" s="416" t="s">
        <v>3120</v>
      </c>
      <c r="CF23" s="346">
        <v>1</v>
      </c>
    </row>
    <row r="24" spans="1:91" x14ac:dyDescent="0.2">
      <c r="A24" s="67"/>
      <c r="B24" s="67"/>
      <c r="C24" s="67"/>
      <c r="D24" s="67"/>
      <c r="E24" s="67"/>
      <c r="F24" s="67"/>
      <c r="G24" s="67"/>
      <c r="H24" s="67"/>
      <c r="I24" s="67"/>
      <c r="CE24" s="416" t="s">
        <v>3121</v>
      </c>
      <c r="CF24" s="346">
        <v>0</v>
      </c>
    </row>
    <row r="25" spans="1:91" x14ac:dyDescent="0.2">
      <c r="A25" s="67"/>
      <c r="B25" s="67"/>
      <c r="C25" s="67"/>
      <c r="D25" s="67"/>
      <c r="E25" s="67"/>
      <c r="F25" s="67"/>
      <c r="G25" s="67"/>
      <c r="H25" s="67"/>
      <c r="I25" s="67"/>
      <c r="CE25" s="416" t="s">
        <v>3122</v>
      </c>
      <c r="CF25" s="346">
        <v>0</v>
      </c>
    </row>
    <row r="26" spans="1:91" x14ac:dyDescent="0.2">
      <c r="A26" s="67"/>
      <c r="B26" s="67"/>
      <c r="C26" s="67"/>
      <c r="D26" s="67"/>
      <c r="E26" s="67"/>
      <c r="F26" s="67"/>
      <c r="G26" s="67"/>
      <c r="H26" s="67"/>
      <c r="I26" s="67"/>
      <c r="CE26" s="416" t="s">
        <v>3123</v>
      </c>
      <c r="CF26" s="346">
        <v>0</v>
      </c>
    </row>
    <row r="27" spans="1:91" x14ac:dyDescent="0.2">
      <c r="A27" s="67"/>
      <c r="B27" s="67"/>
      <c r="C27" s="67"/>
      <c r="D27" s="67"/>
      <c r="E27" s="67"/>
      <c r="F27" s="67"/>
      <c r="G27" s="67"/>
      <c r="H27" s="67"/>
      <c r="I27" s="67"/>
      <c r="CE27" s="416" t="s">
        <v>3124</v>
      </c>
      <c r="CF27" s="346">
        <v>0</v>
      </c>
    </row>
    <row r="28" spans="1:91" x14ac:dyDescent="0.2">
      <c r="A28" s="67"/>
      <c r="B28" s="67"/>
      <c r="C28" s="67"/>
      <c r="D28" s="67"/>
      <c r="E28" s="67"/>
      <c r="F28" s="67"/>
      <c r="G28" s="67"/>
      <c r="H28" s="67"/>
      <c r="I28" s="67"/>
      <c r="CE28" s="416" t="s">
        <v>3125</v>
      </c>
      <c r="CF28" s="346">
        <v>0</v>
      </c>
    </row>
    <row r="29" spans="1:91" x14ac:dyDescent="0.2">
      <c r="A29" s="67"/>
      <c r="B29" s="67"/>
      <c r="C29" s="67"/>
      <c r="D29" s="67"/>
      <c r="E29" s="67"/>
      <c r="F29" s="67"/>
      <c r="G29" s="67"/>
      <c r="H29" s="67"/>
      <c r="I29" s="67"/>
      <c r="CE29" s="416" t="s">
        <v>3126</v>
      </c>
      <c r="CF29" s="346">
        <v>0</v>
      </c>
    </row>
    <row r="30" spans="1:91" x14ac:dyDescent="0.2">
      <c r="A30" s="67"/>
      <c r="B30" s="67"/>
      <c r="C30" s="67"/>
      <c r="D30" s="67"/>
      <c r="E30" s="67"/>
      <c r="F30" s="67"/>
      <c r="G30" s="67"/>
      <c r="H30" s="67"/>
      <c r="I30" s="67"/>
      <c r="CE30" s="416" t="s">
        <v>3127</v>
      </c>
      <c r="CF30" s="346">
        <v>0</v>
      </c>
    </row>
    <row r="31" spans="1:91" x14ac:dyDescent="0.2">
      <c r="A31" s="67"/>
      <c r="B31" s="67"/>
      <c r="C31" s="67"/>
      <c r="D31" s="67"/>
      <c r="E31" s="67"/>
      <c r="F31" s="67"/>
      <c r="G31" s="67"/>
      <c r="H31" s="67"/>
      <c r="I31" s="67"/>
      <c r="CE31" s="416" t="s">
        <v>3128</v>
      </c>
      <c r="CF31" s="346">
        <v>0</v>
      </c>
    </row>
    <row r="32" spans="1:91" x14ac:dyDescent="0.2">
      <c r="A32" s="67"/>
      <c r="B32" s="67"/>
      <c r="C32" s="67"/>
      <c r="D32" s="67"/>
      <c r="E32" s="67"/>
      <c r="F32" s="67"/>
      <c r="G32" s="67"/>
      <c r="H32" s="67"/>
      <c r="I32" s="67"/>
      <c r="CE32" s="416" t="s">
        <v>3129</v>
      </c>
      <c r="CF32" s="346">
        <v>1</v>
      </c>
    </row>
    <row r="33" spans="1:84" x14ac:dyDescent="0.2">
      <c r="A33" s="67"/>
      <c r="B33" s="67"/>
      <c r="C33" s="67"/>
      <c r="D33" s="67"/>
      <c r="E33" s="67"/>
      <c r="F33" s="67"/>
      <c r="G33" s="67"/>
      <c r="H33" s="67"/>
      <c r="I33" s="67"/>
      <c r="CE33" s="416" t="s">
        <v>3130</v>
      </c>
      <c r="CF33" s="346">
        <v>0</v>
      </c>
    </row>
    <row r="34" spans="1:84" x14ac:dyDescent="0.2">
      <c r="A34" s="67"/>
      <c r="B34" s="67"/>
      <c r="C34" s="67"/>
      <c r="D34" s="67"/>
      <c r="E34" s="67"/>
      <c r="F34" s="67"/>
      <c r="G34" s="67"/>
      <c r="H34" s="67"/>
      <c r="I34" s="67"/>
      <c r="CE34" s="416" t="s">
        <v>3131</v>
      </c>
      <c r="CF34" s="346">
        <v>0</v>
      </c>
    </row>
    <row r="35" spans="1:84" x14ac:dyDescent="0.2">
      <c r="A35" s="67"/>
      <c r="B35" s="67"/>
      <c r="C35" s="67"/>
      <c r="D35" s="67"/>
      <c r="E35" s="67"/>
      <c r="F35" s="67"/>
      <c r="G35" s="67"/>
      <c r="H35" s="67"/>
      <c r="I35" s="67"/>
      <c r="CE35" s="416" t="s">
        <v>3132</v>
      </c>
      <c r="CF35" s="346">
        <v>0</v>
      </c>
    </row>
    <row r="36" spans="1:84" x14ac:dyDescent="0.2">
      <c r="A36" s="67"/>
      <c r="B36" s="67"/>
      <c r="C36" s="67"/>
      <c r="D36" s="67"/>
      <c r="E36" s="67"/>
      <c r="F36" s="67"/>
      <c r="G36" s="67"/>
      <c r="H36" s="67"/>
      <c r="I36" s="67"/>
      <c r="CE36" s="416" t="s">
        <v>3133</v>
      </c>
      <c r="CF36" s="346">
        <v>1</v>
      </c>
    </row>
    <row r="37" spans="1:84" x14ac:dyDescent="0.2">
      <c r="A37" s="67"/>
      <c r="B37" s="67"/>
      <c r="C37" s="67"/>
      <c r="D37" s="67"/>
      <c r="E37" s="67"/>
      <c r="F37" s="67"/>
      <c r="G37" s="67"/>
      <c r="H37" s="67"/>
      <c r="I37" s="67"/>
      <c r="CE37" s="416" t="s">
        <v>3134</v>
      </c>
      <c r="CF37" s="346">
        <v>1</v>
      </c>
    </row>
    <row r="38" spans="1:84" x14ac:dyDescent="0.2">
      <c r="A38" s="67"/>
      <c r="B38" s="67"/>
      <c r="C38" s="67"/>
      <c r="D38" s="67"/>
      <c r="E38" s="67"/>
      <c r="F38" s="67"/>
      <c r="G38" s="67"/>
      <c r="H38" s="67"/>
      <c r="I38" s="67"/>
      <c r="CE38" s="416" t="s">
        <v>3135</v>
      </c>
      <c r="CF38" s="346">
        <v>1</v>
      </c>
    </row>
    <row r="39" spans="1:84" x14ac:dyDescent="0.2">
      <c r="CE39" s="416" t="s">
        <v>3136</v>
      </c>
      <c r="CF39" s="346">
        <v>1</v>
      </c>
    </row>
    <row r="40" spans="1:84" x14ac:dyDescent="0.2">
      <c r="CE40" s="416" t="s">
        <v>3137</v>
      </c>
      <c r="CF40" s="346">
        <v>0</v>
      </c>
    </row>
    <row r="41" spans="1:84" x14ac:dyDescent="0.2">
      <c r="CE41" s="416" t="s">
        <v>3138</v>
      </c>
      <c r="CF41" s="346">
        <v>0</v>
      </c>
    </row>
    <row r="42" spans="1:84" x14ac:dyDescent="0.2">
      <c r="CE42" s="416" t="s">
        <v>3139</v>
      </c>
      <c r="CF42" s="346">
        <v>0</v>
      </c>
    </row>
    <row r="43" spans="1:84" x14ac:dyDescent="0.2">
      <c r="CE43" s="416" t="s">
        <v>3140</v>
      </c>
      <c r="CF43" s="346">
        <v>0</v>
      </c>
    </row>
    <row r="44" spans="1:84" x14ac:dyDescent="0.2">
      <c r="CE44" s="416" t="s">
        <v>3141</v>
      </c>
      <c r="CF44" s="346">
        <v>0</v>
      </c>
    </row>
    <row r="45" spans="1:84" x14ac:dyDescent="0.2">
      <c r="CE45" s="416" t="s">
        <v>3142</v>
      </c>
      <c r="CF45" s="346">
        <v>1</v>
      </c>
    </row>
    <row r="46" spans="1:84" x14ac:dyDescent="0.2">
      <c r="CE46" s="416" t="s">
        <v>3143</v>
      </c>
      <c r="CF46" s="346">
        <v>1</v>
      </c>
    </row>
    <row r="47" spans="1:84" x14ac:dyDescent="0.2">
      <c r="CE47" s="416" t="s">
        <v>3144</v>
      </c>
      <c r="CF47" s="346">
        <v>0</v>
      </c>
    </row>
    <row r="48" spans="1:84" x14ac:dyDescent="0.2">
      <c r="CE48" s="416" t="s">
        <v>3145</v>
      </c>
      <c r="CF48" s="346">
        <v>0</v>
      </c>
    </row>
    <row r="49" spans="83:84" x14ac:dyDescent="0.2">
      <c r="CE49" s="416" t="s">
        <v>3146</v>
      </c>
      <c r="CF49" s="346">
        <v>0</v>
      </c>
    </row>
    <row r="50" spans="83:84" x14ac:dyDescent="0.2">
      <c r="CE50" s="416" t="s">
        <v>3147</v>
      </c>
      <c r="CF50" s="346">
        <v>0</v>
      </c>
    </row>
    <row r="51" spans="83:84" x14ac:dyDescent="0.2">
      <c r="CE51" s="416" t="s">
        <v>3148</v>
      </c>
      <c r="CF51" s="346">
        <v>0</v>
      </c>
    </row>
    <row r="52" spans="83:84" x14ac:dyDescent="0.2">
      <c r="CE52" s="416" t="s">
        <v>3149</v>
      </c>
      <c r="CF52" s="346">
        <v>0</v>
      </c>
    </row>
    <row r="53" spans="83:84" x14ac:dyDescent="0.2">
      <c r="CE53" s="416" t="s">
        <v>3150</v>
      </c>
      <c r="CF53" s="346">
        <v>0</v>
      </c>
    </row>
    <row r="54" spans="83:84" x14ac:dyDescent="0.2">
      <c r="CE54" s="416" t="s">
        <v>3151</v>
      </c>
      <c r="CF54" s="346">
        <v>0</v>
      </c>
    </row>
    <row r="55" spans="83:84" x14ac:dyDescent="0.2">
      <c r="CE55" s="345"/>
      <c r="CF55" s="346"/>
    </row>
    <row r="56" spans="83:84" ht="13.5" thickBot="1" x14ac:dyDescent="0.25">
      <c r="CE56" s="435"/>
      <c r="CF56" s="437"/>
    </row>
  </sheetData>
  <dataValidations disablePrompts="1" count="2">
    <dataValidation type="list" allowBlank="1" showInputMessage="1" showErrorMessage="1" sqref="B6:B15">
      <formula1>"True, False, Keep5, Keep10, Keep15"</formula1>
    </dataValidation>
    <dataValidation type="list" allowBlank="1" showInputMessage="1" showErrorMessage="1" sqref="B4">
      <formula1>"ResultXml,FolderItem,Update,ReportData"</formula1>
    </dataValidation>
  </dataValidations>
  <pageMargins left="0.75" right="0.75" top="1" bottom="1" header="0.5" footer="0.5"/>
  <pageSetup orientation="portrait" horizontalDpi="4294967293" r:id="rId1"/>
  <headerFooter alignWithMargins="0"/>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BLAdHoc">
    <tabColor theme="0" tint="-0.499984740745262"/>
  </sheetPr>
  <dimension ref="A1:AC80"/>
  <sheetViews>
    <sheetView workbookViewId="0"/>
  </sheetViews>
  <sheetFormatPr defaultColWidth="10.28515625" defaultRowHeight="12.75" x14ac:dyDescent="0.2"/>
  <cols>
    <col min="1" max="1" width="21.85546875" style="352" bestFit="1" customWidth="1"/>
    <col min="2" max="2" width="22.85546875" style="352" customWidth="1"/>
    <col min="3" max="3" width="11.28515625" style="352" bestFit="1" customWidth="1"/>
    <col min="4" max="4" width="15.7109375" style="352" customWidth="1"/>
    <col min="5" max="8" width="15.140625" style="352" customWidth="1"/>
    <col min="9" max="9" width="9.140625" style="352" bestFit="1" customWidth="1"/>
    <col min="10" max="10" width="13.140625" style="352" bestFit="1" customWidth="1"/>
    <col min="11" max="11" width="13.140625" style="352" customWidth="1"/>
    <col min="12" max="12" width="10.5703125" style="352" bestFit="1" customWidth="1"/>
    <col min="13" max="13" width="14.5703125" style="352" customWidth="1"/>
    <col min="14" max="14" width="9.140625" style="352" bestFit="1" customWidth="1"/>
    <col min="15" max="15" width="13.140625" style="352" bestFit="1" customWidth="1"/>
    <col min="16" max="16" width="10.5703125" style="352" bestFit="1" customWidth="1"/>
    <col min="17" max="17" width="11.28515625" style="352" bestFit="1" customWidth="1"/>
    <col min="18" max="18" width="12.85546875" style="352" bestFit="1" customWidth="1"/>
    <col min="19" max="19" width="9.7109375" style="352" bestFit="1" customWidth="1"/>
    <col min="20" max="20" width="11.140625" style="352" bestFit="1" customWidth="1"/>
    <col min="21" max="21" width="8.7109375" style="352" bestFit="1" customWidth="1"/>
    <col min="22" max="22" width="11.42578125" style="352" bestFit="1" customWidth="1"/>
    <col min="23" max="23" width="11.7109375" style="352" bestFit="1" customWidth="1"/>
    <col min="24" max="24" width="15.28515625" style="352" bestFit="1" customWidth="1"/>
    <col min="25" max="25" width="12.85546875" style="352" bestFit="1" customWidth="1"/>
    <col min="26" max="26" width="6.7109375" style="352" bestFit="1" customWidth="1"/>
    <col min="27" max="16384" width="10.28515625" style="352"/>
  </cols>
  <sheetData>
    <row r="1" spans="1:18" s="351" customFormat="1" ht="13.5" thickBot="1" x14ac:dyDescent="0.25">
      <c r="A1" s="350" t="s">
        <v>576</v>
      </c>
    </row>
    <row r="2" spans="1:18" x14ac:dyDescent="0.2">
      <c r="A2" s="519" t="s">
        <v>1151</v>
      </c>
      <c r="B2" s="520" t="s">
        <v>508</v>
      </c>
      <c r="C2" s="520"/>
      <c r="D2" s="520"/>
      <c r="E2" s="520"/>
      <c r="F2" s="520"/>
      <c r="G2" s="520"/>
      <c r="H2" s="520"/>
      <c r="I2" s="520"/>
      <c r="J2" s="520"/>
      <c r="K2" s="520"/>
      <c r="L2" s="520"/>
      <c r="M2" s="520"/>
      <c r="N2" s="520"/>
      <c r="O2" s="520"/>
      <c r="P2" s="520"/>
      <c r="Q2" s="520"/>
      <c r="R2" s="521"/>
    </row>
    <row r="3" spans="1:18" customFormat="1" x14ac:dyDescent="0.2">
      <c r="A3" s="512" t="s">
        <v>509</v>
      </c>
      <c r="B3" s="9">
        <v>6</v>
      </c>
      <c r="C3" s="10"/>
      <c r="D3" s="10"/>
      <c r="E3" s="10"/>
      <c r="F3" s="10"/>
      <c r="G3" s="10"/>
      <c r="H3" s="10"/>
      <c r="I3" s="10"/>
      <c r="J3" s="10"/>
      <c r="K3" s="10"/>
      <c r="L3" s="10"/>
      <c r="M3" s="10"/>
      <c r="N3" s="10"/>
      <c r="O3" s="10"/>
      <c r="P3" s="10"/>
      <c r="Q3" s="10"/>
      <c r="R3" s="438"/>
    </row>
    <row r="4" spans="1:18" x14ac:dyDescent="0.2">
      <c r="A4" s="522" t="s">
        <v>1149</v>
      </c>
      <c r="B4" s="516" t="s">
        <v>2349</v>
      </c>
      <c r="C4" s="524"/>
      <c r="D4" s="524"/>
      <c r="E4" s="524"/>
      <c r="F4" s="524"/>
      <c r="G4" s="524"/>
      <c r="H4" s="524"/>
      <c r="I4" s="524"/>
      <c r="J4" s="524"/>
      <c r="K4" s="524"/>
      <c r="L4" s="524"/>
      <c r="M4" s="524"/>
      <c r="N4" s="524"/>
      <c r="O4" s="524"/>
      <c r="P4" s="524"/>
      <c r="Q4" s="524"/>
      <c r="R4" s="525"/>
    </row>
    <row r="5" spans="1:18" x14ac:dyDescent="0.2">
      <c r="A5" s="522"/>
      <c r="B5" s="523"/>
      <c r="C5" s="524"/>
      <c r="D5" s="524"/>
      <c r="E5" s="524"/>
      <c r="F5" s="524"/>
      <c r="G5" s="524"/>
      <c r="H5" s="524"/>
      <c r="I5" s="524"/>
      <c r="J5" s="524"/>
      <c r="K5" s="524"/>
      <c r="L5" s="524"/>
      <c r="M5" s="524"/>
      <c r="N5" s="524"/>
      <c r="O5" s="524"/>
      <c r="P5" s="524"/>
      <c r="Q5" s="524"/>
      <c r="R5" s="525"/>
    </row>
    <row r="6" spans="1:18" x14ac:dyDescent="0.2">
      <c r="A6" s="522" t="s">
        <v>2391</v>
      </c>
      <c r="B6" s="523"/>
      <c r="C6" s="524"/>
      <c r="D6" s="524"/>
      <c r="E6" s="524"/>
      <c r="F6" s="524"/>
      <c r="G6" s="524"/>
      <c r="H6" s="524"/>
      <c r="I6" s="524"/>
      <c r="J6" s="524"/>
      <c r="K6" s="524"/>
      <c r="L6" s="524"/>
      <c r="M6" s="524"/>
      <c r="N6" s="524"/>
      <c r="O6" s="524"/>
      <c r="P6" s="524"/>
      <c r="Q6" s="524"/>
      <c r="R6" s="525"/>
    </row>
    <row r="7" spans="1:18" x14ac:dyDescent="0.2">
      <c r="A7" s="522" t="s">
        <v>2422</v>
      </c>
      <c r="B7" s="523"/>
      <c r="C7" s="524"/>
      <c r="D7" s="524"/>
      <c r="E7" s="524"/>
      <c r="F7" s="524"/>
      <c r="G7" s="524"/>
      <c r="H7" s="524"/>
      <c r="I7" s="524"/>
      <c r="J7" s="524"/>
      <c r="K7" s="524"/>
      <c r="L7" s="524"/>
      <c r="M7" s="524"/>
      <c r="N7" s="524"/>
      <c r="O7" s="524"/>
      <c r="P7" s="524"/>
      <c r="Q7" s="524"/>
      <c r="R7" s="525"/>
    </row>
    <row r="8" spans="1:18" x14ac:dyDescent="0.2">
      <c r="A8" s="522" t="s">
        <v>2419</v>
      </c>
      <c r="B8" s="523"/>
      <c r="C8" s="524"/>
      <c r="D8" s="524"/>
      <c r="E8" s="524"/>
      <c r="F8" s="524"/>
      <c r="G8" s="524"/>
      <c r="H8" s="524"/>
      <c r="I8" s="524"/>
      <c r="J8" s="524"/>
      <c r="K8" s="524"/>
      <c r="L8" s="524"/>
      <c r="M8" s="524"/>
      <c r="N8" s="524"/>
      <c r="O8" s="524"/>
      <c r="P8" s="524"/>
      <c r="Q8" s="524"/>
      <c r="R8" s="525"/>
    </row>
    <row r="9" spans="1:18" x14ac:dyDescent="0.2">
      <c r="A9" s="522"/>
      <c r="B9" s="523"/>
      <c r="C9" s="524"/>
      <c r="D9" s="524"/>
      <c r="E9" s="524"/>
      <c r="F9" s="524"/>
      <c r="G9" s="524"/>
      <c r="H9" s="524"/>
      <c r="I9" s="524"/>
      <c r="J9" s="524"/>
      <c r="K9" s="524"/>
      <c r="L9" s="524"/>
      <c r="M9" s="524"/>
      <c r="N9" s="524"/>
      <c r="O9" s="524"/>
      <c r="P9" s="524"/>
      <c r="Q9" s="524"/>
      <c r="R9" s="525"/>
    </row>
    <row r="10" spans="1:18" x14ac:dyDescent="0.2">
      <c r="A10" s="522" t="s">
        <v>2367</v>
      </c>
      <c r="B10" s="523"/>
      <c r="C10" s="524"/>
      <c r="D10" s="524"/>
      <c r="E10" s="524"/>
      <c r="F10" s="524"/>
      <c r="G10" s="524"/>
      <c r="H10" s="524"/>
      <c r="I10" s="524"/>
      <c r="J10" s="524"/>
      <c r="K10" s="524"/>
      <c r="L10" s="524"/>
      <c r="M10" s="524"/>
      <c r="N10" s="524"/>
      <c r="O10" s="524"/>
      <c r="P10" s="524"/>
      <c r="Q10" s="524"/>
      <c r="R10" s="525"/>
    </row>
    <row r="11" spans="1:18" x14ac:dyDescent="0.2">
      <c r="A11" s="522"/>
      <c r="B11" s="523"/>
      <c r="C11" s="524"/>
      <c r="D11" s="524"/>
      <c r="E11" s="524"/>
      <c r="F11" s="524"/>
      <c r="G11" s="524"/>
      <c r="H11" s="524"/>
      <c r="I11" s="524"/>
      <c r="J11" s="524"/>
      <c r="K11" s="524"/>
      <c r="L11" s="524"/>
      <c r="M11" s="524"/>
      <c r="N11" s="524"/>
      <c r="O11" s="524"/>
      <c r="P11" s="524"/>
      <c r="Q11" s="524"/>
      <c r="R11" s="525"/>
    </row>
    <row r="12" spans="1:18" x14ac:dyDescent="0.2">
      <c r="A12" s="522" t="s">
        <v>2350</v>
      </c>
      <c r="B12" s="523"/>
      <c r="C12" s="524"/>
      <c r="D12" s="524"/>
      <c r="E12" s="524"/>
      <c r="F12" s="524"/>
      <c r="G12" s="524"/>
      <c r="H12" s="524"/>
      <c r="I12" s="524"/>
      <c r="J12" s="524"/>
      <c r="K12" s="524"/>
      <c r="L12" s="524"/>
      <c r="M12" s="524"/>
      <c r="N12" s="524"/>
      <c r="O12" s="524"/>
      <c r="P12" s="524"/>
      <c r="Q12" s="524"/>
      <c r="R12" s="525"/>
    </row>
    <row r="13" spans="1:18" x14ac:dyDescent="0.2">
      <c r="A13" s="522" t="s">
        <v>2368</v>
      </c>
      <c r="B13" s="523"/>
      <c r="C13" s="524"/>
      <c r="D13" s="524"/>
      <c r="E13" s="524"/>
      <c r="F13" s="524"/>
      <c r="G13" s="524"/>
      <c r="H13" s="524"/>
      <c r="I13" s="524"/>
      <c r="J13" s="524"/>
      <c r="K13" s="524"/>
      <c r="L13" s="524"/>
      <c r="M13" s="524"/>
      <c r="N13" s="524"/>
      <c r="O13" s="524"/>
      <c r="P13" s="524"/>
      <c r="Q13" s="524"/>
      <c r="R13" s="525"/>
    </row>
    <row r="14" spans="1:18" x14ac:dyDescent="0.2">
      <c r="A14" s="522" t="s">
        <v>2369</v>
      </c>
      <c r="B14" s="523"/>
      <c r="C14" s="524"/>
      <c r="D14" s="524"/>
      <c r="E14" s="524"/>
      <c r="F14" s="524"/>
      <c r="G14" s="524"/>
      <c r="H14" s="524"/>
      <c r="I14" s="524"/>
      <c r="J14" s="524"/>
      <c r="K14" s="524"/>
      <c r="L14" s="524"/>
      <c r="M14" s="524"/>
      <c r="N14" s="524"/>
      <c r="O14" s="524"/>
      <c r="P14" s="524"/>
      <c r="Q14" s="524"/>
      <c r="R14" s="525"/>
    </row>
    <row r="15" spans="1:18" x14ac:dyDescent="0.2">
      <c r="A15" s="522"/>
      <c r="B15" s="523"/>
      <c r="C15" s="524"/>
      <c r="D15" s="524"/>
      <c r="E15" s="524"/>
      <c r="F15" s="524"/>
      <c r="G15" s="524"/>
      <c r="H15" s="524"/>
      <c r="I15" s="524"/>
      <c r="J15" s="524"/>
      <c r="K15" s="524"/>
      <c r="L15" s="524"/>
      <c r="M15" s="524"/>
      <c r="N15" s="524"/>
      <c r="O15" s="524"/>
      <c r="P15" s="524"/>
      <c r="Q15" s="524"/>
      <c r="R15" s="525"/>
    </row>
    <row r="16" spans="1:18" x14ac:dyDescent="0.2">
      <c r="A16" s="526" t="s">
        <v>2370</v>
      </c>
      <c r="B16" s="523"/>
      <c r="C16" s="524"/>
      <c r="D16" s="524"/>
      <c r="E16" s="524"/>
      <c r="F16" s="524"/>
      <c r="G16" s="524"/>
      <c r="H16" s="524"/>
      <c r="I16" s="524"/>
      <c r="J16" s="524"/>
      <c r="K16" s="524"/>
      <c r="L16" s="524"/>
      <c r="M16" s="524"/>
      <c r="N16" s="524"/>
      <c r="O16" s="524"/>
      <c r="P16" s="524"/>
      <c r="Q16" s="524"/>
      <c r="R16" s="525"/>
    </row>
    <row r="17" spans="1:18" x14ac:dyDescent="0.2">
      <c r="A17" s="522" t="s">
        <v>2371</v>
      </c>
      <c r="B17" s="523"/>
      <c r="C17" s="524"/>
      <c r="D17" s="524"/>
      <c r="E17" s="524"/>
      <c r="F17" s="524"/>
      <c r="G17" s="524"/>
      <c r="H17" s="524"/>
      <c r="I17" s="524"/>
      <c r="J17" s="524"/>
      <c r="K17" s="524"/>
      <c r="L17" s="524"/>
      <c r="M17" s="524"/>
      <c r="N17" s="524"/>
      <c r="O17" s="524"/>
      <c r="P17" s="524"/>
      <c r="Q17" s="524"/>
      <c r="R17" s="525"/>
    </row>
    <row r="18" spans="1:18" x14ac:dyDescent="0.2">
      <c r="A18" s="522" t="s">
        <v>2372</v>
      </c>
      <c r="B18" s="523"/>
      <c r="C18" s="524"/>
      <c r="D18" s="524"/>
      <c r="E18" s="524"/>
      <c r="F18" s="524"/>
      <c r="G18" s="524"/>
      <c r="H18" s="524"/>
      <c r="I18" s="524"/>
      <c r="J18" s="524"/>
      <c r="K18" s="524"/>
      <c r="L18" s="524"/>
      <c r="M18" s="524"/>
      <c r="N18" s="524"/>
      <c r="O18" s="524"/>
      <c r="P18" s="524"/>
      <c r="Q18" s="524"/>
      <c r="R18" s="525"/>
    </row>
    <row r="19" spans="1:18" x14ac:dyDescent="0.2">
      <c r="A19" s="522" t="s">
        <v>2417</v>
      </c>
      <c r="B19" s="523"/>
      <c r="C19" s="524"/>
      <c r="D19" s="524"/>
      <c r="E19" s="524"/>
      <c r="F19" s="524"/>
      <c r="G19" s="524"/>
      <c r="H19" s="524"/>
      <c r="I19" s="524"/>
      <c r="J19" s="524"/>
      <c r="K19" s="524"/>
      <c r="L19" s="524"/>
      <c r="M19" s="524"/>
      <c r="N19" s="524"/>
      <c r="O19" s="524"/>
      <c r="P19" s="524"/>
      <c r="Q19" s="524"/>
      <c r="R19" s="525"/>
    </row>
    <row r="20" spans="1:18" x14ac:dyDescent="0.2">
      <c r="A20" s="522" t="s">
        <v>2418</v>
      </c>
      <c r="B20" s="523"/>
      <c r="C20" s="524"/>
      <c r="D20" s="524"/>
      <c r="E20" s="524"/>
      <c r="F20" s="524"/>
      <c r="G20" s="524"/>
      <c r="H20" s="524"/>
      <c r="I20" s="524"/>
      <c r="J20" s="524"/>
      <c r="K20" s="524"/>
      <c r="L20" s="524"/>
      <c r="M20" s="524"/>
      <c r="N20" s="524"/>
      <c r="O20" s="524"/>
      <c r="P20" s="524"/>
      <c r="Q20" s="524"/>
      <c r="R20" s="525"/>
    </row>
    <row r="21" spans="1:18" x14ac:dyDescent="0.2">
      <c r="A21" s="522" t="s">
        <v>2373</v>
      </c>
      <c r="B21" s="523"/>
      <c r="C21" s="524"/>
      <c r="D21" s="524"/>
      <c r="E21" s="524"/>
      <c r="F21" s="524"/>
      <c r="G21" s="524"/>
      <c r="H21" s="524"/>
      <c r="I21" s="524"/>
      <c r="J21" s="524"/>
      <c r="K21" s="524"/>
      <c r="L21" s="524"/>
      <c r="M21" s="524"/>
      <c r="N21" s="524"/>
      <c r="O21" s="524"/>
      <c r="P21" s="524"/>
      <c r="Q21" s="524"/>
      <c r="R21" s="525"/>
    </row>
    <row r="22" spans="1:18" x14ac:dyDescent="0.2">
      <c r="A22" s="522" t="s">
        <v>2375</v>
      </c>
      <c r="B22" s="523"/>
      <c r="C22" s="524"/>
      <c r="D22" s="524"/>
      <c r="E22" s="524"/>
      <c r="F22" s="524"/>
      <c r="G22" s="524"/>
      <c r="H22" s="524"/>
      <c r="I22" s="524"/>
      <c r="J22" s="524"/>
      <c r="K22" s="524"/>
      <c r="L22" s="524"/>
      <c r="M22" s="524"/>
      <c r="N22" s="524"/>
      <c r="O22" s="524"/>
      <c r="P22" s="524"/>
      <c r="Q22" s="524"/>
      <c r="R22" s="525"/>
    </row>
    <row r="23" spans="1:18" x14ac:dyDescent="0.2">
      <c r="A23" s="522" t="s">
        <v>2374</v>
      </c>
      <c r="B23" s="523"/>
      <c r="C23" s="524"/>
      <c r="D23" s="524"/>
      <c r="E23" s="524"/>
      <c r="F23" s="524"/>
      <c r="G23" s="524"/>
      <c r="H23" s="524"/>
      <c r="I23" s="524"/>
      <c r="J23" s="524"/>
      <c r="K23" s="524"/>
      <c r="L23" s="524"/>
      <c r="M23" s="524"/>
      <c r="N23" s="524"/>
      <c r="O23" s="524"/>
      <c r="P23" s="524"/>
      <c r="Q23" s="524"/>
      <c r="R23" s="525"/>
    </row>
    <row r="24" spans="1:18" x14ac:dyDescent="0.2">
      <c r="A24" s="522" t="s">
        <v>2414</v>
      </c>
      <c r="B24" s="523"/>
      <c r="C24" s="524"/>
      <c r="D24" s="524"/>
      <c r="E24" s="524"/>
      <c r="F24" s="524"/>
      <c r="G24" s="524"/>
      <c r="H24" s="524"/>
      <c r="I24" s="524"/>
      <c r="J24" s="524"/>
      <c r="K24" s="524"/>
      <c r="L24" s="524"/>
      <c r="M24" s="524"/>
      <c r="N24" s="524"/>
      <c r="O24" s="524"/>
      <c r="P24" s="524"/>
      <c r="Q24" s="524"/>
      <c r="R24" s="525"/>
    </row>
    <row r="25" spans="1:18" x14ac:dyDescent="0.2">
      <c r="A25" s="522" t="s">
        <v>2415</v>
      </c>
      <c r="B25" s="523"/>
      <c r="C25" s="524"/>
      <c r="D25" s="524"/>
      <c r="E25" s="524"/>
      <c r="F25" s="524"/>
      <c r="G25" s="524"/>
      <c r="H25" s="524"/>
      <c r="I25" s="524"/>
      <c r="J25" s="524"/>
      <c r="K25" s="524"/>
      <c r="L25" s="524"/>
      <c r="M25" s="524"/>
      <c r="N25" s="524"/>
      <c r="O25" s="524"/>
      <c r="P25" s="524"/>
      <c r="Q25" s="524"/>
      <c r="R25" s="525"/>
    </row>
    <row r="26" spans="1:18" x14ac:dyDescent="0.2">
      <c r="A26" s="522" t="s">
        <v>2416</v>
      </c>
      <c r="B26" s="523"/>
      <c r="C26" s="524"/>
      <c r="D26" s="524"/>
      <c r="E26" s="524"/>
      <c r="F26" s="524"/>
      <c r="G26" s="524"/>
      <c r="H26" s="524"/>
      <c r="I26" s="524"/>
      <c r="J26" s="524"/>
      <c r="K26" s="524"/>
      <c r="L26" s="524"/>
      <c r="M26" s="524"/>
      <c r="N26" s="524"/>
      <c r="O26" s="524"/>
      <c r="P26" s="524"/>
      <c r="Q26" s="524"/>
      <c r="R26" s="525"/>
    </row>
    <row r="27" spans="1:18" x14ac:dyDescent="0.2">
      <c r="A27" s="522" t="s">
        <v>2376</v>
      </c>
      <c r="B27" s="523"/>
      <c r="C27" s="524"/>
      <c r="D27" s="524"/>
      <c r="E27" s="524"/>
      <c r="F27" s="524"/>
      <c r="G27" s="524"/>
      <c r="H27" s="524"/>
      <c r="I27" s="524"/>
      <c r="J27" s="524"/>
      <c r="K27" s="524"/>
      <c r="L27" s="524"/>
      <c r="M27" s="524"/>
      <c r="N27" s="524"/>
      <c r="O27" s="524"/>
      <c r="P27" s="524"/>
      <c r="Q27" s="524"/>
      <c r="R27" s="525"/>
    </row>
    <row r="28" spans="1:18" x14ac:dyDescent="0.2">
      <c r="A28" s="522" t="s">
        <v>2377</v>
      </c>
      <c r="B28" s="523"/>
      <c r="C28" s="524"/>
      <c r="D28" s="524"/>
      <c r="E28" s="524"/>
      <c r="F28" s="524"/>
      <c r="G28" s="524"/>
      <c r="H28" s="524"/>
      <c r="I28" s="524"/>
      <c r="J28" s="524"/>
      <c r="K28" s="524"/>
      <c r="L28" s="524"/>
      <c r="M28" s="524"/>
      <c r="N28" s="524"/>
      <c r="O28" s="524"/>
      <c r="P28" s="524"/>
      <c r="Q28" s="524"/>
      <c r="R28" s="525"/>
    </row>
    <row r="29" spans="1:18" x14ac:dyDescent="0.2">
      <c r="A29" s="522" t="s">
        <v>2378</v>
      </c>
      <c r="B29" s="523"/>
      <c r="C29" s="524"/>
      <c r="D29" s="524"/>
      <c r="E29" s="524"/>
      <c r="F29" s="524"/>
      <c r="G29" s="524"/>
      <c r="H29" s="524"/>
      <c r="I29" s="524"/>
      <c r="J29" s="524"/>
      <c r="K29" s="524"/>
      <c r="L29" s="524"/>
      <c r="M29" s="524"/>
      <c r="N29" s="524"/>
      <c r="O29" s="524"/>
      <c r="P29" s="524"/>
      <c r="Q29" s="524"/>
      <c r="R29" s="525"/>
    </row>
    <row r="30" spans="1:18" x14ac:dyDescent="0.2">
      <c r="A30" s="522" t="s">
        <v>2389</v>
      </c>
      <c r="B30" s="523"/>
      <c r="C30" s="524"/>
      <c r="D30" s="524"/>
      <c r="E30" s="524"/>
      <c r="F30" s="524"/>
      <c r="G30" s="524"/>
      <c r="H30" s="524"/>
      <c r="I30" s="524"/>
      <c r="J30" s="524"/>
      <c r="K30" s="524"/>
      <c r="L30" s="524"/>
      <c r="M30" s="524"/>
      <c r="N30" s="524"/>
      <c r="O30" s="524"/>
      <c r="P30" s="524"/>
      <c r="Q30" s="524"/>
      <c r="R30" s="525"/>
    </row>
    <row r="31" spans="1:18" x14ac:dyDescent="0.2">
      <c r="A31" s="522"/>
      <c r="B31" s="523"/>
      <c r="C31" s="524"/>
      <c r="D31" s="524"/>
      <c r="E31" s="524"/>
      <c r="F31" s="524"/>
      <c r="G31" s="524"/>
      <c r="H31" s="524"/>
      <c r="I31" s="524"/>
      <c r="J31" s="524"/>
      <c r="K31" s="524"/>
      <c r="L31" s="524"/>
      <c r="M31" s="524"/>
      <c r="N31" s="524"/>
      <c r="O31" s="524"/>
      <c r="P31" s="524"/>
      <c r="Q31" s="524"/>
      <c r="R31" s="525"/>
    </row>
    <row r="32" spans="1:18" x14ac:dyDescent="0.2">
      <c r="A32" s="522"/>
      <c r="B32" s="523"/>
      <c r="C32" s="524"/>
      <c r="D32" s="524"/>
      <c r="E32" s="524"/>
      <c r="F32" s="524"/>
      <c r="G32" s="524"/>
      <c r="H32" s="524"/>
      <c r="I32" s="524"/>
      <c r="J32" s="524"/>
      <c r="K32" s="524"/>
      <c r="L32" s="524"/>
      <c r="M32" s="524"/>
      <c r="N32" s="524"/>
      <c r="O32" s="524"/>
      <c r="P32" s="524"/>
      <c r="Q32" s="524"/>
      <c r="R32" s="525"/>
    </row>
    <row r="33" spans="1:26" ht="13.5" thickBot="1" x14ac:dyDescent="0.25">
      <c r="A33" s="527"/>
      <c r="B33" s="528"/>
      <c r="C33" s="529"/>
      <c r="D33" s="529"/>
      <c r="E33" s="529"/>
      <c r="F33" s="529"/>
      <c r="G33" s="529"/>
      <c r="H33" s="529"/>
      <c r="I33" s="529"/>
      <c r="J33" s="529"/>
      <c r="K33" s="529"/>
      <c r="L33" s="529"/>
      <c r="M33" s="529"/>
      <c r="N33" s="529"/>
      <c r="O33" s="529"/>
      <c r="P33" s="529"/>
      <c r="Q33" s="529"/>
      <c r="R33" s="530"/>
    </row>
    <row r="34" spans="1:26" x14ac:dyDescent="0.2">
      <c r="B34" s="353"/>
    </row>
    <row r="35" spans="1:26" x14ac:dyDescent="0.2">
      <c r="B35" s="353"/>
    </row>
    <row r="36" spans="1:26" s="351" customFormat="1" x14ac:dyDescent="0.2">
      <c r="A36" s="350" t="s">
        <v>578</v>
      </c>
    </row>
    <row r="37" spans="1:26" s="351" customFormat="1" ht="13.5" thickBot="1" x14ac:dyDescent="0.25">
      <c r="A37" s="350" t="s">
        <v>1072</v>
      </c>
    </row>
    <row r="38" spans="1:26" s="580" customFormat="1" x14ac:dyDescent="0.2">
      <c r="A38" s="407" t="s">
        <v>2441</v>
      </c>
      <c r="B38" s="408"/>
      <c r="C38" s="409"/>
      <c r="E38" s="407" t="s">
        <v>2351</v>
      </c>
      <c r="F38" s="408"/>
      <c r="G38" s="408"/>
      <c r="H38" s="408"/>
      <c r="I38" s="408"/>
      <c r="J38" s="408"/>
      <c r="K38" s="408"/>
      <c r="L38" s="409"/>
      <c r="N38" s="407" t="s">
        <v>2379</v>
      </c>
      <c r="O38" s="408"/>
      <c r="P38" s="408"/>
      <c r="Q38" s="408"/>
      <c r="R38" s="408"/>
      <c r="S38" s="408"/>
      <c r="T38" s="408"/>
      <c r="U38" s="408"/>
      <c r="V38" s="408"/>
      <c r="W38" s="408"/>
      <c r="X38" s="408"/>
      <c r="Y38" s="408"/>
      <c r="Z38" s="409"/>
    </row>
    <row r="39" spans="1:26" s="580" customFormat="1" ht="13.5" thickBot="1" x14ac:dyDescent="0.25">
      <c r="A39" s="410" t="s">
        <v>1977</v>
      </c>
      <c r="B39" s="411" t="s">
        <v>2425</v>
      </c>
      <c r="C39" s="411" t="s">
        <v>2426</v>
      </c>
      <c r="E39" s="410" t="s">
        <v>1977</v>
      </c>
      <c r="F39" s="411" t="s">
        <v>1079</v>
      </c>
      <c r="G39" s="411" t="s">
        <v>2348</v>
      </c>
      <c r="H39" s="411" t="s">
        <v>2343</v>
      </c>
      <c r="I39" s="411" t="s">
        <v>2344</v>
      </c>
      <c r="J39" s="411" t="s">
        <v>2345</v>
      </c>
      <c r="K39" s="411" t="s">
        <v>2346</v>
      </c>
      <c r="L39" s="412" t="s">
        <v>2347</v>
      </c>
      <c r="N39" s="410" t="s">
        <v>1977</v>
      </c>
      <c r="O39" s="411" t="s">
        <v>1079</v>
      </c>
      <c r="P39" s="411" t="s">
        <v>2380</v>
      </c>
      <c r="Q39" s="411" t="s">
        <v>2348</v>
      </c>
      <c r="R39" s="411" t="s">
        <v>2394</v>
      </c>
      <c r="S39" s="411" t="s">
        <v>2393</v>
      </c>
      <c r="T39" s="411" t="s">
        <v>2401</v>
      </c>
      <c r="U39" s="411" t="s">
        <v>2404</v>
      </c>
      <c r="V39" s="411" t="s">
        <v>2343</v>
      </c>
      <c r="W39" s="411" t="s">
        <v>2344</v>
      </c>
      <c r="X39" s="411" t="s">
        <v>2345</v>
      </c>
      <c r="Y39" s="411" t="s">
        <v>2346</v>
      </c>
      <c r="Z39" s="412" t="s">
        <v>2347</v>
      </c>
    </row>
    <row r="40" spans="1:26" s="580" customFormat="1" x14ac:dyDescent="0.2">
      <c r="A40" s="599">
        <f>iIsAdHocConfig</f>
        <v>1</v>
      </c>
      <c r="B40" s="29" t="s">
        <v>2427</v>
      </c>
      <c r="C40" s="601" t="s">
        <v>2351</v>
      </c>
      <c r="E40" s="599">
        <f t="shared" ref="E40:E45" si="0">iIsAdHocConfig</f>
        <v>1</v>
      </c>
      <c r="F40" s="600" t="s">
        <v>356</v>
      </c>
      <c r="G40" s="600" t="s">
        <v>2352</v>
      </c>
      <c r="H40" s="600" t="s">
        <v>2020</v>
      </c>
      <c r="I40" s="600" t="s">
        <v>340</v>
      </c>
      <c r="J40" s="600" t="s">
        <v>2353</v>
      </c>
      <c r="K40" s="600" t="s">
        <v>380</v>
      </c>
      <c r="L40" s="601" t="s">
        <v>203</v>
      </c>
      <c r="N40" s="611">
        <f t="shared" ref="N40:N47" si="1">iIsAdHocConfig</f>
        <v>1</v>
      </c>
      <c r="O40" s="612" t="s">
        <v>356</v>
      </c>
      <c r="P40" s="612" t="s">
        <v>2381</v>
      </c>
      <c r="Q40" s="612" t="s">
        <v>2352</v>
      </c>
      <c r="R40" s="612" t="s">
        <v>2395</v>
      </c>
      <c r="S40" s="612" t="s">
        <v>2396</v>
      </c>
      <c r="T40" s="612" t="s">
        <v>2402</v>
      </c>
      <c r="U40" s="612" t="s">
        <v>2405</v>
      </c>
      <c r="V40" s="592" t="s">
        <v>2387</v>
      </c>
      <c r="W40" s="592" t="s">
        <v>2020</v>
      </c>
      <c r="X40" s="592" t="s">
        <v>340</v>
      </c>
      <c r="Y40" s="592" t="s">
        <v>2353</v>
      </c>
      <c r="Z40" s="593" t="s">
        <v>203</v>
      </c>
    </row>
    <row r="41" spans="1:26" s="580" customFormat="1" x14ac:dyDescent="0.2">
      <c r="A41" s="602">
        <f>iIsAdHocConfig</f>
        <v>1</v>
      </c>
      <c r="B41" s="29" t="s">
        <v>2436</v>
      </c>
      <c r="C41" s="604" t="s">
        <v>2379</v>
      </c>
      <c r="E41" s="602">
        <f t="shared" si="0"/>
        <v>1</v>
      </c>
      <c r="F41" s="603" t="s">
        <v>2362</v>
      </c>
      <c r="G41" s="603"/>
      <c r="H41" s="603" t="s">
        <v>2363</v>
      </c>
      <c r="I41" s="603" t="s">
        <v>2364</v>
      </c>
      <c r="J41" s="603" t="s">
        <v>2365</v>
      </c>
      <c r="K41" s="603" t="s">
        <v>2598</v>
      </c>
      <c r="L41" s="604" t="s">
        <v>2366</v>
      </c>
      <c r="N41" s="613">
        <f t="shared" si="1"/>
        <v>1</v>
      </c>
      <c r="O41" s="614" t="s">
        <v>2354</v>
      </c>
      <c r="P41" s="614" t="s">
        <v>2381</v>
      </c>
      <c r="Q41" s="614"/>
      <c r="R41" s="614" t="s">
        <v>1848</v>
      </c>
      <c r="S41" s="614" t="s">
        <v>1848</v>
      </c>
      <c r="T41" s="614" t="s">
        <v>1546</v>
      </c>
      <c r="U41" s="614" t="s">
        <v>1546</v>
      </c>
      <c r="V41" s="594" t="s">
        <v>2355</v>
      </c>
      <c r="W41" s="594" t="s">
        <v>2355</v>
      </c>
      <c r="X41" s="594" t="s">
        <v>1848</v>
      </c>
      <c r="Y41" s="594" t="s">
        <v>1218</v>
      </c>
      <c r="Z41" s="595" t="s">
        <v>1546</v>
      </c>
    </row>
    <row r="42" spans="1:26" s="580" customFormat="1" x14ac:dyDescent="0.2">
      <c r="A42" s="583"/>
      <c r="B42" s="581"/>
      <c r="C42" s="582"/>
      <c r="E42" s="602">
        <f t="shared" si="0"/>
        <v>1</v>
      </c>
      <c r="F42" s="603" t="s">
        <v>2354</v>
      </c>
      <c r="G42" s="603"/>
      <c r="H42" s="603" t="s">
        <v>2355</v>
      </c>
      <c r="I42" s="603" t="s">
        <v>1848</v>
      </c>
      <c r="J42" s="603" t="s">
        <v>1218</v>
      </c>
      <c r="K42" s="603" t="s">
        <v>2355</v>
      </c>
      <c r="L42" s="604" t="s">
        <v>1546</v>
      </c>
      <c r="N42" s="613">
        <f t="shared" si="1"/>
        <v>1</v>
      </c>
      <c r="O42" s="614" t="s">
        <v>2356</v>
      </c>
      <c r="P42" s="614" t="s">
        <v>2381</v>
      </c>
      <c r="Q42" s="614"/>
      <c r="R42" s="614"/>
      <c r="S42" s="614"/>
      <c r="T42" s="614"/>
      <c r="U42" s="614"/>
      <c r="V42" s="594"/>
      <c r="W42" s="594"/>
      <c r="X42" s="594" t="s">
        <v>291</v>
      </c>
      <c r="Y42" s="594"/>
      <c r="Z42" s="595" t="s">
        <v>2161</v>
      </c>
    </row>
    <row r="43" spans="1:26" s="580" customFormat="1" ht="12.75" customHeight="1" thickBot="1" x14ac:dyDescent="0.25">
      <c r="A43" s="584"/>
      <c r="B43" s="585"/>
      <c r="C43" s="586"/>
      <c r="E43" s="602">
        <f t="shared" si="0"/>
        <v>1</v>
      </c>
      <c r="F43" s="603" t="s">
        <v>2356</v>
      </c>
      <c r="G43" s="603"/>
      <c r="H43" s="603"/>
      <c r="I43" s="603" t="s">
        <v>291</v>
      </c>
      <c r="J43" s="603"/>
      <c r="K43" s="603"/>
      <c r="L43" s="604" t="s">
        <v>2161</v>
      </c>
      <c r="N43" s="613">
        <f t="shared" si="1"/>
        <v>1</v>
      </c>
      <c r="O43" s="614" t="s">
        <v>2357</v>
      </c>
      <c r="P43" s="614" t="s">
        <v>2381</v>
      </c>
      <c r="Q43" s="614"/>
      <c r="R43" s="614"/>
      <c r="S43" s="614"/>
      <c r="T43" s="614"/>
      <c r="U43" s="614"/>
      <c r="V43" s="594"/>
      <c r="W43" s="594"/>
      <c r="X43" s="594" t="s">
        <v>2359</v>
      </c>
      <c r="Y43" s="594" t="s">
        <v>2358</v>
      </c>
      <c r="Z43" s="595"/>
    </row>
    <row r="44" spans="1:26" s="580" customFormat="1" x14ac:dyDescent="0.2">
      <c r="E44" s="602">
        <f t="shared" si="0"/>
        <v>1</v>
      </c>
      <c r="F44" s="603" t="s">
        <v>2357</v>
      </c>
      <c r="G44" s="603"/>
      <c r="H44" s="603"/>
      <c r="I44" s="603" t="s">
        <v>2359</v>
      </c>
      <c r="J44" s="603" t="s">
        <v>2358</v>
      </c>
      <c r="K44" s="603"/>
      <c r="L44" s="604"/>
      <c r="N44" s="613">
        <f t="shared" si="1"/>
        <v>1</v>
      </c>
      <c r="O44" s="614" t="s">
        <v>2408</v>
      </c>
      <c r="P44" s="614" t="s">
        <v>2381</v>
      </c>
      <c r="Q44" s="614"/>
      <c r="R44" s="614"/>
      <c r="S44" s="614"/>
      <c r="T44" s="614"/>
      <c r="U44" s="614"/>
      <c r="V44" s="594">
        <v>1</v>
      </c>
      <c r="W44" s="594">
        <v>60</v>
      </c>
      <c r="X44" s="594">
        <v>9</v>
      </c>
      <c r="Y44" s="594">
        <v>8</v>
      </c>
      <c r="Z44" s="595">
        <v>15</v>
      </c>
    </row>
    <row r="45" spans="1:26" s="580" customFormat="1" x14ac:dyDescent="0.2">
      <c r="E45" s="602">
        <f t="shared" si="0"/>
        <v>1</v>
      </c>
      <c r="F45" s="603" t="s">
        <v>2600</v>
      </c>
      <c r="G45" s="603"/>
      <c r="H45" s="603"/>
      <c r="I45" s="603"/>
      <c r="J45" s="605"/>
      <c r="K45" s="605" t="s">
        <v>2601</v>
      </c>
      <c r="L45" s="604" t="s">
        <v>2603</v>
      </c>
      <c r="N45" s="613">
        <f t="shared" si="1"/>
        <v>1</v>
      </c>
      <c r="O45" s="614" t="s">
        <v>2392</v>
      </c>
      <c r="P45" s="614" t="s">
        <v>2381</v>
      </c>
      <c r="Q45" s="614"/>
      <c r="R45" s="614">
        <v>0</v>
      </c>
      <c r="S45" s="614">
        <v>0</v>
      </c>
      <c r="T45" s="614">
        <v>0</v>
      </c>
      <c r="U45" s="614">
        <v>0</v>
      </c>
      <c r="V45" s="594"/>
      <c r="W45" s="594"/>
      <c r="X45" s="594"/>
      <c r="Y45" s="594"/>
      <c r="Z45" s="595"/>
    </row>
    <row r="46" spans="1:26" s="580" customFormat="1" x14ac:dyDescent="0.2">
      <c r="E46" s="602">
        <f>IF(iIsAdHocConfig=0,1,0)</f>
        <v>0</v>
      </c>
      <c r="F46" s="603" t="s">
        <v>2341</v>
      </c>
      <c r="G46" s="603"/>
      <c r="H46" s="603" t="s">
        <v>2360</v>
      </c>
      <c r="I46" s="603">
        <v>111111111</v>
      </c>
      <c r="J46" s="605" t="s">
        <v>2361</v>
      </c>
      <c r="K46" s="605" t="s">
        <v>2599</v>
      </c>
      <c r="L46" s="604">
        <v>50000</v>
      </c>
      <c r="N46" s="613">
        <f t="shared" si="1"/>
        <v>1</v>
      </c>
      <c r="O46" s="614" t="s">
        <v>2412</v>
      </c>
      <c r="P46" s="614" t="s">
        <v>2381</v>
      </c>
      <c r="Q46" s="614"/>
      <c r="R46" s="614">
        <v>1</v>
      </c>
      <c r="S46" s="614">
        <v>2</v>
      </c>
      <c r="T46" s="614"/>
      <c r="U46" s="614"/>
      <c r="V46" s="594"/>
      <c r="W46" s="594"/>
      <c r="X46" s="594"/>
      <c r="Y46" s="594"/>
      <c r="Z46" s="595"/>
    </row>
    <row r="47" spans="1:26" s="580" customFormat="1" x14ac:dyDescent="0.2">
      <c r="E47" s="583"/>
      <c r="F47" s="581"/>
      <c r="G47" s="581"/>
      <c r="H47" s="581"/>
      <c r="I47" s="581"/>
      <c r="J47" s="581"/>
      <c r="K47" s="581"/>
      <c r="L47" s="582"/>
      <c r="N47" s="613">
        <f t="shared" si="1"/>
        <v>1</v>
      </c>
      <c r="O47" s="614" t="s">
        <v>2413</v>
      </c>
      <c r="P47" s="614" t="s">
        <v>2381</v>
      </c>
      <c r="Q47" s="614"/>
      <c r="R47" s="614" t="s">
        <v>2281</v>
      </c>
      <c r="S47" s="614" t="s">
        <v>2281</v>
      </c>
      <c r="T47" s="614"/>
      <c r="U47" s="614"/>
      <c r="V47" s="594"/>
      <c r="W47" s="594"/>
      <c r="X47" s="594"/>
      <c r="Y47" s="594"/>
      <c r="Z47" s="595"/>
    </row>
    <row r="48" spans="1:26" s="580" customFormat="1" ht="13.5" thickBot="1" x14ac:dyDescent="0.25">
      <c r="E48" s="584"/>
      <c r="F48" s="585"/>
      <c r="G48" s="585"/>
      <c r="H48" s="585"/>
      <c r="I48" s="585"/>
      <c r="J48" s="585"/>
      <c r="K48" s="585"/>
      <c r="L48" s="586"/>
      <c r="N48" s="616">
        <f>IF(iIsAdHocConfig=0,1,0)</f>
        <v>0</v>
      </c>
      <c r="O48" s="617" t="s">
        <v>2341</v>
      </c>
      <c r="P48" s="617" t="s">
        <v>2381</v>
      </c>
      <c r="Q48" s="617"/>
      <c r="R48" s="617">
        <v>2</v>
      </c>
      <c r="S48" s="617">
        <v>1</v>
      </c>
      <c r="T48" s="617">
        <v>0</v>
      </c>
      <c r="U48" s="617">
        <f>Z48</f>
        <v>50000</v>
      </c>
      <c r="V48" s="618" t="s">
        <v>2388</v>
      </c>
      <c r="W48" s="618" t="s">
        <v>2360</v>
      </c>
      <c r="X48" s="618">
        <v>111111111</v>
      </c>
      <c r="Y48" s="619" t="s">
        <v>2361</v>
      </c>
      <c r="Z48" s="620">
        <v>50000</v>
      </c>
    </row>
    <row r="49" spans="1:26" s="580" customFormat="1" x14ac:dyDescent="0.2">
      <c r="N49" s="611">
        <f>iIsAdHocConfig</f>
        <v>1</v>
      </c>
      <c r="O49" s="612" t="s">
        <v>356</v>
      </c>
      <c r="P49" s="612" t="s">
        <v>2382</v>
      </c>
      <c r="Q49" s="612" t="s">
        <v>2383</v>
      </c>
      <c r="R49" s="612" t="s">
        <v>2395</v>
      </c>
      <c r="S49" s="612" t="s">
        <v>2396</v>
      </c>
      <c r="T49" s="612" t="s">
        <v>2402</v>
      </c>
      <c r="U49" s="612" t="s">
        <v>2405</v>
      </c>
      <c r="V49" s="621" t="s">
        <v>2387</v>
      </c>
      <c r="W49" s="621" t="s">
        <v>2020</v>
      </c>
      <c r="X49" s="621" t="s">
        <v>372</v>
      </c>
      <c r="Y49" s="622" t="s">
        <v>1712</v>
      </c>
      <c r="Z49" s="588"/>
    </row>
    <row r="50" spans="1:26" s="580" customFormat="1" x14ac:dyDescent="0.2">
      <c r="N50" s="613">
        <f>iIsAdHocConfig</f>
        <v>1</v>
      </c>
      <c r="O50" s="614" t="s">
        <v>2354</v>
      </c>
      <c r="P50" s="614" t="s">
        <v>2382</v>
      </c>
      <c r="Q50" s="614"/>
      <c r="R50" s="614" t="s">
        <v>1848</v>
      </c>
      <c r="S50" s="614" t="s">
        <v>1848</v>
      </c>
      <c r="T50" s="614" t="s">
        <v>1546</v>
      </c>
      <c r="U50" s="614" t="s">
        <v>1546</v>
      </c>
      <c r="V50" s="596" t="s">
        <v>2355</v>
      </c>
      <c r="W50" s="596" t="s">
        <v>2355</v>
      </c>
      <c r="X50" s="596" t="s">
        <v>373</v>
      </c>
      <c r="Y50" s="606" t="s">
        <v>1546</v>
      </c>
      <c r="Z50" s="588"/>
    </row>
    <row r="51" spans="1:26" s="580" customFormat="1" x14ac:dyDescent="0.2">
      <c r="N51" s="613">
        <f>iIsAdHocConfig</f>
        <v>1</v>
      </c>
      <c r="O51" s="614" t="s">
        <v>2356</v>
      </c>
      <c r="P51" s="614" t="s">
        <v>2382</v>
      </c>
      <c r="Q51" s="614"/>
      <c r="R51" s="614"/>
      <c r="S51" s="614"/>
      <c r="T51" s="614"/>
      <c r="U51" s="614"/>
      <c r="V51" s="596"/>
      <c r="W51" s="596"/>
      <c r="X51" s="596"/>
      <c r="Y51" s="606" t="s">
        <v>2161</v>
      </c>
      <c r="Z51" s="588"/>
    </row>
    <row r="52" spans="1:26" s="580" customFormat="1" x14ac:dyDescent="0.2">
      <c r="N52" s="613">
        <f>iIsAdHocConfig</f>
        <v>1</v>
      </c>
      <c r="O52" s="614" t="s">
        <v>2408</v>
      </c>
      <c r="P52" s="614" t="s">
        <v>2382</v>
      </c>
      <c r="Q52" s="614"/>
      <c r="R52" s="614"/>
      <c r="S52" s="614"/>
      <c r="T52" s="614"/>
      <c r="U52" s="614"/>
      <c r="V52" s="596">
        <v>1</v>
      </c>
      <c r="W52" s="596">
        <v>60</v>
      </c>
      <c r="X52" s="596">
        <v>1</v>
      </c>
      <c r="Y52" s="606">
        <v>15</v>
      </c>
      <c r="Z52" s="588"/>
    </row>
    <row r="53" spans="1:26" s="580" customFormat="1" x14ac:dyDescent="0.2">
      <c r="N53" s="613">
        <f>iIsAdHocConfig</f>
        <v>1</v>
      </c>
      <c r="O53" s="614" t="s">
        <v>2392</v>
      </c>
      <c r="P53" s="614" t="s">
        <v>2382</v>
      </c>
      <c r="Q53" s="614"/>
      <c r="R53" s="614">
        <v>0</v>
      </c>
      <c r="S53" s="614">
        <v>0</v>
      </c>
      <c r="T53" s="614">
        <v>0</v>
      </c>
      <c r="U53" s="614">
        <v>0</v>
      </c>
      <c r="V53" s="596"/>
      <c r="W53" s="596"/>
      <c r="X53" s="596"/>
      <c r="Y53" s="606"/>
      <c r="Z53" s="588"/>
    </row>
    <row r="54" spans="1:26" s="580" customFormat="1" x14ac:dyDescent="0.2">
      <c r="N54" s="613">
        <f>IF(iIsAdHocConfig=0,1,0)</f>
        <v>0</v>
      </c>
      <c r="O54" s="614" t="s">
        <v>959</v>
      </c>
      <c r="P54" s="614" t="s">
        <v>2382</v>
      </c>
      <c r="Q54" s="614"/>
      <c r="R54" s="614">
        <v>2</v>
      </c>
      <c r="S54" s="614">
        <v>2</v>
      </c>
      <c r="T54" s="614">
        <f>Y54</f>
        <v>100000</v>
      </c>
      <c r="U54" s="614">
        <v>0</v>
      </c>
      <c r="V54" s="596" t="s">
        <v>2388</v>
      </c>
      <c r="W54" s="596" t="s">
        <v>2384</v>
      </c>
      <c r="X54" s="596" t="s">
        <v>368</v>
      </c>
      <c r="Y54" s="606">
        <v>100000</v>
      </c>
      <c r="Z54" s="588"/>
    </row>
    <row r="55" spans="1:26" s="580" customFormat="1" x14ac:dyDescent="0.2">
      <c r="N55" s="613">
        <f>IF(iIsAdHocConfig=0,1,0)</f>
        <v>0</v>
      </c>
      <c r="O55" s="614" t="s">
        <v>960</v>
      </c>
      <c r="P55" s="614" t="s">
        <v>2382</v>
      </c>
      <c r="Q55" s="614"/>
      <c r="R55" s="614">
        <v>2</v>
      </c>
      <c r="S55" s="614">
        <v>2</v>
      </c>
      <c r="T55" s="614">
        <f>Y55</f>
        <v>400000</v>
      </c>
      <c r="U55" s="614">
        <v>0</v>
      </c>
      <c r="V55" s="596" t="s">
        <v>2388</v>
      </c>
      <c r="W55" s="596" t="s">
        <v>2385</v>
      </c>
      <c r="X55" s="596" t="s">
        <v>1861</v>
      </c>
      <c r="Y55" s="606">
        <v>400000</v>
      </c>
      <c r="Z55" s="588"/>
    </row>
    <row r="56" spans="1:26" s="580" customFormat="1" ht="13.5" thickBot="1" x14ac:dyDescent="0.25">
      <c r="N56" s="616">
        <f>IF(iIsAdHocConfig=0,1,0)</f>
        <v>0</v>
      </c>
      <c r="O56" s="617" t="s">
        <v>1897</v>
      </c>
      <c r="P56" s="617" t="s">
        <v>2382</v>
      </c>
      <c r="Q56" s="617"/>
      <c r="R56" s="617">
        <v>2</v>
      </c>
      <c r="S56" s="617">
        <v>2</v>
      </c>
      <c r="T56" s="617">
        <f>Y56</f>
        <v>100</v>
      </c>
      <c r="U56" s="617">
        <v>0</v>
      </c>
      <c r="V56" s="623" t="s">
        <v>2388</v>
      </c>
      <c r="W56" s="623" t="s">
        <v>2386</v>
      </c>
      <c r="X56" s="623" t="s">
        <v>1861</v>
      </c>
      <c r="Y56" s="624">
        <v>100</v>
      </c>
      <c r="Z56" s="588"/>
    </row>
    <row r="57" spans="1:26" s="580" customFormat="1" x14ac:dyDescent="0.2">
      <c r="A57" s="352"/>
      <c r="B57" s="352"/>
      <c r="C57" s="352"/>
      <c r="N57" s="611">
        <f t="shared" ref="N57:N66" si="2">iIsAdHocConfig</f>
        <v>1</v>
      </c>
      <c r="O57" s="625" t="s">
        <v>356</v>
      </c>
      <c r="P57" s="625" t="s">
        <v>2420</v>
      </c>
      <c r="Q57" s="625" t="s">
        <v>2383</v>
      </c>
      <c r="R57" s="625" t="s">
        <v>2395</v>
      </c>
      <c r="S57" s="625" t="s">
        <v>2396</v>
      </c>
      <c r="T57" s="612" t="s">
        <v>2402</v>
      </c>
      <c r="U57" s="612" t="s">
        <v>2405</v>
      </c>
      <c r="V57" s="626" t="s">
        <v>2387</v>
      </c>
      <c r="W57" s="627" t="s">
        <v>2397</v>
      </c>
      <c r="X57" s="628" t="s">
        <v>2399</v>
      </c>
      <c r="Y57" s="589"/>
      <c r="Z57" s="588"/>
    </row>
    <row r="58" spans="1:26" s="580" customFormat="1" x14ac:dyDescent="0.2">
      <c r="A58" s="352"/>
      <c r="B58" s="352"/>
      <c r="C58" s="352"/>
      <c r="N58" s="613">
        <f t="shared" si="2"/>
        <v>1</v>
      </c>
      <c r="O58" s="614" t="s">
        <v>2354</v>
      </c>
      <c r="P58" s="615" t="s">
        <v>2420</v>
      </c>
      <c r="Q58" s="614"/>
      <c r="R58" s="614" t="s">
        <v>1848</v>
      </c>
      <c r="S58" s="614" t="s">
        <v>1848</v>
      </c>
      <c r="T58" s="614" t="s">
        <v>1546</v>
      </c>
      <c r="U58" s="614" t="s">
        <v>1546</v>
      </c>
      <c r="V58" s="597" t="s">
        <v>2355</v>
      </c>
      <c r="W58" s="597" t="s">
        <v>1848</v>
      </c>
      <c r="X58" s="607" t="s">
        <v>1546</v>
      </c>
      <c r="Y58" s="587"/>
      <c r="Z58" s="588"/>
    </row>
    <row r="59" spans="1:26" s="580" customFormat="1" x14ac:dyDescent="0.2">
      <c r="A59" s="352"/>
      <c r="B59" s="352"/>
      <c r="C59" s="352"/>
      <c r="N59" s="613">
        <f t="shared" si="2"/>
        <v>1</v>
      </c>
      <c r="O59" s="614" t="s">
        <v>2408</v>
      </c>
      <c r="P59" s="615" t="s">
        <v>2420</v>
      </c>
      <c r="Q59" s="614"/>
      <c r="R59" s="614"/>
      <c r="S59" s="614"/>
      <c r="T59" s="614"/>
      <c r="U59" s="614"/>
      <c r="V59" s="597">
        <v>1</v>
      </c>
      <c r="W59" s="597">
        <v>10</v>
      </c>
      <c r="X59" s="607">
        <v>20</v>
      </c>
      <c r="Y59" s="587"/>
      <c r="Z59" s="588"/>
    </row>
    <row r="60" spans="1:26" s="580" customFormat="1" x14ac:dyDescent="0.2">
      <c r="A60" s="352"/>
      <c r="B60" s="352"/>
      <c r="C60" s="352"/>
      <c r="N60" s="613">
        <f t="shared" si="2"/>
        <v>1</v>
      </c>
      <c r="O60" s="614" t="s">
        <v>2392</v>
      </c>
      <c r="P60" s="615" t="s">
        <v>2420</v>
      </c>
      <c r="Q60" s="614"/>
      <c r="R60" s="614">
        <v>0</v>
      </c>
      <c r="S60" s="614">
        <v>0</v>
      </c>
      <c r="T60" s="614">
        <v>0</v>
      </c>
      <c r="U60" s="614">
        <v>0</v>
      </c>
      <c r="V60" s="597"/>
      <c r="W60" s="597"/>
      <c r="X60" s="607"/>
      <c r="Y60" s="587"/>
      <c r="Z60" s="588"/>
    </row>
    <row r="61" spans="1:26" s="580" customFormat="1" ht="13.5" thickBot="1" x14ac:dyDescent="0.25">
      <c r="A61" s="352"/>
      <c r="B61" s="352"/>
      <c r="C61" s="352"/>
      <c r="N61" s="616">
        <f t="shared" si="2"/>
        <v>1</v>
      </c>
      <c r="O61" s="629" t="s">
        <v>771</v>
      </c>
      <c r="P61" s="629" t="s">
        <v>2420</v>
      </c>
      <c r="Q61" s="629"/>
      <c r="R61" s="629">
        <v>1</v>
      </c>
      <c r="S61" s="629">
        <v>0</v>
      </c>
      <c r="T61" s="629">
        <v>0</v>
      </c>
      <c r="U61" s="629">
        <v>0</v>
      </c>
      <c r="V61" s="630" t="s">
        <v>2390</v>
      </c>
      <c r="W61" s="630" t="s">
        <v>2398</v>
      </c>
      <c r="X61" s="631" t="s">
        <v>2400</v>
      </c>
      <c r="Y61" s="589"/>
      <c r="Z61" s="588"/>
    </row>
    <row r="62" spans="1:26" x14ac:dyDescent="0.2">
      <c r="N62" s="611">
        <f t="shared" si="2"/>
        <v>1</v>
      </c>
      <c r="O62" s="625" t="s">
        <v>356</v>
      </c>
      <c r="P62" s="625" t="s">
        <v>2421</v>
      </c>
      <c r="Q62" s="625" t="s">
        <v>2383</v>
      </c>
      <c r="R62" s="625" t="s">
        <v>2395</v>
      </c>
      <c r="S62" s="625" t="s">
        <v>2396</v>
      </c>
      <c r="T62" s="612" t="s">
        <v>2402</v>
      </c>
      <c r="U62" s="612" t="s">
        <v>2405</v>
      </c>
      <c r="V62" s="632" t="s">
        <v>2387</v>
      </c>
      <c r="W62" s="633" t="s">
        <v>2409</v>
      </c>
      <c r="X62" s="634" t="s">
        <v>2406</v>
      </c>
      <c r="Y62" s="589"/>
      <c r="Z62" s="588"/>
    </row>
    <row r="63" spans="1:26" x14ac:dyDescent="0.2">
      <c r="N63" s="613">
        <f t="shared" si="2"/>
        <v>1</v>
      </c>
      <c r="O63" s="614" t="s">
        <v>2354</v>
      </c>
      <c r="P63" s="615" t="s">
        <v>2421</v>
      </c>
      <c r="Q63" s="614"/>
      <c r="R63" s="614" t="s">
        <v>1848</v>
      </c>
      <c r="S63" s="614" t="s">
        <v>1848</v>
      </c>
      <c r="T63" s="614" t="s">
        <v>1546</v>
      </c>
      <c r="U63" s="614" t="s">
        <v>1546</v>
      </c>
      <c r="V63" s="598" t="s">
        <v>2355</v>
      </c>
      <c r="W63" s="598" t="s">
        <v>2355</v>
      </c>
      <c r="X63" s="608" t="s">
        <v>1546</v>
      </c>
      <c r="Y63" s="587"/>
      <c r="Z63" s="588"/>
    </row>
    <row r="64" spans="1:26" x14ac:dyDescent="0.2">
      <c r="N64" s="613">
        <f t="shared" si="2"/>
        <v>1</v>
      </c>
      <c r="O64" s="614" t="s">
        <v>2408</v>
      </c>
      <c r="P64" s="615" t="s">
        <v>2421</v>
      </c>
      <c r="Q64" s="614"/>
      <c r="R64" s="614"/>
      <c r="S64" s="614"/>
      <c r="T64" s="614"/>
      <c r="U64" s="614"/>
      <c r="V64" s="598">
        <v>1</v>
      </c>
      <c r="W64" s="598">
        <v>10</v>
      </c>
      <c r="X64" s="608">
        <v>20</v>
      </c>
      <c r="Y64" s="587"/>
      <c r="Z64" s="588"/>
    </row>
    <row r="65" spans="9:29" x14ac:dyDescent="0.2">
      <c r="N65" s="613">
        <f t="shared" si="2"/>
        <v>1</v>
      </c>
      <c r="O65" s="614" t="s">
        <v>2392</v>
      </c>
      <c r="P65" s="615" t="s">
        <v>2421</v>
      </c>
      <c r="Q65" s="614"/>
      <c r="R65" s="614">
        <v>0</v>
      </c>
      <c r="S65" s="614">
        <v>0</v>
      </c>
      <c r="T65" s="614">
        <v>0</v>
      </c>
      <c r="U65" s="614">
        <v>0</v>
      </c>
      <c r="V65" s="598"/>
      <c r="W65" s="598"/>
      <c r="X65" s="608"/>
      <c r="Y65" s="587"/>
      <c r="Z65" s="588"/>
    </row>
    <row r="66" spans="9:29" ht="13.5" thickBot="1" x14ac:dyDescent="0.25">
      <c r="N66" s="616">
        <f t="shared" si="2"/>
        <v>1</v>
      </c>
      <c r="O66" s="629" t="s">
        <v>2403</v>
      </c>
      <c r="P66" s="629" t="s">
        <v>2421</v>
      </c>
      <c r="Q66" s="629"/>
      <c r="R66" s="629">
        <v>3</v>
      </c>
      <c r="S66" s="629">
        <v>0</v>
      </c>
      <c r="T66" s="629">
        <v>0</v>
      </c>
      <c r="U66" s="629">
        <v>0</v>
      </c>
      <c r="V66" s="609" t="s">
        <v>2390</v>
      </c>
      <c r="W66" s="609"/>
      <c r="X66" s="610" t="s">
        <v>2407</v>
      </c>
      <c r="Y66" s="589"/>
      <c r="Z66" s="588"/>
    </row>
    <row r="67" spans="9:29" ht="13.5" thickBot="1" x14ac:dyDescent="0.25">
      <c r="N67" s="616"/>
      <c r="O67" s="617"/>
      <c r="P67" s="617"/>
      <c r="Q67" s="617"/>
      <c r="R67" s="617"/>
      <c r="S67" s="617"/>
      <c r="T67" s="617"/>
      <c r="U67" s="617"/>
      <c r="V67" s="590"/>
      <c r="W67" s="590"/>
      <c r="X67" s="590"/>
      <c r="Y67" s="590"/>
      <c r="Z67" s="591"/>
    </row>
    <row r="68" spans="9:29" x14ac:dyDescent="0.2">
      <c r="R68" s="580"/>
      <c r="S68" s="580"/>
      <c r="T68" s="580"/>
      <c r="U68" s="580"/>
      <c r="V68" s="580"/>
      <c r="W68" s="580"/>
      <c r="X68" s="580"/>
      <c r="Y68" s="580"/>
      <c r="Z68" s="580"/>
      <c r="AA68" s="580"/>
      <c r="AB68" s="580"/>
      <c r="AC68" s="580"/>
    </row>
    <row r="69" spans="9:29" x14ac:dyDescent="0.2">
      <c r="I69" s="580"/>
      <c r="J69" s="580"/>
      <c r="K69" s="580"/>
      <c r="L69" s="580"/>
      <c r="M69" s="580"/>
      <c r="N69" s="580"/>
      <c r="O69" s="580"/>
      <c r="P69" s="580"/>
      <c r="Q69" s="580"/>
      <c r="R69" s="580"/>
      <c r="S69" s="580"/>
      <c r="T69" s="580"/>
      <c r="U69" s="580"/>
    </row>
    <row r="70" spans="9:29" x14ac:dyDescent="0.2">
      <c r="I70" s="580"/>
      <c r="J70" s="580"/>
      <c r="K70" s="580"/>
      <c r="L70" s="580"/>
      <c r="M70" s="580"/>
      <c r="N70" s="580"/>
      <c r="O70" s="580"/>
      <c r="P70" s="580"/>
      <c r="Q70" s="580"/>
      <c r="R70" s="580"/>
      <c r="S70" s="580"/>
      <c r="T70" s="580"/>
      <c r="U70" s="580"/>
    </row>
    <row r="71" spans="9:29" x14ac:dyDescent="0.2">
      <c r="I71" s="580"/>
      <c r="J71" s="580"/>
      <c r="K71" s="580"/>
      <c r="L71" s="580"/>
      <c r="M71" s="580"/>
      <c r="N71" s="580"/>
      <c r="O71" s="580"/>
      <c r="P71" s="580"/>
      <c r="Q71" s="580"/>
      <c r="R71" s="580"/>
      <c r="S71" s="580"/>
      <c r="T71" s="580"/>
      <c r="U71" s="580"/>
    </row>
    <row r="72" spans="9:29" x14ac:dyDescent="0.2">
      <c r="I72" s="580"/>
      <c r="J72" s="580"/>
      <c r="K72" s="580"/>
      <c r="L72" s="580"/>
      <c r="M72" s="580"/>
      <c r="N72" s="580"/>
      <c r="O72" s="580"/>
      <c r="P72" s="580"/>
      <c r="Q72" s="580"/>
      <c r="R72" s="580"/>
      <c r="S72" s="580"/>
      <c r="T72" s="580"/>
      <c r="U72" s="580"/>
    </row>
    <row r="73" spans="9:29" x14ac:dyDescent="0.2">
      <c r="I73" s="580"/>
      <c r="J73" s="580"/>
      <c r="K73" s="580"/>
      <c r="L73" s="580"/>
      <c r="M73" s="580"/>
      <c r="N73" s="580"/>
      <c r="O73" s="580"/>
      <c r="P73" s="580"/>
      <c r="Q73" s="580"/>
      <c r="R73" s="580"/>
      <c r="S73" s="580"/>
    </row>
    <row r="74" spans="9:29" x14ac:dyDescent="0.2">
      <c r="I74" s="580"/>
      <c r="J74" s="580"/>
      <c r="K74" s="580"/>
      <c r="L74" s="580"/>
      <c r="M74" s="580"/>
      <c r="N74" s="580"/>
      <c r="O74" s="580"/>
      <c r="P74" s="580"/>
      <c r="Q74" s="580"/>
      <c r="R74" s="580"/>
      <c r="S74" s="580"/>
    </row>
    <row r="75" spans="9:29" x14ac:dyDescent="0.2">
      <c r="I75" s="580"/>
      <c r="J75" s="580"/>
      <c r="K75" s="580"/>
      <c r="L75" s="580"/>
      <c r="M75" s="580"/>
      <c r="N75" s="580"/>
      <c r="O75" s="580"/>
      <c r="P75" s="580"/>
      <c r="Q75" s="580"/>
      <c r="R75" s="580"/>
      <c r="S75" s="580"/>
    </row>
    <row r="76" spans="9:29" x14ac:dyDescent="0.2">
      <c r="I76" s="580"/>
      <c r="J76" s="580"/>
      <c r="K76" s="580"/>
      <c r="L76" s="580"/>
      <c r="M76" s="580"/>
      <c r="N76" s="580"/>
      <c r="O76" s="580"/>
      <c r="P76" s="580"/>
      <c r="Q76" s="580"/>
    </row>
    <row r="77" spans="9:29" x14ac:dyDescent="0.2">
      <c r="I77" s="580"/>
      <c r="J77" s="580"/>
      <c r="K77" s="580"/>
      <c r="L77" s="580"/>
      <c r="M77" s="580"/>
      <c r="N77" s="580"/>
      <c r="O77" s="580"/>
      <c r="P77" s="580"/>
      <c r="Q77" s="580"/>
    </row>
    <row r="78" spans="9:29" x14ac:dyDescent="0.2">
      <c r="I78" s="580"/>
      <c r="J78" s="580"/>
      <c r="K78" s="580"/>
      <c r="L78" s="580"/>
      <c r="M78" s="580"/>
      <c r="N78" s="580"/>
      <c r="O78" s="580"/>
      <c r="P78" s="580"/>
      <c r="Q78" s="580"/>
    </row>
    <row r="79" spans="9:29" x14ac:dyDescent="0.2">
      <c r="I79" s="580"/>
      <c r="J79" s="580"/>
      <c r="K79" s="580"/>
      <c r="L79" s="580"/>
      <c r="M79" s="580"/>
      <c r="N79" s="580"/>
      <c r="O79" s="580"/>
      <c r="P79" s="580"/>
      <c r="Q79" s="580"/>
    </row>
    <row r="80" spans="9:29" x14ac:dyDescent="0.2">
      <c r="I80" s="580"/>
      <c r="J80" s="580"/>
      <c r="K80" s="580"/>
      <c r="L80" s="580"/>
      <c r="M80" s="580"/>
      <c r="N80" s="580"/>
      <c r="O80" s="580"/>
      <c r="P80" s="580"/>
      <c r="Q80" s="580"/>
    </row>
  </sheetData>
  <dataValidations count="7">
    <dataValidation type="list" allowBlank="1" showInputMessage="1" showErrorMessage="1" sqref="B4">
      <formula1>"ResultXml,FolderItem,Update,ReportData"</formula1>
    </dataValidation>
    <dataValidation type="list" allowBlank="1" showInputMessage="1" showErrorMessage="1" sqref="Q63:Q64 Q48:Q50 R42:U42 Q40:Q44 Q52 Q58:Q59 G40:G48">
      <formula1>"FirstRow,Never,Always"</formula1>
    </dataValidation>
    <dataValidation type="list" allowBlank="1" showInputMessage="1" showErrorMessage="1" sqref="Y63 Y58">
      <formula1>"String, Integer, Double, DateTime"</formula1>
    </dataValidation>
    <dataValidation type="list" showInputMessage="1" showErrorMessage="1" sqref="B34:B35">
      <formula1>"Update"</formula1>
    </dataValidation>
    <dataValidation showInputMessage="1" showErrorMessage="1" sqref="B5:B33"/>
    <dataValidation type="list" allowBlank="1" showInputMessage="1" showErrorMessage="1" sqref="R47:Z47">
      <formula1>"Ascending,Descending"</formula1>
    </dataValidation>
    <dataValidation allowBlank="1" showInputMessage="1" showErrorMessage="1" sqref="R41:Z41 R58:X58 R63:X63 H42:L42"/>
  </dataValidations>
  <pageMargins left="0.75" right="0.75" top="1" bottom="1" header="0.5" footer="0.5"/>
  <pageSetup orientation="portrait" horizontalDpi="4294967293" verticalDpi="4294967293" r:id="rId1"/>
  <headerFooter alignWithMargins="0"/>
  <ignoredErrors>
    <ignoredError sqref="N48" formula="1"/>
  </ignoredErrors>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5:BS103"/>
  <sheetViews>
    <sheetView topLeftCell="BJ1" workbookViewId="0">
      <selection activeCell="BJ13" sqref="BJ13:BS13"/>
    </sheetView>
  </sheetViews>
  <sheetFormatPr defaultRowHeight="12.75" x14ac:dyDescent="0.2"/>
  <cols>
    <col min="1" max="1" width="9.85546875" bestFit="1" customWidth="1"/>
    <col min="2" max="2" width="8.42578125" bestFit="1" customWidth="1"/>
    <col min="3" max="3" width="16.85546875" bestFit="1" customWidth="1"/>
    <col min="4" max="4" width="11.42578125" bestFit="1" customWidth="1"/>
    <col min="10" max="10" width="18.85546875" customWidth="1"/>
    <col min="11" max="11" width="37.42578125" bestFit="1" customWidth="1"/>
    <col min="12" max="12" width="18.85546875" customWidth="1"/>
    <col min="15" max="15" width="19" customWidth="1"/>
    <col min="16" max="21" width="16" customWidth="1"/>
    <col min="23" max="23" width="15.85546875" customWidth="1"/>
    <col min="24" max="24" width="33.5703125" bestFit="1" customWidth="1"/>
    <col min="25" max="25" width="15.85546875" customWidth="1"/>
    <col min="28" max="28" width="21" bestFit="1" customWidth="1"/>
    <col min="29" max="29" width="16.28515625" customWidth="1"/>
    <col min="31" max="31" width="18.42578125" customWidth="1"/>
    <col min="32" max="32" width="40" bestFit="1" customWidth="1"/>
    <col min="33" max="33" width="18.42578125" customWidth="1"/>
    <col min="36" max="36" width="21" bestFit="1" customWidth="1"/>
    <col min="37" max="41" width="15.5703125" customWidth="1"/>
    <col min="43" max="43" width="18.42578125" customWidth="1"/>
    <col min="44" max="44" width="40" bestFit="1" customWidth="1"/>
    <col min="45" max="45" width="18.42578125" customWidth="1"/>
    <col min="47" max="47" width="10.7109375" customWidth="1"/>
    <col min="48" max="48" width="11.42578125" bestFit="1" customWidth="1"/>
    <col min="49" max="52" width="14.140625" customWidth="1"/>
    <col min="53" max="53" width="9.28515625" bestFit="1" customWidth="1"/>
    <col min="54" max="54" width="10.140625" bestFit="1" customWidth="1"/>
    <col min="56" max="56" width="10.42578125" customWidth="1"/>
    <col min="57" max="57" width="40" bestFit="1" customWidth="1"/>
    <col min="58" max="58" width="18.42578125" customWidth="1"/>
    <col min="61" max="71" width="17.85546875" customWidth="1"/>
  </cols>
  <sheetData>
    <row r="5" spans="1:71" ht="13.5" thickBot="1" x14ac:dyDescent="0.25"/>
    <row r="6" spans="1:71" ht="15" x14ac:dyDescent="0.25">
      <c r="A6" s="818" t="s">
        <v>831</v>
      </c>
      <c r="B6" s="819"/>
      <c r="C6" s="820"/>
      <c r="D6" s="820"/>
      <c r="E6" s="821"/>
      <c r="F6" s="818" t="s">
        <v>3296</v>
      </c>
      <c r="G6" s="819"/>
      <c r="H6" s="820"/>
      <c r="I6" s="821"/>
      <c r="J6" s="822" t="s">
        <v>3297</v>
      </c>
      <c r="K6" s="822"/>
      <c r="L6" s="822"/>
      <c r="M6" s="823"/>
      <c r="N6" s="822" t="s">
        <v>3298</v>
      </c>
      <c r="O6" s="822"/>
      <c r="P6" s="822"/>
      <c r="Q6" s="822"/>
      <c r="R6" s="822"/>
      <c r="S6" s="822"/>
      <c r="T6" s="822"/>
      <c r="U6" s="822"/>
      <c r="V6" s="823"/>
      <c r="W6" s="822" t="s">
        <v>3299</v>
      </c>
      <c r="X6" s="822"/>
      <c r="Y6" s="822"/>
      <c r="Z6" s="823"/>
      <c r="AA6" s="822" t="s">
        <v>3300</v>
      </c>
      <c r="AB6" s="822"/>
      <c r="AC6" s="822"/>
      <c r="AD6" s="823"/>
      <c r="AE6" s="822" t="s">
        <v>3301</v>
      </c>
      <c r="AF6" s="822"/>
      <c r="AG6" s="822"/>
      <c r="AH6" s="823"/>
      <c r="AI6" s="822" t="s">
        <v>3302</v>
      </c>
      <c r="AJ6" s="822"/>
      <c r="AK6" s="822"/>
      <c r="AL6" s="822"/>
      <c r="AM6" s="822"/>
      <c r="AN6" s="822"/>
      <c r="AO6" s="822"/>
      <c r="AQ6" s="822" t="s">
        <v>3381</v>
      </c>
      <c r="AR6" s="822"/>
      <c r="AS6" s="822"/>
      <c r="AT6" s="823"/>
      <c r="AU6" s="822" t="s">
        <v>3369</v>
      </c>
      <c r="AV6" s="822"/>
      <c r="AW6" s="822"/>
      <c r="AX6" s="822"/>
      <c r="AY6" s="822"/>
      <c r="AZ6" s="822"/>
      <c r="BA6" s="822"/>
      <c r="BB6" s="822"/>
      <c r="BD6" s="822" t="s">
        <v>3405</v>
      </c>
      <c r="BE6" s="822"/>
      <c r="BF6" s="822"/>
      <c r="BH6" s="822" t="s">
        <v>3409</v>
      </c>
      <c r="BI6" s="822"/>
      <c r="BJ6" s="822"/>
      <c r="BK6" s="822"/>
      <c r="BL6" s="822"/>
      <c r="BM6" s="822"/>
      <c r="BN6" s="822"/>
      <c r="BO6" s="822"/>
      <c r="BP6" s="822"/>
      <c r="BQ6" s="822"/>
      <c r="BR6" s="822"/>
      <c r="BS6" s="822"/>
    </row>
    <row r="7" spans="1:71" ht="15.75" thickBot="1" x14ac:dyDescent="0.3">
      <c r="A7" s="824" t="s">
        <v>1977</v>
      </c>
      <c r="B7" s="825" t="s">
        <v>839</v>
      </c>
      <c r="C7" s="826" t="s">
        <v>1770</v>
      </c>
      <c r="D7" s="826" t="s">
        <v>1988</v>
      </c>
      <c r="E7" s="821"/>
      <c r="F7" s="824" t="s">
        <v>1079</v>
      </c>
      <c r="G7" s="825" t="s">
        <v>2731</v>
      </c>
      <c r="H7" s="826" t="s">
        <v>1976</v>
      </c>
      <c r="I7" s="821"/>
      <c r="J7" s="822" t="s">
        <v>1977</v>
      </c>
      <c r="K7" s="822" t="s">
        <v>2731</v>
      </c>
      <c r="L7" s="822" t="s">
        <v>1976</v>
      </c>
      <c r="M7" s="823"/>
      <c r="N7" s="822" t="s">
        <v>1977</v>
      </c>
      <c r="O7" s="822" t="s">
        <v>2732</v>
      </c>
      <c r="P7" s="822" t="s">
        <v>2733</v>
      </c>
      <c r="Q7" s="822" t="s">
        <v>2734</v>
      </c>
      <c r="R7" s="822" t="s">
        <v>2735</v>
      </c>
      <c r="S7" s="822" t="s">
        <v>2736</v>
      </c>
      <c r="T7" s="822" t="s">
        <v>2738</v>
      </c>
      <c r="U7" s="822" t="s">
        <v>2739</v>
      </c>
      <c r="V7" s="823"/>
      <c r="W7" s="822" t="s">
        <v>1977</v>
      </c>
      <c r="X7" s="822" t="s">
        <v>2731</v>
      </c>
      <c r="Y7" s="822" t="s">
        <v>1976</v>
      </c>
      <c r="Z7" s="823"/>
      <c r="AA7" s="822" t="s">
        <v>1977</v>
      </c>
      <c r="AB7" s="822" t="s">
        <v>2732</v>
      </c>
      <c r="AC7" s="822" t="s">
        <v>2733</v>
      </c>
      <c r="AD7" s="823"/>
      <c r="AE7" s="822" t="s">
        <v>1977</v>
      </c>
      <c r="AF7" s="822" t="s">
        <v>2731</v>
      </c>
      <c r="AG7" s="822" t="s">
        <v>1976</v>
      </c>
      <c r="AH7" s="823"/>
      <c r="AI7" s="822" t="s">
        <v>1977</v>
      </c>
      <c r="AJ7" s="822" t="s">
        <v>2732</v>
      </c>
      <c r="AK7" s="822" t="s">
        <v>2733</v>
      </c>
      <c r="AL7" s="822" t="s">
        <v>2734</v>
      </c>
      <c r="AM7" s="822" t="s">
        <v>2735</v>
      </c>
      <c r="AN7" s="822" t="s">
        <v>2736</v>
      </c>
      <c r="AO7" s="822" t="s">
        <v>2738</v>
      </c>
      <c r="AQ7" s="822" t="s">
        <v>1977</v>
      </c>
      <c r="AR7" s="822" t="s">
        <v>2731</v>
      </c>
      <c r="AS7" s="822" t="s">
        <v>1976</v>
      </c>
      <c r="AT7" s="823"/>
      <c r="AU7" s="822" t="s">
        <v>1977</v>
      </c>
      <c r="AV7" s="822" t="s">
        <v>2732</v>
      </c>
      <c r="AW7" s="822" t="s">
        <v>2733</v>
      </c>
      <c r="AX7" s="822" t="s">
        <v>2734</v>
      </c>
      <c r="AY7" s="822" t="s">
        <v>2735</v>
      </c>
      <c r="AZ7" s="822" t="s">
        <v>2736</v>
      </c>
      <c r="BA7" s="822" t="s">
        <v>3370</v>
      </c>
      <c r="BB7" s="822" t="s">
        <v>3371</v>
      </c>
      <c r="BD7" s="822" t="s">
        <v>1977</v>
      </c>
      <c r="BE7" s="822" t="s">
        <v>2731</v>
      </c>
      <c r="BF7" s="822" t="s">
        <v>1976</v>
      </c>
      <c r="BH7" s="822" t="s">
        <v>1977</v>
      </c>
      <c r="BI7" s="822" t="s">
        <v>2732</v>
      </c>
      <c r="BJ7" s="822" t="s">
        <v>2733</v>
      </c>
      <c r="BK7" s="822" t="s">
        <v>2734</v>
      </c>
      <c r="BL7" s="822" t="s">
        <v>2735</v>
      </c>
      <c r="BM7" s="822" t="s">
        <v>2736</v>
      </c>
      <c r="BN7" s="822" t="s">
        <v>2738</v>
      </c>
      <c r="BO7" s="822" t="s">
        <v>2739</v>
      </c>
      <c r="BP7" s="822" t="s">
        <v>2737</v>
      </c>
      <c r="BQ7" s="822" t="s">
        <v>3410</v>
      </c>
      <c r="BR7" s="822" t="s">
        <v>3411</v>
      </c>
      <c r="BS7" s="822" t="s">
        <v>3412</v>
      </c>
    </row>
    <row r="8" spans="1:71" ht="14.25" x14ac:dyDescent="0.2">
      <c r="A8" s="821">
        <v>1</v>
      </c>
      <c r="B8" s="821">
        <v>1</v>
      </c>
      <c r="C8" s="821" t="s">
        <v>157</v>
      </c>
      <c r="D8" s="821" t="s">
        <v>3428</v>
      </c>
      <c r="E8" s="821"/>
      <c r="F8" s="821"/>
      <c r="G8" s="821"/>
      <c r="H8" s="821"/>
      <c r="I8" s="821"/>
      <c r="J8" s="821">
        <f>A$8</f>
        <v>1</v>
      </c>
      <c r="K8" s="821" t="s">
        <v>3303</v>
      </c>
      <c r="L8" s="821">
        <v>0</v>
      </c>
      <c r="M8" s="821"/>
      <c r="N8" s="821">
        <f>A$8</f>
        <v>1</v>
      </c>
      <c r="O8" s="821" t="s">
        <v>2740</v>
      </c>
      <c r="P8" s="821" t="s">
        <v>3304</v>
      </c>
      <c r="Q8" s="821" t="s">
        <v>3305</v>
      </c>
      <c r="R8" s="821" t="s">
        <v>3306</v>
      </c>
      <c r="S8" s="821" t="s">
        <v>3307</v>
      </c>
      <c r="T8" s="821" t="s">
        <v>3308</v>
      </c>
      <c r="U8" s="821" t="s">
        <v>3309</v>
      </c>
      <c r="V8" s="821"/>
      <c r="W8" s="821">
        <f>A$9</f>
        <v>1</v>
      </c>
      <c r="X8" s="821" t="s">
        <v>3303</v>
      </c>
      <c r="Y8" s="821">
        <v>0</v>
      </c>
      <c r="Z8" s="821"/>
      <c r="AA8" s="821">
        <f>A$9</f>
        <v>1</v>
      </c>
      <c r="AB8" s="821" t="s">
        <v>2740</v>
      </c>
      <c r="AC8" s="821" t="s">
        <v>3310</v>
      </c>
      <c r="AD8" s="821"/>
      <c r="AE8" s="821">
        <f>A$10</f>
        <v>1</v>
      </c>
      <c r="AF8" s="821" t="s">
        <v>3303</v>
      </c>
      <c r="AG8" s="821">
        <v>0</v>
      </c>
      <c r="AH8" s="821"/>
      <c r="AI8" s="821">
        <f>A$10</f>
        <v>1</v>
      </c>
      <c r="AJ8" s="821" t="s">
        <v>2740</v>
      </c>
      <c r="AK8" s="821" t="s">
        <v>1710</v>
      </c>
      <c r="AL8" s="821" t="s">
        <v>3310</v>
      </c>
      <c r="AM8" s="821" t="s">
        <v>3311</v>
      </c>
      <c r="AN8" s="821" t="s">
        <v>3312</v>
      </c>
      <c r="AO8" s="821" t="s">
        <v>545</v>
      </c>
      <c r="AQ8" s="821">
        <f>A$11</f>
        <v>1</v>
      </c>
      <c r="AR8" s="821" t="s">
        <v>3303</v>
      </c>
      <c r="AS8" s="821" t="s">
        <v>3382</v>
      </c>
      <c r="AT8" s="821"/>
      <c r="AU8">
        <f>A$11</f>
        <v>1</v>
      </c>
      <c r="AV8" t="s">
        <v>2740</v>
      </c>
      <c r="AW8" t="s">
        <v>545</v>
      </c>
      <c r="AX8" t="s">
        <v>3372</v>
      </c>
      <c r="AY8" t="s">
        <v>3373</v>
      </c>
      <c r="AZ8" t="s">
        <v>3374</v>
      </c>
      <c r="BD8" s="821">
        <f>A$12</f>
        <v>1</v>
      </c>
      <c r="BE8" s="821" t="s">
        <v>3303</v>
      </c>
      <c r="BF8" s="821">
        <v>0</v>
      </c>
      <c r="BH8">
        <f>A$12</f>
        <v>1</v>
      </c>
      <c r="BI8" t="s">
        <v>2740</v>
      </c>
      <c r="BJ8" t="s">
        <v>3413</v>
      </c>
      <c r="BK8" t="s">
        <v>545</v>
      </c>
      <c r="BL8" t="s">
        <v>3372</v>
      </c>
      <c r="BM8" t="s">
        <v>3373</v>
      </c>
      <c r="BN8" t="s">
        <v>3374</v>
      </c>
      <c r="BO8" t="s">
        <v>1710</v>
      </c>
      <c r="BP8" t="s">
        <v>3414</v>
      </c>
      <c r="BQ8" t="s">
        <v>3415</v>
      </c>
      <c r="BR8" t="s">
        <v>3416</v>
      </c>
      <c r="BS8" t="s">
        <v>3417</v>
      </c>
    </row>
    <row r="9" spans="1:71" ht="14.25" x14ac:dyDescent="0.2">
      <c r="A9" s="821">
        <v>1</v>
      </c>
      <c r="B9" s="821">
        <v>1</v>
      </c>
      <c r="C9" s="821" t="s">
        <v>1239</v>
      </c>
      <c r="D9" s="821" t="s">
        <v>3428</v>
      </c>
      <c r="E9" s="821"/>
      <c r="F9" s="821"/>
      <c r="G9" s="821"/>
      <c r="H9" s="821"/>
      <c r="I9" s="821"/>
      <c r="J9" s="821">
        <f t="shared" ref="J9:J27" si="0">A$8</f>
        <v>1</v>
      </c>
      <c r="K9" s="821" t="s">
        <v>3313</v>
      </c>
      <c r="L9" s="821">
        <v>0</v>
      </c>
      <c r="M9" s="821"/>
      <c r="N9" s="821">
        <f t="shared" ref="N9:N13" si="1">A$8</f>
        <v>1</v>
      </c>
      <c r="O9" s="821" t="s">
        <v>2741</v>
      </c>
      <c r="P9" s="821" t="s">
        <v>3314</v>
      </c>
      <c r="Q9" s="821" t="s">
        <v>3314</v>
      </c>
      <c r="R9" s="821" t="s">
        <v>3314</v>
      </c>
      <c r="S9" s="821" t="s">
        <v>3314</v>
      </c>
      <c r="T9" s="821" t="s">
        <v>3314</v>
      </c>
      <c r="U9" s="821" t="s">
        <v>3314</v>
      </c>
      <c r="V9" s="821"/>
      <c r="W9" s="821">
        <f t="shared" ref="W9:W24" si="2">A$9</f>
        <v>1</v>
      </c>
      <c r="X9" s="821" t="s">
        <v>3313</v>
      </c>
      <c r="Y9" s="821">
        <v>0</v>
      </c>
      <c r="Z9" s="821"/>
      <c r="AA9" s="821">
        <f>A$9</f>
        <v>1</v>
      </c>
      <c r="AB9" s="821" t="s">
        <v>2742</v>
      </c>
      <c r="AC9" s="821" t="s">
        <v>3315</v>
      </c>
      <c r="AD9" s="821"/>
      <c r="AE9" s="821">
        <f t="shared" ref="AE9:AE28" si="3">A$10</f>
        <v>1</v>
      </c>
      <c r="AF9" s="821" t="s">
        <v>3313</v>
      </c>
      <c r="AG9" s="821">
        <v>0</v>
      </c>
      <c r="AH9" s="821"/>
      <c r="AI9" s="821">
        <f t="shared" ref="AI9:AI11" si="4">A$10</f>
        <v>1</v>
      </c>
      <c r="AJ9" s="821" t="s">
        <v>2741</v>
      </c>
      <c r="AK9" s="821" t="s">
        <v>3314</v>
      </c>
      <c r="AL9" s="821" t="s">
        <v>3314</v>
      </c>
      <c r="AM9" s="821" t="s">
        <v>3314</v>
      </c>
      <c r="AN9" s="821" t="s">
        <v>3314</v>
      </c>
      <c r="AO9" s="821" t="s">
        <v>3314</v>
      </c>
      <c r="AQ9" s="821">
        <f t="shared" ref="AQ9:AQ35" si="5">A$11</f>
        <v>1</v>
      </c>
      <c r="AR9" s="821" t="s">
        <v>3313</v>
      </c>
      <c r="AS9" s="821" t="s">
        <v>3382</v>
      </c>
      <c r="AT9" s="821"/>
      <c r="AU9">
        <f t="shared" ref="AU9:AU10" si="6">A$11</f>
        <v>1</v>
      </c>
      <c r="AV9" t="s">
        <v>2742</v>
      </c>
      <c r="AW9" t="s">
        <v>3375</v>
      </c>
      <c r="AX9" t="s">
        <v>3376</v>
      </c>
      <c r="AZ9" t="s">
        <v>3377</v>
      </c>
      <c r="BD9" s="821">
        <f t="shared" ref="BD9:BD33" si="7">A$12</f>
        <v>1</v>
      </c>
      <c r="BE9" s="821" t="s">
        <v>3313</v>
      </c>
      <c r="BF9" s="821">
        <v>0</v>
      </c>
      <c r="BH9">
        <f t="shared" ref="BH9:BH13" si="8">A$12</f>
        <v>1</v>
      </c>
      <c r="BI9" t="s">
        <v>2742</v>
      </c>
      <c r="BJ9" t="s">
        <v>3418</v>
      </c>
      <c r="BK9" t="s">
        <v>3375</v>
      </c>
      <c r="BL9" t="s">
        <v>3376</v>
      </c>
      <c r="BN9" t="s">
        <v>3377</v>
      </c>
      <c r="BO9" t="s">
        <v>3419</v>
      </c>
      <c r="BP9" t="s">
        <v>3420</v>
      </c>
      <c r="BQ9" t="s">
        <v>3421</v>
      </c>
      <c r="BR9" t="s">
        <v>3422</v>
      </c>
      <c r="BS9" t="s">
        <v>3423</v>
      </c>
    </row>
    <row r="10" spans="1:71" ht="14.25" x14ac:dyDescent="0.2">
      <c r="A10" s="821">
        <v>1</v>
      </c>
      <c r="B10" s="821">
        <v>1</v>
      </c>
      <c r="C10" s="821" t="s">
        <v>1245</v>
      </c>
      <c r="D10" s="821" t="s">
        <v>3428</v>
      </c>
      <c r="E10" s="821"/>
      <c r="F10" s="827"/>
      <c r="G10" s="821"/>
      <c r="H10" s="821"/>
      <c r="I10" s="821"/>
      <c r="J10" s="821">
        <f t="shared" si="0"/>
        <v>1</v>
      </c>
      <c r="K10" s="821" t="s">
        <v>3316</v>
      </c>
      <c r="L10" s="821">
        <v>0</v>
      </c>
      <c r="M10" s="821"/>
      <c r="N10" s="821">
        <f t="shared" si="1"/>
        <v>1</v>
      </c>
      <c r="O10" s="821" t="s">
        <v>2742</v>
      </c>
      <c r="P10" s="821" t="s">
        <v>3317</v>
      </c>
      <c r="Q10" s="821" t="s">
        <v>3315</v>
      </c>
      <c r="R10" s="821" t="s">
        <v>3318</v>
      </c>
      <c r="S10" s="821" t="s">
        <v>3318</v>
      </c>
      <c r="T10" s="821" t="s">
        <v>3319</v>
      </c>
      <c r="U10" s="821" t="s">
        <v>3315</v>
      </c>
      <c r="V10" s="821"/>
      <c r="W10" s="821">
        <v>0</v>
      </c>
      <c r="X10" s="821" t="s">
        <v>2953</v>
      </c>
      <c r="Y10" s="821" t="s">
        <v>3320</v>
      </c>
      <c r="Z10" s="821"/>
      <c r="AA10" s="821">
        <f t="shared" ref="AA10:AA11" si="9">A$9</f>
        <v>1</v>
      </c>
      <c r="AB10" s="821" t="s">
        <v>3367</v>
      </c>
      <c r="AC10" s="821" t="s">
        <v>3368</v>
      </c>
      <c r="AD10" s="821"/>
      <c r="AE10" s="821">
        <f t="shared" si="3"/>
        <v>1</v>
      </c>
      <c r="AF10" s="821" t="s">
        <v>3316</v>
      </c>
      <c r="AG10" s="821">
        <v>1</v>
      </c>
      <c r="AH10" s="821"/>
      <c r="AI10" s="821">
        <f t="shared" si="4"/>
        <v>1</v>
      </c>
      <c r="AJ10" s="821" t="s">
        <v>2742</v>
      </c>
      <c r="AK10" s="821" t="s">
        <v>3317</v>
      </c>
      <c r="AL10" s="821" t="s">
        <v>3315</v>
      </c>
      <c r="AM10" s="821" t="s">
        <v>3318</v>
      </c>
      <c r="AN10" s="821" t="s">
        <v>3318</v>
      </c>
      <c r="AO10" s="821" t="s">
        <v>3319</v>
      </c>
      <c r="AQ10" s="821">
        <f t="shared" si="5"/>
        <v>1</v>
      </c>
      <c r="AR10" s="821" t="s">
        <v>3316</v>
      </c>
      <c r="AS10" s="821" t="s">
        <v>3383</v>
      </c>
      <c r="AT10" s="821"/>
      <c r="AU10">
        <f t="shared" si="6"/>
        <v>1</v>
      </c>
      <c r="AV10" t="s">
        <v>3378</v>
      </c>
      <c r="AW10">
        <f>IF(SUM(AW11:AW100)&gt;0,1,0)</f>
        <v>1</v>
      </c>
      <c r="AX10">
        <f t="shared" ref="AX10:AZ10" si="10">IF(SUM(AX11:AX100)&gt;0,1,0)</f>
        <v>0</v>
      </c>
      <c r="AY10">
        <f t="shared" si="10"/>
        <v>0</v>
      </c>
      <c r="AZ10">
        <f t="shared" si="10"/>
        <v>0</v>
      </c>
      <c r="BD10" s="821">
        <f t="shared" si="7"/>
        <v>1</v>
      </c>
      <c r="BE10" s="821" t="s">
        <v>3316</v>
      </c>
      <c r="BF10" s="821">
        <v>1</v>
      </c>
      <c r="BH10">
        <f t="shared" si="8"/>
        <v>1</v>
      </c>
      <c r="BI10" t="s">
        <v>3424</v>
      </c>
      <c r="BJ10" t="s">
        <v>3425</v>
      </c>
      <c r="BK10" t="s">
        <v>3325</v>
      </c>
      <c r="BL10" t="s">
        <v>3325</v>
      </c>
      <c r="BM10" t="s">
        <v>3325</v>
      </c>
      <c r="BN10" t="s">
        <v>3325</v>
      </c>
      <c r="BO10" t="s">
        <v>3325</v>
      </c>
      <c r="BP10" t="s">
        <v>3325</v>
      </c>
      <c r="BQ10" t="s">
        <v>3325</v>
      </c>
      <c r="BR10" t="s">
        <v>3325</v>
      </c>
      <c r="BS10" t="s">
        <v>3426</v>
      </c>
    </row>
    <row r="11" spans="1:71" ht="14.25" x14ac:dyDescent="0.2">
      <c r="A11" s="821">
        <v>1</v>
      </c>
      <c r="B11" s="821">
        <v>1</v>
      </c>
      <c r="C11" s="821" t="s">
        <v>3429</v>
      </c>
      <c r="D11" s="821" t="s">
        <v>3428</v>
      </c>
      <c r="E11" s="821"/>
      <c r="F11" s="821"/>
      <c r="G11" s="821"/>
      <c r="H11" s="821"/>
      <c r="I11" s="821"/>
      <c r="J11" s="821">
        <v>0</v>
      </c>
      <c r="K11" s="821" t="s">
        <v>2953</v>
      </c>
      <c r="L11" s="821" t="s">
        <v>3321</v>
      </c>
      <c r="M11" s="821"/>
      <c r="N11" s="821">
        <f t="shared" si="1"/>
        <v>1</v>
      </c>
      <c r="O11" s="829" t="s">
        <v>3322</v>
      </c>
      <c r="P11" s="830">
        <v>0</v>
      </c>
      <c r="Q11" s="830">
        <v>0</v>
      </c>
      <c r="R11" s="830">
        <v>0</v>
      </c>
      <c r="S11" s="830">
        <v>0</v>
      </c>
      <c r="T11" s="830">
        <v>0</v>
      </c>
      <c r="U11" s="830">
        <v>16667</v>
      </c>
      <c r="V11" s="821"/>
      <c r="W11" s="821">
        <f t="shared" si="2"/>
        <v>1</v>
      </c>
      <c r="X11" s="821" t="s">
        <v>3316</v>
      </c>
      <c r="Y11" s="821">
        <v>1</v>
      </c>
      <c r="Z11" s="821"/>
      <c r="AA11" s="821">
        <f t="shared" si="9"/>
        <v>1</v>
      </c>
      <c r="AB11" s="821" t="s">
        <v>2743</v>
      </c>
      <c r="AC11" s="821">
        <f>IF(SUM(AC12:AC27)&gt;0,1,0)</f>
        <v>1</v>
      </c>
      <c r="AD11" s="821"/>
      <c r="AE11" s="821">
        <v>0</v>
      </c>
      <c r="AF11" s="821" t="s">
        <v>2953</v>
      </c>
      <c r="AG11" s="821" t="s">
        <v>3323</v>
      </c>
      <c r="AH11" s="821"/>
      <c r="AI11" s="821">
        <f t="shared" si="4"/>
        <v>1</v>
      </c>
      <c r="AJ11" s="821" t="s">
        <v>2743</v>
      </c>
      <c r="AK11" s="821">
        <f>IF(SUM(AK12:AK27)&gt;0,1,0)</f>
        <v>1</v>
      </c>
      <c r="AL11" s="821">
        <f t="shared" ref="AL11:AO11" si="11">IF(SUM(AL12:AL27)&gt;0,1,0)</f>
        <v>1</v>
      </c>
      <c r="AM11" s="821">
        <f t="shared" si="11"/>
        <v>0</v>
      </c>
      <c r="AN11" s="821">
        <f t="shared" si="11"/>
        <v>0</v>
      </c>
      <c r="AO11" s="821">
        <f t="shared" si="11"/>
        <v>0</v>
      </c>
      <c r="AQ11" s="821">
        <f t="shared" si="5"/>
        <v>1</v>
      </c>
      <c r="AR11" s="821" t="s">
        <v>3384</v>
      </c>
      <c r="AS11" s="821" t="s">
        <v>3383</v>
      </c>
      <c r="AT11" s="821"/>
      <c r="AU11">
        <f>IF(AND(A$11=1,AV11&gt;0),1,0)</f>
        <v>1</v>
      </c>
      <c r="AV11">
        <v>51</v>
      </c>
      <c r="AW11">
        <v>44685.59</v>
      </c>
      <c r="AX11">
        <v>0</v>
      </c>
      <c r="AY11">
        <v>0</v>
      </c>
      <c r="AZ11">
        <v>0</v>
      </c>
      <c r="BA11" t="s">
        <v>3279</v>
      </c>
      <c r="BB11" t="s">
        <v>3279</v>
      </c>
      <c r="BD11" s="821">
        <v>0</v>
      </c>
      <c r="BE11" s="821" t="s">
        <v>2953</v>
      </c>
      <c r="BF11" s="821" t="s">
        <v>3386</v>
      </c>
      <c r="BH11">
        <f t="shared" si="8"/>
        <v>1</v>
      </c>
      <c r="BI11" t="s">
        <v>3427</v>
      </c>
      <c r="BJ11">
        <v>0</v>
      </c>
    </row>
    <row r="12" spans="1:71" ht="14.25" x14ac:dyDescent="0.2">
      <c r="A12" s="821">
        <v>1</v>
      </c>
      <c r="B12" s="821">
        <v>1</v>
      </c>
      <c r="C12" s="821" t="s">
        <v>3430</v>
      </c>
      <c r="D12" s="821" t="s">
        <v>3428</v>
      </c>
      <c r="E12" s="821"/>
      <c r="F12" s="821"/>
      <c r="G12" s="821"/>
      <c r="H12" s="821"/>
      <c r="I12" s="821"/>
      <c r="J12" s="821">
        <f t="shared" si="0"/>
        <v>1</v>
      </c>
      <c r="K12" s="821" t="s">
        <v>3324</v>
      </c>
      <c r="L12" s="821" t="s">
        <v>3325</v>
      </c>
      <c r="M12" s="821"/>
      <c r="N12" s="821">
        <f t="shared" si="1"/>
        <v>1</v>
      </c>
      <c r="O12" s="829" t="s">
        <v>3326</v>
      </c>
      <c r="P12" s="831">
        <v>2534</v>
      </c>
      <c r="Q12" s="831">
        <v>431.35</v>
      </c>
      <c r="R12" s="831">
        <v>204.53</v>
      </c>
      <c r="S12" s="831">
        <v>0</v>
      </c>
      <c r="T12" s="831">
        <v>0</v>
      </c>
      <c r="U12" s="831">
        <v>0</v>
      </c>
      <c r="V12" s="821"/>
      <c r="W12" s="821">
        <f t="shared" si="2"/>
        <v>1</v>
      </c>
      <c r="X12" s="821" t="s">
        <v>3324</v>
      </c>
      <c r="Y12" s="821" t="s">
        <v>3327</v>
      </c>
      <c r="Z12" s="821"/>
      <c r="AA12" s="828">
        <f>IF(AND(A$9=1,AB12&gt;0),1,0)</f>
        <v>1</v>
      </c>
      <c r="AB12" s="828">
        <v>64</v>
      </c>
      <c r="AC12" s="828">
        <v>224.84</v>
      </c>
      <c r="AD12" s="821"/>
      <c r="AE12" s="821">
        <f t="shared" si="3"/>
        <v>1</v>
      </c>
      <c r="AF12" s="821" t="s">
        <v>3324</v>
      </c>
      <c r="AG12" s="821" t="s">
        <v>3325</v>
      </c>
      <c r="AH12" s="821"/>
      <c r="AI12" s="828">
        <f>IF(AND(A$10=1,AJ12&gt;0),1,0)</f>
        <v>1</v>
      </c>
      <c r="AJ12" s="828">
        <v>64</v>
      </c>
      <c r="AK12" s="828">
        <v>2346</v>
      </c>
      <c r="AL12" s="828">
        <v>224.84</v>
      </c>
      <c r="AM12" s="828">
        <v>0</v>
      </c>
      <c r="AN12" s="828">
        <v>0</v>
      </c>
      <c r="AO12" s="828">
        <v>0</v>
      </c>
      <c r="AQ12" s="821">
        <f t="shared" si="5"/>
        <v>1</v>
      </c>
      <c r="AR12" s="821" t="s">
        <v>2954</v>
      </c>
      <c r="AS12" s="821" t="s">
        <v>3385</v>
      </c>
      <c r="AT12" s="821"/>
      <c r="AU12">
        <f t="shared" ref="AU12:AU75" si="12">IF(AND(A$11=1,AV12&gt;0),1,0)</f>
        <v>1</v>
      </c>
      <c r="AV12">
        <v>52</v>
      </c>
      <c r="AW12">
        <v>71484.399999999994</v>
      </c>
      <c r="AX12">
        <v>0</v>
      </c>
      <c r="AY12">
        <v>0</v>
      </c>
      <c r="AZ12">
        <v>0</v>
      </c>
      <c r="BA12" t="s">
        <v>3279</v>
      </c>
      <c r="BB12" t="s">
        <v>3279</v>
      </c>
      <c r="BD12" s="821">
        <f t="shared" si="7"/>
        <v>1</v>
      </c>
      <c r="BE12" s="821" t="s">
        <v>3324</v>
      </c>
      <c r="BF12" s="821" t="s">
        <v>3325</v>
      </c>
      <c r="BH12">
        <f t="shared" si="8"/>
        <v>1</v>
      </c>
      <c r="BI12" t="s">
        <v>3378</v>
      </c>
      <c r="BJ12">
        <v>1</v>
      </c>
      <c r="BK12">
        <v>0</v>
      </c>
      <c r="BL12">
        <v>0</v>
      </c>
      <c r="BM12">
        <v>0</v>
      </c>
      <c r="BN12">
        <v>0</v>
      </c>
      <c r="BO12">
        <v>0</v>
      </c>
      <c r="BP12">
        <v>0</v>
      </c>
      <c r="BQ12">
        <v>0</v>
      </c>
      <c r="BR12">
        <v>0</v>
      </c>
      <c r="BS12">
        <v>0</v>
      </c>
    </row>
    <row r="13" spans="1:71" ht="14.25" x14ac:dyDescent="0.2">
      <c r="A13" s="821"/>
      <c r="B13" s="821"/>
      <c r="C13" s="821"/>
      <c r="D13" s="821"/>
      <c r="E13" s="821"/>
      <c r="F13" s="821"/>
      <c r="G13" s="821"/>
      <c r="H13" s="821"/>
      <c r="I13" s="821"/>
      <c r="J13" s="821">
        <f t="shared" si="0"/>
        <v>1</v>
      </c>
      <c r="K13" s="821" t="s">
        <v>3328</v>
      </c>
      <c r="L13" s="821" t="s">
        <v>1711</v>
      </c>
      <c r="M13" s="821"/>
      <c r="N13" s="821">
        <f t="shared" si="1"/>
        <v>1</v>
      </c>
      <c r="O13" s="821" t="s">
        <v>2743</v>
      </c>
      <c r="P13" s="831">
        <v>1</v>
      </c>
      <c r="Q13" s="831">
        <v>1</v>
      </c>
      <c r="R13" s="831">
        <v>1</v>
      </c>
      <c r="S13" s="831">
        <v>0</v>
      </c>
      <c r="T13" s="831">
        <v>0</v>
      </c>
      <c r="U13" s="831">
        <v>0</v>
      </c>
      <c r="V13" s="821"/>
      <c r="W13" s="821">
        <f t="shared" si="2"/>
        <v>1</v>
      </c>
      <c r="X13" s="821" t="s">
        <v>3328</v>
      </c>
      <c r="Y13" s="821" t="s">
        <v>3329</v>
      </c>
      <c r="Z13" s="821"/>
      <c r="AA13" s="828">
        <f t="shared" ref="AA13:AA27" si="13">IF(AND(A$9=1,AB13&gt;0),1,0)</f>
        <v>1</v>
      </c>
      <c r="AB13" s="828">
        <v>65</v>
      </c>
      <c r="AC13" s="828">
        <v>431.35</v>
      </c>
      <c r="AD13" s="821"/>
      <c r="AE13" s="821">
        <f t="shared" si="3"/>
        <v>1</v>
      </c>
      <c r="AF13" s="821" t="s">
        <v>3328</v>
      </c>
      <c r="AG13" s="821" t="s">
        <v>3330</v>
      </c>
      <c r="AH13" s="821"/>
      <c r="AI13" s="828">
        <f t="shared" ref="AI13:AI27" si="14">IF(AND(A$10=1,AJ13&gt;0),1,0)</f>
        <v>1</v>
      </c>
      <c r="AJ13" s="828">
        <v>65</v>
      </c>
      <c r="AK13" s="828">
        <v>2534</v>
      </c>
      <c r="AL13" s="828">
        <v>431.35</v>
      </c>
      <c r="AM13" s="828">
        <v>0</v>
      </c>
      <c r="AN13" s="828">
        <v>0</v>
      </c>
      <c r="AO13" s="828">
        <v>0</v>
      </c>
      <c r="AQ13" s="821">
        <v>0</v>
      </c>
      <c r="AR13" s="821" t="s">
        <v>2953</v>
      </c>
      <c r="AS13" s="821" t="s">
        <v>3386</v>
      </c>
      <c r="AT13" s="821"/>
      <c r="AU13">
        <f t="shared" si="12"/>
        <v>1</v>
      </c>
      <c r="AV13">
        <v>53</v>
      </c>
      <c r="AW13">
        <v>100086.73</v>
      </c>
      <c r="AX13">
        <v>0</v>
      </c>
      <c r="AY13">
        <v>0</v>
      </c>
      <c r="AZ13">
        <v>0</v>
      </c>
      <c r="BA13" t="s">
        <v>3279</v>
      </c>
      <c r="BB13" t="s">
        <v>3279</v>
      </c>
      <c r="BD13" s="821">
        <f t="shared" si="7"/>
        <v>1</v>
      </c>
      <c r="BE13" s="821" t="s">
        <v>3328</v>
      </c>
      <c r="BF13" s="821"/>
      <c r="BH13">
        <f t="shared" si="8"/>
        <v>1</v>
      </c>
      <c r="BI13" t="s">
        <v>2743</v>
      </c>
      <c r="BJ13">
        <f>IF(SUM(BJ14:BJ103)&gt;0,1,0)</f>
        <v>1</v>
      </c>
      <c r="BK13">
        <f t="shared" ref="BK13:BS13" si="15">IF(SUM(BK14:BK103)&gt;0,1,0)</f>
        <v>1</v>
      </c>
      <c r="BL13">
        <f t="shared" si="15"/>
        <v>0</v>
      </c>
      <c r="BM13">
        <f t="shared" si="15"/>
        <v>0</v>
      </c>
      <c r="BN13">
        <f t="shared" si="15"/>
        <v>0</v>
      </c>
      <c r="BO13">
        <f t="shared" si="15"/>
        <v>1</v>
      </c>
      <c r="BP13">
        <f t="shared" si="15"/>
        <v>1</v>
      </c>
      <c r="BQ13">
        <f t="shared" si="15"/>
        <v>0</v>
      </c>
      <c r="BR13">
        <f t="shared" si="15"/>
        <v>0</v>
      </c>
      <c r="BS13">
        <f t="shared" si="15"/>
        <v>1</v>
      </c>
    </row>
    <row r="14" spans="1:71" ht="14.25" x14ac:dyDescent="0.2">
      <c r="A14" s="821"/>
      <c r="B14" s="821"/>
      <c r="C14" s="821"/>
      <c r="D14" s="821"/>
      <c r="E14" s="821"/>
      <c r="F14" s="821"/>
      <c r="G14" s="821"/>
      <c r="H14" s="821"/>
      <c r="I14" s="821"/>
      <c r="J14" s="821">
        <f t="shared" si="0"/>
        <v>1</v>
      </c>
      <c r="K14" s="821" t="s">
        <v>3331</v>
      </c>
      <c r="L14" s="821"/>
      <c r="M14" s="821"/>
      <c r="N14" s="821"/>
      <c r="O14" s="821"/>
      <c r="P14" s="821"/>
      <c r="Q14" s="821"/>
      <c r="R14" s="821"/>
      <c r="S14" s="821"/>
      <c r="T14" s="821"/>
      <c r="U14" s="821"/>
      <c r="V14" s="821"/>
      <c r="W14" s="821">
        <f t="shared" si="2"/>
        <v>1</v>
      </c>
      <c r="X14" s="821" t="s">
        <v>3332</v>
      </c>
      <c r="Y14" s="821" t="s">
        <v>3333</v>
      </c>
      <c r="Z14" s="821"/>
      <c r="AA14" s="828">
        <f t="shared" si="13"/>
        <v>1</v>
      </c>
      <c r="AB14" s="828">
        <v>66</v>
      </c>
      <c r="AC14" s="828">
        <v>621.79</v>
      </c>
      <c r="AD14" s="821"/>
      <c r="AE14" s="821">
        <f t="shared" si="3"/>
        <v>1</v>
      </c>
      <c r="AF14" s="821" t="s">
        <v>3331</v>
      </c>
      <c r="AG14" s="821"/>
      <c r="AH14" s="821"/>
      <c r="AI14" s="828">
        <f t="shared" si="14"/>
        <v>1</v>
      </c>
      <c r="AJ14" s="828">
        <v>66</v>
      </c>
      <c r="AK14" s="828">
        <v>2723</v>
      </c>
      <c r="AL14" s="828">
        <v>621.79</v>
      </c>
      <c r="AM14" s="828">
        <v>0</v>
      </c>
      <c r="AN14" s="828">
        <v>0</v>
      </c>
      <c r="AO14" s="828">
        <v>0</v>
      </c>
      <c r="AQ14" s="821">
        <f t="shared" si="5"/>
        <v>1</v>
      </c>
      <c r="AR14" s="821" t="s">
        <v>3387</v>
      </c>
      <c r="AS14" s="821" t="s">
        <v>3388</v>
      </c>
      <c r="AT14" s="821"/>
      <c r="AU14">
        <f t="shared" si="12"/>
        <v>1</v>
      </c>
      <c r="AV14">
        <v>54</v>
      </c>
      <c r="AW14">
        <v>130581.7</v>
      </c>
      <c r="AX14">
        <v>0</v>
      </c>
      <c r="AY14">
        <v>0</v>
      </c>
      <c r="AZ14">
        <v>0</v>
      </c>
      <c r="BA14" t="s">
        <v>3279</v>
      </c>
      <c r="BB14" t="s">
        <v>3279</v>
      </c>
      <c r="BD14" s="821">
        <f t="shared" si="7"/>
        <v>1</v>
      </c>
      <c r="BE14" s="821" t="s">
        <v>3331</v>
      </c>
      <c r="BF14" s="821"/>
      <c r="BH14">
        <f>IF(AND(A$12=1,BI14&gt;0),1,0)</f>
        <v>1</v>
      </c>
      <c r="BI14">
        <v>51</v>
      </c>
      <c r="BJ14">
        <v>0</v>
      </c>
      <c r="BK14">
        <v>0</v>
      </c>
      <c r="BL14">
        <v>0</v>
      </c>
      <c r="BM14">
        <v>0</v>
      </c>
      <c r="BN14">
        <v>0</v>
      </c>
      <c r="BO14">
        <v>0</v>
      </c>
      <c r="BP14">
        <v>0</v>
      </c>
      <c r="BQ14">
        <v>0</v>
      </c>
      <c r="BR14">
        <v>0</v>
      </c>
      <c r="BS14">
        <v>0</v>
      </c>
    </row>
    <row r="15" spans="1:71" ht="14.25" x14ac:dyDescent="0.2">
      <c r="A15" s="821"/>
      <c r="B15" s="821"/>
      <c r="C15" s="821"/>
      <c r="D15" s="821"/>
      <c r="E15" s="821"/>
      <c r="F15" s="821"/>
      <c r="G15" s="821"/>
      <c r="H15" s="821"/>
      <c r="I15" s="821"/>
      <c r="J15" s="821">
        <f t="shared" si="0"/>
        <v>1</v>
      </c>
      <c r="K15" s="821" t="s">
        <v>3332</v>
      </c>
      <c r="L15" s="821"/>
      <c r="M15" s="821"/>
      <c r="N15" s="821"/>
      <c r="O15" s="821"/>
      <c r="P15" s="821"/>
      <c r="Q15" s="821"/>
      <c r="R15" s="821"/>
      <c r="S15" s="821"/>
      <c r="T15" s="821"/>
      <c r="U15" s="821"/>
      <c r="V15" s="821"/>
      <c r="W15" s="821">
        <f t="shared" si="2"/>
        <v>1</v>
      </c>
      <c r="X15" s="821" t="s">
        <v>3334</v>
      </c>
      <c r="Y15" s="821" t="s">
        <v>3335</v>
      </c>
      <c r="Z15" s="821"/>
      <c r="AA15" s="828">
        <f t="shared" si="13"/>
        <v>1</v>
      </c>
      <c r="AB15" s="828">
        <v>67</v>
      </c>
      <c r="AC15" s="828">
        <v>812.23</v>
      </c>
      <c r="AD15" s="821"/>
      <c r="AE15" s="821">
        <f t="shared" si="3"/>
        <v>1</v>
      </c>
      <c r="AF15" s="821" t="s">
        <v>3332</v>
      </c>
      <c r="AG15" s="821" t="s">
        <v>3333</v>
      </c>
      <c r="AH15" s="821"/>
      <c r="AI15" s="828">
        <f t="shared" si="14"/>
        <v>1</v>
      </c>
      <c r="AJ15" s="828">
        <v>67</v>
      </c>
      <c r="AK15" s="828">
        <v>2946</v>
      </c>
      <c r="AL15" s="828">
        <v>812.23</v>
      </c>
      <c r="AM15" s="828">
        <v>0</v>
      </c>
      <c r="AN15" s="828">
        <v>0</v>
      </c>
      <c r="AO15" s="828">
        <v>0</v>
      </c>
      <c r="AQ15" s="821">
        <f t="shared" si="5"/>
        <v>1</v>
      </c>
      <c r="AR15" s="821" t="s">
        <v>3389</v>
      </c>
      <c r="AS15" s="821" t="s">
        <v>3343</v>
      </c>
      <c r="AT15" s="821"/>
      <c r="AU15">
        <f t="shared" si="12"/>
        <v>1</v>
      </c>
      <c r="AV15">
        <v>55</v>
      </c>
      <c r="AW15">
        <v>163065.29</v>
      </c>
      <c r="AX15">
        <v>0</v>
      </c>
      <c r="AY15">
        <v>0</v>
      </c>
      <c r="AZ15">
        <v>0</v>
      </c>
      <c r="BA15" t="s">
        <v>3279</v>
      </c>
      <c r="BB15" t="s">
        <v>3279</v>
      </c>
      <c r="BD15" s="821">
        <f t="shared" si="7"/>
        <v>1</v>
      </c>
      <c r="BE15" s="821" t="s">
        <v>3332</v>
      </c>
      <c r="BF15" s="821"/>
      <c r="BH15">
        <f t="shared" ref="BH15:BH78" si="16">IF(AND(A$12=1,BI15&gt;0),1,0)</f>
        <v>1</v>
      </c>
      <c r="BI15">
        <v>52</v>
      </c>
      <c r="BJ15">
        <v>0</v>
      </c>
      <c r="BK15">
        <v>0</v>
      </c>
      <c r="BL15">
        <v>0</v>
      </c>
      <c r="BM15">
        <v>0</v>
      </c>
      <c r="BN15">
        <v>0</v>
      </c>
      <c r="BO15">
        <v>0</v>
      </c>
      <c r="BP15">
        <v>0</v>
      </c>
      <c r="BQ15">
        <v>0</v>
      </c>
      <c r="BR15">
        <v>0</v>
      </c>
      <c r="BS15">
        <v>0</v>
      </c>
    </row>
    <row r="16" spans="1:71" ht="14.25" x14ac:dyDescent="0.2">
      <c r="A16" s="821"/>
      <c r="B16" s="821"/>
      <c r="C16" s="821"/>
      <c r="D16" s="821"/>
      <c r="E16" s="821"/>
      <c r="F16" s="821"/>
      <c r="G16" s="821"/>
      <c r="H16" s="821"/>
      <c r="I16" s="821"/>
      <c r="J16" s="821">
        <f t="shared" si="0"/>
        <v>1</v>
      </c>
      <c r="K16" s="821" t="s">
        <v>3334</v>
      </c>
      <c r="L16" s="821"/>
      <c r="M16" s="821"/>
      <c r="N16" s="821"/>
      <c r="O16" s="821"/>
      <c r="P16" s="821"/>
      <c r="Q16" s="821"/>
      <c r="R16" s="821"/>
      <c r="S16" s="821"/>
      <c r="T16" s="821"/>
      <c r="U16" s="821"/>
      <c r="V16" s="821"/>
      <c r="W16" s="821">
        <f t="shared" si="2"/>
        <v>1</v>
      </c>
      <c r="X16" s="821" t="s">
        <v>3336</v>
      </c>
      <c r="Y16" s="821">
        <v>225</v>
      </c>
      <c r="Z16" s="821"/>
      <c r="AA16" s="828">
        <f t="shared" si="13"/>
        <v>1</v>
      </c>
      <c r="AB16" s="828">
        <v>68</v>
      </c>
      <c r="AC16" s="828">
        <v>1002.67</v>
      </c>
      <c r="AD16" s="821"/>
      <c r="AE16" s="821">
        <f t="shared" si="3"/>
        <v>1</v>
      </c>
      <c r="AF16" s="821" t="s">
        <v>3334</v>
      </c>
      <c r="AG16" s="821" t="s">
        <v>3335</v>
      </c>
      <c r="AH16" s="821"/>
      <c r="AI16" s="828">
        <f t="shared" si="14"/>
        <v>1</v>
      </c>
      <c r="AJ16" s="828">
        <v>68</v>
      </c>
      <c r="AK16" s="828">
        <v>3171</v>
      </c>
      <c r="AL16" s="828">
        <v>1002.67</v>
      </c>
      <c r="AM16" s="828">
        <v>0</v>
      </c>
      <c r="AN16" s="828">
        <v>0</v>
      </c>
      <c r="AO16" s="828">
        <v>0</v>
      </c>
      <c r="AQ16" s="821">
        <f t="shared" si="5"/>
        <v>1</v>
      </c>
      <c r="AR16" s="821" t="s">
        <v>3328</v>
      </c>
      <c r="AS16" s="821"/>
      <c r="AT16" s="821"/>
      <c r="AU16">
        <f t="shared" si="12"/>
        <v>1</v>
      </c>
      <c r="AV16">
        <v>56</v>
      </c>
      <c r="AW16">
        <v>198098.66</v>
      </c>
      <c r="AX16">
        <v>0</v>
      </c>
      <c r="AY16">
        <v>0</v>
      </c>
      <c r="AZ16">
        <v>0</v>
      </c>
      <c r="BA16" t="s">
        <v>3279</v>
      </c>
      <c r="BB16" t="s">
        <v>3279</v>
      </c>
      <c r="BD16" s="821">
        <f t="shared" si="7"/>
        <v>1</v>
      </c>
      <c r="BE16" s="821" t="s">
        <v>3366</v>
      </c>
      <c r="BF16" s="821">
        <v>0</v>
      </c>
      <c r="BH16">
        <f t="shared" si="16"/>
        <v>1</v>
      </c>
      <c r="BI16">
        <v>53</v>
      </c>
      <c r="BJ16">
        <v>0</v>
      </c>
      <c r="BK16">
        <v>0</v>
      </c>
      <c r="BL16">
        <v>0</v>
      </c>
      <c r="BM16">
        <v>0</v>
      </c>
      <c r="BN16">
        <v>0</v>
      </c>
      <c r="BO16">
        <v>0</v>
      </c>
      <c r="BP16">
        <v>0</v>
      </c>
      <c r="BQ16">
        <v>0</v>
      </c>
      <c r="BR16">
        <v>0</v>
      </c>
      <c r="BS16">
        <v>0</v>
      </c>
    </row>
    <row r="17" spans="1:71" ht="14.25" x14ac:dyDescent="0.2">
      <c r="A17" s="821"/>
      <c r="B17" s="821"/>
      <c r="C17" s="821"/>
      <c r="D17" s="821"/>
      <c r="E17" s="821"/>
      <c r="F17" s="821"/>
      <c r="G17" s="821"/>
      <c r="H17" s="821"/>
      <c r="I17" s="821"/>
      <c r="J17" s="821">
        <f t="shared" si="0"/>
        <v>1</v>
      </c>
      <c r="K17" s="821" t="s">
        <v>3337</v>
      </c>
      <c r="L17" s="821">
        <v>-20</v>
      </c>
      <c r="M17" s="821"/>
      <c r="N17" s="821"/>
      <c r="O17" s="821"/>
      <c r="P17" s="821"/>
      <c r="Q17" s="832"/>
      <c r="R17" s="821"/>
      <c r="S17" s="821"/>
      <c r="T17" s="821"/>
      <c r="U17" s="821"/>
      <c r="V17" s="821"/>
      <c r="W17" s="821">
        <f t="shared" si="2"/>
        <v>1</v>
      </c>
      <c r="X17" s="821" t="s">
        <v>3337</v>
      </c>
      <c r="Y17" s="821">
        <v>-70</v>
      </c>
      <c r="Z17" s="821"/>
      <c r="AA17" s="828">
        <f t="shared" si="13"/>
        <v>1</v>
      </c>
      <c r="AB17" s="828">
        <v>69</v>
      </c>
      <c r="AC17" s="828">
        <v>1193.1099999999999</v>
      </c>
      <c r="AD17" s="821"/>
      <c r="AE17" s="821">
        <f t="shared" si="3"/>
        <v>1</v>
      </c>
      <c r="AF17" s="821" t="s">
        <v>3338</v>
      </c>
      <c r="AG17" s="827" t="s">
        <v>3279</v>
      </c>
      <c r="AH17" s="821"/>
      <c r="AI17" s="828">
        <f t="shared" si="14"/>
        <v>1</v>
      </c>
      <c r="AJ17" s="828">
        <v>69</v>
      </c>
      <c r="AK17" s="828">
        <v>3396</v>
      </c>
      <c r="AL17" s="828">
        <v>1193.1099999999999</v>
      </c>
      <c r="AM17" s="828">
        <v>0</v>
      </c>
      <c r="AN17" s="828">
        <v>0</v>
      </c>
      <c r="AO17" s="828">
        <v>0</v>
      </c>
      <c r="AQ17" s="821">
        <f t="shared" si="5"/>
        <v>1</v>
      </c>
      <c r="AR17" s="821" t="s">
        <v>3331</v>
      </c>
      <c r="AS17" s="827"/>
      <c r="AT17" s="821"/>
      <c r="AU17">
        <f t="shared" si="12"/>
        <v>1</v>
      </c>
      <c r="AV17">
        <v>57</v>
      </c>
      <c r="AW17">
        <v>235347.83</v>
      </c>
      <c r="AX17">
        <v>0</v>
      </c>
      <c r="AY17">
        <v>0</v>
      </c>
      <c r="AZ17">
        <v>0</v>
      </c>
      <c r="BA17" t="s">
        <v>3279</v>
      </c>
      <c r="BB17" t="s">
        <v>3279</v>
      </c>
      <c r="BD17" s="821">
        <f t="shared" si="7"/>
        <v>1</v>
      </c>
      <c r="BE17" s="821" t="s">
        <v>3362</v>
      </c>
      <c r="BF17" s="827" t="s">
        <v>3363</v>
      </c>
      <c r="BH17">
        <f t="shared" si="16"/>
        <v>1</v>
      </c>
      <c r="BI17">
        <v>54</v>
      </c>
      <c r="BJ17">
        <v>0</v>
      </c>
      <c r="BK17">
        <v>0</v>
      </c>
      <c r="BL17">
        <v>0</v>
      </c>
      <c r="BM17">
        <v>0</v>
      </c>
      <c r="BN17">
        <v>0</v>
      </c>
      <c r="BO17">
        <v>0</v>
      </c>
      <c r="BP17">
        <v>0</v>
      </c>
      <c r="BQ17">
        <v>0</v>
      </c>
      <c r="BR17">
        <v>0</v>
      </c>
      <c r="BS17">
        <v>0</v>
      </c>
    </row>
    <row r="18" spans="1:71" ht="14.25" x14ac:dyDescent="0.2">
      <c r="A18" s="821"/>
      <c r="B18" s="821"/>
      <c r="C18" s="821"/>
      <c r="D18" s="821"/>
      <c r="E18" s="821"/>
      <c r="F18" s="821"/>
      <c r="G18" s="821"/>
      <c r="H18" s="821"/>
      <c r="I18" s="821"/>
      <c r="J18" s="821">
        <f t="shared" si="0"/>
        <v>1</v>
      </c>
      <c r="K18" s="821" t="s">
        <v>3339</v>
      </c>
      <c r="L18" s="821" t="s">
        <v>3340</v>
      </c>
      <c r="M18" s="821"/>
      <c r="N18" s="821"/>
      <c r="O18" s="821"/>
      <c r="P18" s="821"/>
      <c r="Q18" s="821"/>
      <c r="R18" s="821"/>
      <c r="S18" s="821"/>
      <c r="T18" s="821"/>
      <c r="U18" s="821"/>
      <c r="V18" s="821"/>
      <c r="W18" s="821">
        <f t="shared" si="2"/>
        <v>1</v>
      </c>
      <c r="X18" s="821" t="s">
        <v>3331</v>
      </c>
      <c r="Y18" s="821" t="s">
        <v>3341</v>
      </c>
      <c r="Z18" s="821"/>
      <c r="AA18" s="828">
        <f t="shared" si="13"/>
        <v>1</v>
      </c>
      <c r="AB18" s="828">
        <v>70</v>
      </c>
      <c r="AC18" s="828">
        <v>1383.55</v>
      </c>
      <c r="AD18" s="821"/>
      <c r="AE18" s="821">
        <f t="shared" si="3"/>
        <v>1</v>
      </c>
      <c r="AF18" s="821" t="s">
        <v>3342</v>
      </c>
      <c r="AG18" s="821" t="s">
        <v>3343</v>
      </c>
      <c r="AH18" s="821"/>
      <c r="AI18" s="828">
        <f t="shared" si="14"/>
        <v>1</v>
      </c>
      <c r="AJ18" s="828">
        <v>70</v>
      </c>
      <c r="AK18" s="828">
        <v>3622</v>
      </c>
      <c r="AL18" s="828">
        <v>1383.55</v>
      </c>
      <c r="AM18" s="828">
        <v>0</v>
      </c>
      <c r="AN18" s="828">
        <v>0</v>
      </c>
      <c r="AO18" s="828">
        <v>0</v>
      </c>
      <c r="AQ18" s="821">
        <f t="shared" si="5"/>
        <v>1</v>
      </c>
      <c r="AR18" s="821" t="s">
        <v>3332</v>
      </c>
      <c r="AS18" s="821"/>
      <c r="AT18" s="821"/>
      <c r="AU18">
        <f t="shared" si="12"/>
        <v>1</v>
      </c>
      <c r="AV18">
        <v>58</v>
      </c>
      <c r="AW18">
        <v>274922.95</v>
      </c>
      <c r="AX18">
        <v>0</v>
      </c>
      <c r="AY18">
        <v>0</v>
      </c>
      <c r="AZ18">
        <v>0</v>
      </c>
      <c r="BA18" t="s">
        <v>3279</v>
      </c>
      <c r="BB18" t="s">
        <v>3279</v>
      </c>
      <c r="BD18" s="821">
        <f t="shared" si="7"/>
        <v>1</v>
      </c>
      <c r="BE18" s="821" t="s">
        <v>3334</v>
      </c>
      <c r="BF18" s="821"/>
      <c r="BH18">
        <f t="shared" si="16"/>
        <v>1</v>
      </c>
      <c r="BI18">
        <v>55</v>
      </c>
      <c r="BJ18">
        <v>0</v>
      </c>
      <c r="BK18">
        <v>0</v>
      </c>
      <c r="BL18">
        <v>0</v>
      </c>
      <c r="BM18">
        <v>0</v>
      </c>
      <c r="BN18">
        <v>0</v>
      </c>
      <c r="BO18">
        <v>0</v>
      </c>
      <c r="BP18">
        <v>0</v>
      </c>
      <c r="BQ18">
        <v>0</v>
      </c>
      <c r="BR18">
        <v>0</v>
      </c>
      <c r="BS18">
        <v>0</v>
      </c>
    </row>
    <row r="19" spans="1:71" ht="14.25" x14ac:dyDescent="0.2">
      <c r="A19" s="821"/>
      <c r="B19" s="821"/>
      <c r="C19" s="821"/>
      <c r="D19" s="821"/>
      <c r="E19" s="821"/>
      <c r="F19" s="821"/>
      <c r="G19" s="821"/>
      <c r="H19" s="821"/>
      <c r="I19" s="821"/>
      <c r="J19" s="821">
        <f t="shared" si="0"/>
        <v>1</v>
      </c>
      <c r="K19" s="821" t="s">
        <v>3344</v>
      </c>
      <c r="L19" s="821" t="s">
        <v>3345</v>
      </c>
      <c r="M19" s="821"/>
      <c r="N19" s="821"/>
      <c r="O19" s="821"/>
      <c r="P19" s="821"/>
      <c r="Q19" s="821"/>
      <c r="R19" s="821"/>
      <c r="S19" s="821"/>
      <c r="T19" s="821"/>
      <c r="U19" s="821"/>
      <c r="V19" s="821"/>
      <c r="W19" s="821">
        <f t="shared" si="2"/>
        <v>1</v>
      </c>
      <c r="X19" s="821" t="s">
        <v>3346</v>
      </c>
      <c r="Y19" s="821" t="s">
        <v>3347</v>
      </c>
      <c r="Z19" s="821"/>
      <c r="AA19" s="828">
        <f t="shared" si="13"/>
        <v>1</v>
      </c>
      <c r="AB19" s="828">
        <v>71</v>
      </c>
      <c r="AC19" s="828">
        <v>1573.99</v>
      </c>
      <c r="AD19" s="821"/>
      <c r="AE19" s="821">
        <f t="shared" si="3"/>
        <v>1</v>
      </c>
      <c r="AF19" s="821" t="s">
        <v>3348</v>
      </c>
      <c r="AG19" s="821" t="s">
        <v>3349</v>
      </c>
      <c r="AH19" s="821"/>
      <c r="AI19" s="828">
        <f t="shared" si="14"/>
        <v>1</v>
      </c>
      <c r="AJ19" s="828">
        <v>71</v>
      </c>
      <c r="AK19" s="828">
        <v>3629</v>
      </c>
      <c r="AL19" s="828">
        <v>1573.99</v>
      </c>
      <c r="AM19" s="828">
        <v>0</v>
      </c>
      <c r="AN19" s="828">
        <v>0</v>
      </c>
      <c r="AO19" s="828">
        <v>0</v>
      </c>
      <c r="AQ19" s="821">
        <f t="shared" si="5"/>
        <v>1</v>
      </c>
      <c r="AR19" s="821" t="s">
        <v>3390</v>
      </c>
      <c r="AS19" s="821">
        <v>0</v>
      </c>
      <c r="AT19" s="821"/>
      <c r="AU19">
        <f t="shared" si="12"/>
        <v>1</v>
      </c>
      <c r="AV19">
        <v>59</v>
      </c>
      <c r="AW19">
        <v>316941.01</v>
      </c>
      <c r="AX19">
        <v>0</v>
      </c>
      <c r="AY19">
        <v>0</v>
      </c>
      <c r="AZ19">
        <v>0</v>
      </c>
      <c r="BA19" t="s">
        <v>3279</v>
      </c>
      <c r="BB19" t="s">
        <v>3279</v>
      </c>
      <c r="BD19" s="821">
        <f t="shared" si="7"/>
        <v>1</v>
      </c>
      <c r="BE19" s="821" t="s">
        <v>3339</v>
      </c>
      <c r="BF19" s="821" t="s">
        <v>3340</v>
      </c>
      <c r="BH19">
        <f t="shared" si="16"/>
        <v>1</v>
      </c>
      <c r="BI19">
        <v>56</v>
      </c>
      <c r="BJ19">
        <v>0</v>
      </c>
      <c r="BK19">
        <v>0</v>
      </c>
      <c r="BL19">
        <v>0</v>
      </c>
      <c r="BM19">
        <v>0</v>
      </c>
      <c r="BN19">
        <v>0</v>
      </c>
      <c r="BO19">
        <v>0</v>
      </c>
      <c r="BP19">
        <v>0</v>
      </c>
      <c r="BQ19">
        <v>0</v>
      </c>
      <c r="BR19">
        <v>0</v>
      </c>
      <c r="BS19">
        <v>0</v>
      </c>
    </row>
    <row r="20" spans="1:71" ht="14.25" x14ac:dyDescent="0.2">
      <c r="A20" s="821"/>
      <c r="B20" s="821"/>
      <c r="C20" s="821"/>
      <c r="D20" s="821"/>
      <c r="E20" s="821"/>
      <c r="F20" s="821"/>
      <c r="G20" s="821"/>
      <c r="H20" s="821"/>
      <c r="I20" s="821"/>
      <c r="J20" s="821">
        <f t="shared" si="0"/>
        <v>1</v>
      </c>
      <c r="K20" s="821" t="s">
        <v>3350</v>
      </c>
      <c r="L20" s="821">
        <v>15</v>
      </c>
      <c r="M20" s="821"/>
      <c r="N20" s="821"/>
      <c r="O20" s="821"/>
      <c r="P20" s="833"/>
      <c r="Q20" s="833"/>
      <c r="R20" s="833"/>
      <c r="S20" s="833"/>
      <c r="T20" s="833"/>
      <c r="U20" s="833"/>
      <c r="V20" s="821"/>
      <c r="W20" s="821">
        <f t="shared" si="2"/>
        <v>1</v>
      </c>
      <c r="X20" s="821" t="s">
        <v>3351</v>
      </c>
      <c r="Y20" s="821">
        <v>1</v>
      </c>
      <c r="Z20" s="821"/>
      <c r="AA20" s="828">
        <f t="shared" si="13"/>
        <v>1</v>
      </c>
      <c r="AB20" s="828">
        <v>72</v>
      </c>
      <c r="AC20" s="828">
        <v>1764.43</v>
      </c>
      <c r="AD20" s="821"/>
      <c r="AE20" s="821">
        <f t="shared" si="3"/>
        <v>1</v>
      </c>
      <c r="AF20" s="821" t="s">
        <v>3352</v>
      </c>
      <c r="AG20" s="821" t="s">
        <v>3353</v>
      </c>
      <c r="AH20" s="821"/>
      <c r="AI20" s="828">
        <f t="shared" si="14"/>
        <v>1</v>
      </c>
      <c r="AJ20" s="828">
        <v>72</v>
      </c>
      <c r="AK20" s="828">
        <v>3635</v>
      </c>
      <c r="AL20" s="828">
        <v>1764.43</v>
      </c>
      <c r="AM20" s="828">
        <v>0</v>
      </c>
      <c r="AN20" s="828">
        <v>0</v>
      </c>
      <c r="AO20" s="828">
        <v>0</v>
      </c>
      <c r="AQ20" s="821">
        <f t="shared" si="5"/>
        <v>1</v>
      </c>
      <c r="AR20" s="821" t="s">
        <v>3362</v>
      </c>
      <c r="AS20" s="821" t="s">
        <v>3363</v>
      </c>
      <c r="AT20" s="821"/>
      <c r="AU20">
        <f t="shared" si="12"/>
        <v>1</v>
      </c>
      <c r="AV20">
        <v>60</v>
      </c>
      <c r="AW20">
        <v>361523.19</v>
      </c>
      <c r="AX20">
        <v>0</v>
      </c>
      <c r="AY20">
        <v>0</v>
      </c>
      <c r="AZ20">
        <v>0</v>
      </c>
      <c r="BA20" t="s">
        <v>3279</v>
      </c>
      <c r="BB20" t="s">
        <v>3279</v>
      </c>
      <c r="BD20" s="821">
        <f t="shared" si="7"/>
        <v>1</v>
      </c>
      <c r="BE20" s="821" t="s">
        <v>3406</v>
      </c>
      <c r="BF20" s="821" t="s">
        <v>3382</v>
      </c>
      <c r="BH20">
        <f t="shared" si="16"/>
        <v>1</v>
      </c>
      <c r="BI20">
        <v>57</v>
      </c>
      <c r="BJ20">
        <v>0</v>
      </c>
      <c r="BK20">
        <v>0</v>
      </c>
      <c r="BL20">
        <v>0</v>
      </c>
      <c r="BM20">
        <v>0</v>
      </c>
      <c r="BN20">
        <v>0</v>
      </c>
      <c r="BO20">
        <v>0</v>
      </c>
      <c r="BP20">
        <v>0</v>
      </c>
      <c r="BQ20">
        <v>0</v>
      </c>
      <c r="BR20">
        <v>0</v>
      </c>
      <c r="BS20">
        <v>0</v>
      </c>
    </row>
    <row r="21" spans="1:71" ht="14.25" x14ac:dyDescent="0.2">
      <c r="A21" s="821"/>
      <c r="B21" s="821"/>
      <c r="C21" s="821"/>
      <c r="D21" s="821"/>
      <c r="E21" s="821"/>
      <c r="F21" s="821"/>
      <c r="G21" s="821"/>
      <c r="H21" s="821"/>
      <c r="I21" s="821"/>
      <c r="J21" s="821">
        <f t="shared" si="0"/>
        <v>1</v>
      </c>
      <c r="K21" s="821" t="s">
        <v>3354</v>
      </c>
      <c r="L21" s="821">
        <v>180</v>
      </c>
      <c r="M21" s="821"/>
      <c r="N21" s="821"/>
      <c r="O21" s="821"/>
      <c r="P21" s="821"/>
      <c r="Q21" s="821"/>
      <c r="R21" s="821"/>
      <c r="S21" s="821"/>
      <c r="T21" s="821"/>
      <c r="U21" s="821"/>
      <c r="V21" s="821"/>
      <c r="W21" s="821">
        <f t="shared" si="2"/>
        <v>1</v>
      </c>
      <c r="X21" s="821" t="s">
        <v>3355</v>
      </c>
      <c r="Y21" s="821">
        <v>1</v>
      </c>
      <c r="Z21" s="821"/>
      <c r="AA21" s="828">
        <f t="shared" si="13"/>
        <v>1</v>
      </c>
      <c r="AB21" s="828">
        <v>73</v>
      </c>
      <c r="AC21" s="828">
        <v>1954.87</v>
      </c>
      <c r="AD21" s="821"/>
      <c r="AE21" s="821">
        <f t="shared" si="3"/>
        <v>1</v>
      </c>
      <c r="AF21" s="821" t="s">
        <v>3356</v>
      </c>
      <c r="AG21" s="821">
        <v>1</v>
      </c>
      <c r="AH21" s="821"/>
      <c r="AI21" s="828">
        <f t="shared" si="14"/>
        <v>1</v>
      </c>
      <c r="AJ21" s="828">
        <v>73</v>
      </c>
      <c r="AK21" s="828">
        <v>3642</v>
      </c>
      <c r="AL21" s="828">
        <v>1954.87</v>
      </c>
      <c r="AM21" s="828">
        <v>0</v>
      </c>
      <c r="AN21" s="828">
        <v>0</v>
      </c>
      <c r="AO21" s="828">
        <v>0</v>
      </c>
      <c r="AQ21" s="821">
        <f t="shared" si="5"/>
        <v>1</v>
      </c>
      <c r="AR21" s="821" t="s">
        <v>3334</v>
      </c>
      <c r="AS21" s="821"/>
      <c r="AT21" s="821"/>
      <c r="AU21">
        <f t="shared" si="12"/>
        <v>1</v>
      </c>
      <c r="AV21">
        <v>61</v>
      </c>
      <c r="AW21">
        <v>409261.43</v>
      </c>
      <c r="AX21">
        <v>0</v>
      </c>
      <c r="AY21">
        <v>0</v>
      </c>
      <c r="AZ21">
        <v>0</v>
      </c>
      <c r="BA21" t="s">
        <v>3279</v>
      </c>
      <c r="BB21" t="s">
        <v>3279</v>
      </c>
      <c r="BD21" s="821">
        <f t="shared" si="7"/>
        <v>1</v>
      </c>
      <c r="BE21" s="821" t="s">
        <v>3407</v>
      </c>
      <c r="BF21" s="821" t="s">
        <v>3382</v>
      </c>
      <c r="BH21">
        <f t="shared" si="16"/>
        <v>1</v>
      </c>
      <c r="BI21">
        <v>58</v>
      </c>
      <c r="BJ21">
        <v>0</v>
      </c>
      <c r="BK21">
        <v>0</v>
      </c>
      <c r="BL21">
        <v>0</v>
      </c>
      <c r="BM21">
        <v>0</v>
      </c>
      <c r="BN21">
        <v>0</v>
      </c>
      <c r="BO21">
        <v>0</v>
      </c>
      <c r="BP21">
        <v>0</v>
      </c>
      <c r="BQ21">
        <v>0</v>
      </c>
      <c r="BR21">
        <v>0</v>
      </c>
      <c r="BS21">
        <v>0</v>
      </c>
    </row>
    <row r="22" spans="1:71" ht="14.25" x14ac:dyDescent="0.2">
      <c r="A22" s="821"/>
      <c r="B22" s="821"/>
      <c r="C22" s="821"/>
      <c r="D22" s="821"/>
      <c r="E22" s="821"/>
      <c r="F22" s="821"/>
      <c r="G22" s="821"/>
      <c r="H22" s="821"/>
      <c r="I22" s="821"/>
      <c r="J22" s="821">
        <f t="shared" si="0"/>
        <v>1</v>
      </c>
      <c r="K22" s="821" t="s">
        <v>3348</v>
      </c>
      <c r="L22" s="821" t="s">
        <v>3349</v>
      </c>
      <c r="M22" s="821"/>
      <c r="N22" s="821"/>
      <c r="O22" s="821"/>
      <c r="P22" s="821"/>
      <c r="Q22" s="821"/>
      <c r="R22" s="821"/>
      <c r="S22" s="821"/>
      <c r="T22" s="821"/>
      <c r="U22" s="821"/>
      <c r="V22" s="821"/>
      <c r="W22" s="821">
        <f t="shared" si="2"/>
        <v>1</v>
      </c>
      <c r="X22" s="821" t="s">
        <v>3357</v>
      </c>
      <c r="Y22" s="821">
        <v>45</v>
      </c>
      <c r="Z22" s="821"/>
      <c r="AA22" s="828">
        <f t="shared" si="13"/>
        <v>1</v>
      </c>
      <c r="AB22" s="828">
        <v>74</v>
      </c>
      <c r="AC22" s="828">
        <v>2145.31</v>
      </c>
      <c r="AD22" s="821"/>
      <c r="AE22" s="821">
        <f t="shared" si="3"/>
        <v>1</v>
      </c>
      <c r="AF22" s="821" t="s">
        <v>3358</v>
      </c>
      <c r="AG22" s="821">
        <v>80</v>
      </c>
      <c r="AH22" s="821"/>
      <c r="AI22" s="828">
        <f t="shared" si="14"/>
        <v>1</v>
      </c>
      <c r="AJ22" s="828">
        <v>74</v>
      </c>
      <c r="AK22" s="828">
        <v>3648</v>
      </c>
      <c r="AL22" s="828">
        <v>2145.31</v>
      </c>
      <c r="AM22" s="828">
        <v>0</v>
      </c>
      <c r="AN22" s="828">
        <v>0</v>
      </c>
      <c r="AO22" s="828">
        <v>0</v>
      </c>
      <c r="AQ22" s="821">
        <f t="shared" si="5"/>
        <v>1</v>
      </c>
      <c r="AR22" s="821" t="s">
        <v>3391</v>
      </c>
      <c r="AS22" s="821">
        <v>0</v>
      </c>
      <c r="AT22" s="821"/>
      <c r="AU22">
        <f t="shared" si="12"/>
        <v>1</v>
      </c>
      <c r="AV22">
        <v>62</v>
      </c>
      <c r="AW22">
        <v>459848.97</v>
      </c>
      <c r="AX22">
        <v>0</v>
      </c>
      <c r="AY22">
        <v>0</v>
      </c>
      <c r="AZ22">
        <v>0</v>
      </c>
      <c r="BA22" t="s">
        <v>3279</v>
      </c>
      <c r="BB22" t="s">
        <v>3279</v>
      </c>
      <c r="BD22" s="821">
        <f t="shared" si="7"/>
        <v>1</v>
      </c>
      <c r="BE22" s="821" t="s">
        <v>3403</v>
      </c>
      <c r="BF22" s="821" t="s">
        <v>3382</v>
      </c>
      <c r="BH22">
        <f t="shared" si="16"/>
        <v>1</v>
      </c>
      <c r="BI22">
        <v>59</v>
      </c>
      <c r="BJ22">
        <v>0</v>
      </c>
      <c r="BK22">
        <v>0</v>
      </c>
      <c r="BL22">
        <v>0</v>
      </c>
      <c r="BM22">
        <v>0</v>
      </c>
      <c r="BN22">
        <v>0</v>
      </c>
      <c r="BO22">
        <v>0</v>
      </c>
      <c r="BP22">
        <v>0</v>
      </c>
      <c r="BQ22">
        <v>0</v>
      </c>
      <c r="BR22">
        <v>0</v>
      </c>
      <c r="BS22">
        <v>0</v>
      </c>
    </row>
    <row r="23" spans="1:71" ht="14.25" x14ac:dyDescent="0.2">
      <c r="A23" s="821"/>
      <c r="B23" s="821"/>
      <c r="C23" s="821"/>
      <c r="D23" s="821"/>
      <c r="E23" s="821"/>
      <c r="F23" s="821"/>
      <c r="G23" s="821"/>
      <c r="H23" s="821"/>
      <c r="I23" s="821"/>
      <c r="J23" s="821">
        <f t="shared" si="0"/>
        <v>1</v>
      </c>
      <c r="K23" s="821" t="s">
        <v>3342</v>
      </c>
      <c r="L23" s="821" t="s">
        <v>3347</v>
      </c>
      <c r="M23" s="821"/>
      <c r="N23" s="821"/>
      <c r="O23" s="821"/>
      <c r="P23" s="821"/>
      <c r="Q23" s="821"/>
      <c r="R23" s="821"/>
      <c r="S23" s="821"/>
      <c r="T23" s="821"/>
      <c r="U23" s="821"/>
      <c r="V23" s="821"/>
      <c r="W23" s="821">
        <f t="shared" si="2"/>
        <v>1</v>
      </c>
      <c r="X23" s="821" t="s">
        <v>2954</v>
      </c>
      <c r="Y23" s="821" t="s">
        <v>3359</v>
      </c>
      <c r="Z23" s="821"/>
      <c r="AA23" s="828">
        <f t="shared" si="13"/>
        <v>1</v>
      </c>
      <c r="AB23" s="828">
        <v>75</v>
      </c>
      <c r="AC23" s="828">
        <v>2335.75</v>
      </c>
      <c r="AD23" s="821"/>
      <c r="AE23" s="821">
        <f t="shared" si="3"/>
        <v>1</v>
      </c>
      <c r="AF23" s="821" t="s">
        <v>3360</v>
      </c>
      <c r="AG23" s="821">
        <v>45</v>
      </c>
      <c r="AH23" s="821"/>
      <c r="AI23" s="828">
        <f t="shared" si="14"/>
        <v>1</v>
      </c>
      <c r="AJ23" s="828">
        <v>75</v>
      </c>
      <c r="AK23" s="828">
        <v>3654</v>
      </c>
      <c r="AL23" s="828">
        <v>2335.75</v>
      </c>
      <c r="AM23" s="828">
        <v>0</v>
      </c>
      <c r="AN23" s="828">
        <v>0</v>
      </c>
      <c r="AO23" s="828">
        <v>0</v>
      </c>
      <c r="AQ23" s="821">
        <f t="shared" si="5"/>
        <v>1</v>
      </c>
      <c r="AR23" s="821" t="s">
        <v>3392</v>
      </c>
      <c r="AS23" s="821">
        <v>5</v>
      </c>
      <c r="AT23" s="821"/>
      <c r="AU23">
        <f t="shared" si="12"/>
        <v>1</v>
      </c>
      <c r="AV23">
        <v>63</v>
      </c>
      <c r="AW23">
        <v>513430.83</v>
      </c>
      <c r="AX23">
        <v>0</v>
      </c>
      <c r="AY23">
        <v>0</v>
      </c>
      <c r="AZ23">
        <v>0</v>
      </c>
      <c r="BA23" t="s">
        <v>3279</v>
      </c>
      <c r="BB23" t="s">
        <v>3279</v>
      </c>
      <c r="BD23" s="821">
        <f t="shared" si="7"/>
        <v>1</v>
      </c>
      <c r="BE23" s="821" t="s">
        <v>3404</v>
      </c>
      <c r="BF23" s="821" t="s">
        <v>3383</v>
      </c>
      <c r="BH23">
        <f t="shared" si="16"/>
        <v>1</v>
      </c>
      <c r="BI23">
        <v>60</v>
      </c>
      <c r="BJ23">
        <v>0</v>
      </c>
      <c r="BK23">
        <v>0</v>
      </c>
      <c r="BL23">
        <v>0</v>
      </c>
      <c r="BM23">
        <v>0</v>
      </c>
      <c r="BN23">
        <v>0</v>
      </c>
      <c r="BO23">
        <v>0</v>
      </c>
      <c r="BP23">
        <v>0</v>
      </c>
      <c r="BQ23">
        <v>0</v>
      </c>
      <c r="BR23">
        <v>0</v>
      </c>
      <c r="BS23">
        <v>0</v>
      </c>
    </row>
    <row r="24" spans="1:71" ht="14.25" x14ac:dyDescent="0.2">
      <c r="A24" s="821"/>
      <c r="B24" s="821"/>
      <c r="C24" s="821"/>
      <c r="D24" s="821"/>
      <c r="E24" s="821"/>
      <c r="F24" s="821"/>
      <c r="G24" s="821"/>
      <c r="H24" s="821"/>
      <c r="I24" s="821"/>
      <c r="J24" s="821">
        <f t="shared" si="0"/>
        <v>1</v>
      </c>
      <c r="K24" s="821" t="s">
        <v>3338</v>
      </c>
      <c r="L24" s="821" t="s">
        <v>3361</v>
      </c>
      <c r="M24" s="821"/>
      <c r="N24" s="821"/>
      <c r="O24" s="821"/>
      <c r="P24" s="821"/>
      <c r="Q24" s="821"/>
      <c r="R24" s="821"/>
      <c r="S24" s="821"/>
      <c r="T24" s="821"/>
      <c r="U24" s="821"/>
      <c r="V24" s="821"/>
      <c r="W24" s="821">
        <f t="shared" si="2"/>
        <v>1</v>
      </c>
      <c r="X24" s="821" t="s">
        <v>3362</v>
      </c>
      <c r="Y24" s="821" t="s">
        <v>3363</v>
      </c>
      <c r="Z24" s="821"/>
      <c r="AA24" s="828">
        <f t="shared" si="13"/>
        <v>1</v>
      </c>
      <c r="AB24" s="828">
        <v>76</v>
      </c>
      <c r="AC24" s="828">
        <v>2526.19</v>
      </c>
      <c r="AD24" s="821"/>
      <c r="AE24" s="821">
        <f t="shared" si="3"/>
        <v>1</v>
      </c>
      <c r="AF24" s="821" t="s">
        <v>3364</v>
      </c>
      <c r="AG24" s="821" t="s">
        <v>3340</v>
      </c>
      <c r="AH24" s="821"/>
      <c r="AI24" s="828">
        <f t="shared" si="14"/>
        <v>1</v>
      </c>
      <c r="AJ24" s="828">
        <v>76</v>
      </c>
      <c r="AK24" s="828">
        <v>3660</v>
      </c>
      <c r="AL24" s="828">
        <v>2526.19</v>
      </c>
      <c r="AM24" s="828">
        <v>0</v>
      </c>
      <c r="AN24" s="828">
        <v>0</v>
      </c>
      <c r="AO24" s="828">
        <v>0</v>
      </c>
      <c r="AQ24" s="821">
        <f t="shared" si="5"/>
        <v>1</v>
      </c>
      <c r="AR24" s="821" t="s">
        <v>3393</v>
      </c>
      <c r="AS24" s="821" t="s">
        <v>3383</v>
      </c>
      <c r="AT24" s="821"/>
      <c r="AU24">
        <f t="shared" si="12"/>
        <v>1</v>
      </c>
      <c r="AV24">
        <v>64</v>
      </c>
      <c r="AW24">
        <v>570618.03</v>
      </c>
      <c r="AX24">
        <v>0</v>
      </c>
      <c r="AY24">
        <v>0</v>
      </c>
      <c r="AZ24">
        <v>0</v>
      </c>
      <c r="BA24" t="s">
        <v>3279</v>
      </c>
      <c r="BB24" t="s">
        <v>3279</v>
      </c>
      <c r="BD24" s="821">
        <f t="shared" si="7"/>
        <v>1</v>
      </c>
      <c r="BE24" s="821" t="s">
        <v>2954</v>
      </c>
      <c r="BF24" s="821" t="s">
        <v>3408</v>
      </c>
      <c r="BH24">
        <f t="shared" si="16"/>
        <v>1</v>
      </c>
      <c r="BI24">
        <v>61</v>
      </c>
      <c r="BJ24">
        <v>0</v>
      </c>
      <c r="BK24">
        <v>0</v>
      </c>
      <c r="BL24">
        <v>0</v>
      </c>
      <c r="BM24">
        <v>0</v>
      </c>
      <c r="BN24">
        <v>0</v>
      </c>
      <c r="BO24">
        <v>0</v>
      </c>
      <c r="BP24">
        <v>0</v>
      </c>
      <c r="BQ24">
        <v>0</v>
      </c>
      <c r="BR24">
        <v>0</v>
      </c>
      <c r="BS24">
        <v>0</v>
      </c>
    </row>
    <row r="25" spans="1:71" ht="14.25" x14ac:dyDescent="0.2">
      <c r="A25" s="821"/>
      <c r="B25" s="821"/>
      <c r="C25" s="821"/>
      <c r="D25" s="821"/>
      <c r="E25" s="821"/>
      <c r="F25" s="821"/>
      <c r="G25" s="821"/>
      <c r="H25" s="821"/>
      <c r="I25" s="821"/>
      <c r="J25" s="821">
        <f t="shared" si="0"/>
        <v>1</v>
      </c>
      <c r="K25" s="821" t="s">
        <v>3365</v>
      </c>
      <c r="L25" s="821">
        <v>0</v>
      </c>
      <c r="M25" s="821"/>
      <c r="N25" s="821"/>
      <c r="O25" s="821"/>
      <c r="P25" s="821"/>
      <c r="Q25" s="821"/>
      <c r="R25" s="821"/>
      <c r="S25" s="821"/>
      <c r="T25" s="821"/>
      <c r="U25" s="821"/>
      <c r="V25" s="821"/>
      <c r="W25" s="821"/>
      <c r="X25" s="821"/>
      <c r="Y25" s="821"/>
      <c r="Z25" s="821"/>
      <c r="AA25" s="828">
        <f t="shared" si="13"/>
        <v>1</v>
      </c>
      <c r="AB25" s="828">
        <v>77</v>
      </c>
      <c r="AC25" s="828">
        <v>2716.63</v>
      </c>
      <c r="AD25" s="821"/>
      <c r="AE25" s="821">
        <f t="shared" si="3"/>
        <v>1</v>
      </c>
      <c r="AF25" s="821" t="s">
        <v>3366</v>
      </c>
      <c r="AG25" s="821">
        <v>0</v>
      </c>
      <c r="AH25" s="821"/>
      <c r="AI25" s="828">
        <f t="shared" si="14"/>
        <v>1</v>
      </c>
      <c r="AJ25" s="828">
        <v>77</v>
      </c>
      <c r="AK25" s="828">
        <v>3665</v>
      </c>
      <c r="AL25" s="828">
        <v>2716.63</v>
      </c>
      <c r="AM25" s="828">
        <v>0</v>
      </c>
      <c r="AN25" s="828">
        <v>0</v>
      </c>
      <c r="AO25" s="828">
        <v>0</v>
      </c>
      <c r="AQ25" s="821">
        <f t="shared" si="5"/>
        <v>1</v>
      </c>
      <c r="AR25" s="821" t="s">
        <v>3356</v>
      </c>
      <c r="AS25" s="821" t="s">
        <v>3382</v>
      </c>
      <c r="AT25" s="821"/>
      <c r="AU25">
        <f t="shared" si="12"/>
        <v>1</v>
      </c>
      <c r="AV25">
        <v>65</v>
      </c>
      <c r="AW25">
        <v>631013.35</v>
      </c>
      <c r="AX25">
        <v>0</v>
      </c>
      <c r="AY25">
        <v>0</v>
      </c>
      <c r="AZ25">
        <v>0</v>
      </c>
      <c r="BA25" t="s">
        <v>3379</v>
      </c>
      <c r="BB25" t="s">
        <v>3380</v>
      </c>
      <c r="BD25" s="821">
        <f t="shared" si="7"/>
        <v>1</v>
      </c>
      <c r="BE25" s="821" t="s">
        <v>3393</v>
      </c>
      <c r="BF25" s="821" t="s">
        <v>3383</v>
      </c>
      <c r="BH25">
        <f t="shared" si="16"/>
        <v>1</v>
      </c>
      <c r="BI25">
        <v>62</v>
      </c>
      <c r="BJ25">
        <v>0</v>
      </c>
      <c r="BK25">
        <v>0</v>
      </c>
      <c r="BL25">
        <v>0</v>
      </c>
      <c r="BM25">
        <v>0</v>
      </c>
      <c r="BN25">
        <v>0</v>
      </c>
      <c r="BO25">
        <v>0</v>
      </c>
      <c r="BP25">
        <v>0</v>
      </c>
      <c r="BQ25">
        <v>0</v>
      </c>
      <c r="BR25">
        <v>0</v>
      </c>
      <c r="BS25">
        <v>0</v>
      </c>
    </row>
    <row r="26" spans="1:71" ht="14.25" x14ac:dyDescent="0.2">
      <c r="A26" s="821"/>
      <c r="B26" s="821"/>
      <c r="C26" s="821"/>
      <c r="D26" s="821"/>
      <c r="E26" s="821"/>
      <c r="F26" s="821"/>
      <c r="G26" s="821"/>
      <c r="H26" s="821"/>
      <c r="I26" s="821"/>
      <c r="J26" s="821">
        <f t="shared" si="0"/>
        <v>1</v>
      </c>
      <c r="K26" s="821" t="s">
        <v>3364</v>
      </c>
      <c r="L26" s="821" t="s">
        <v>3340</v>
      </c>
      <c r="M26" s="821"/>
      <c r="N26" s="821"/>
      <c r="O26" s="821"/>
      <c r="P26" s="821"/>
      <c r="Q26" s="821"/>
      <c r="R26" s="821"/>
      <c r="S26" s="821"/>
      <c r="T26" s="821"/>
      <c r="U26" s="821"/>
      <c r="V26" s="821"/>
      <c r="W26" s="821"/>
      <c r="X26" s="821"/>
      <c r="Y26" s="821"/>
      <c r="Z26" s="821"/>
      <c r="AA26" s="828">
        <f t="shared" si="13"/>
        <v>1</v>
      </c>
      <c r="AB26" s="828">
        <v>78</v>
      </c>
      <c r="AC26" s="828">
        <v>2907.07</v>
      </c>
      <c r="AD26" s="821"/>
      <c r="AE26" s="821">
        <f t="shared" si="3"/>
        <v>1</v>
      </c>
      <c r="AF26" s="821" t="s">
        <v>3339</v>
      </c>
      <c r="AG26" s="821" t="s">
        <v>3340</v>
      </c>
      <c r="AH26" s="821"/>
      <c r="AI26" s="828">
        <f t="shared" si="14"/>
        <v>1</v>
      </c>
      <c r="AJ26" s="828">
        <v>78</v>
      </c>
      <c r="AK26" s="828">
        <v>3671</v>
      </c>
      <c r="AL26" s="828">
        <v>2907.07</v>
      </c>
      <c r="AM26" s="828">
        <v>0</v>
      </c>
      <c r="AN26" s="828">
        <v>0</v>
      </c>
      <c r="AO26" s="828">
        <v>0</v>
      </c>
      <c r="AQ26" s="821">
        <f t="shared" si="5"/>
        <v>1</v>
      </c>
      <c r="AR26" s="821" t="s">
        <v>3394</v>
      </c>
      <c r="AS26" s="821" t="s">
        <v>3395</v>
      </c>
      <c r="AT26" s="821"/>
      <c r="AU26">
        <f t="shared" si="12"/>
        <v>1</v>
      </c>
      <c r="AV26">
        <v>66</v>
      </c>
      <c r="AW26">
        <v>320312</v>
      </c>
      <c r="AX26">
        <v>0</v>
      </c>
      <c r="AY26">
        <v>0</v>
      </c>
      <c r="AZ26">
        <v>0</v>
      </c>
      <c r="BA26" t="s">
        <v>3279</v>
      </c>
      <c r="BB26" t="s">
        <v>3279</v>
      </c>
      <c r="BD26" s="821">
        <f t="shared" si="7"/>
        <v>1</v>
      </c>
      <c r="BE26" s="821" t="s">
        <v>3356</v>
      </c>
      <c r="BF26" s="821" t="s">
        <v>3382</v>
      </c>
      <c r="BH26">
        <f t="shared" si="16"/>
        <v>1</v>
      </c>
      <c r="BI26">
        <v>63</v>
      </c>
      <c r="BJ26">
        <v>0</v>
      </c>
      <c r="BK26">
        <v>0</v>
      </c>
      <c r="BL26">
        <v>0</v>
      </c>
      <c r="BM26">
        <v>0</v>
      </c>
      <c r="BN26">
        <v>0</v>
      </c>
      <c r="BO26">
        <v>0</v>
      </c>
      <c r="BP26">
        <v>0</v>
      </c>
      <c r="BQ26">
        <v>0</v>
      </c>
      <c r="BR26">
        <v>0</v>
      </c>
      <c r="BS26">
        <v>0</v>
      </c>
    </row>
    <row r="27" spans="1:71" ht="14.25" x14ac:dyDescent="0.2">
      <c r="A27" s="821"/>
      <c r="B27" s="821"/>
      <c r="C27" s="821"/>
      <c r="D27" s="821"/>
      <c r="E27" s="821"/>
      <c r="F27" s="821"/>
      <c r="G27" s="821"/>
      <c r="H27" s="821"/>
      <c r="I27" s="821"/>
      <c r="J27" s="821">
        <f t="shared" si="0"/>
        <v>1</v>
      </c>
      <c r="K27" s="821" t="s">
        <v>3362</v>
      </c>
      <c r="L27" s="821" t="s">
        <v>3363</v>
      </c>
      <c r="M27" s="821"/>
      <c r="N27" s="821"/>
      <c r="O27" s="821"/>
      <c r="P27" s="821"/>
      <c r="Q27" s="821"/>
      <c r="R27" s="821"/>
      <c r="S27" s="821"/>
      <c r="T27" s="821"/>
      <c r="U27" s="821"/>
      <c r="V27" s="821"/>
      <c r="W27" s="821"/>
      <c r="X27" s="821"/>
      <c r="Y27" s="821"/>
      <c r="Z27" s="821"/>
      <c r="AA27" s="828">
        <f t="shared" si="13"/>
        <v>1</v>
      </c>
      <c r="AB27" s="828">
        <v>79</v>
      </c>
      <c r="AC27" s="828">
        <v>3097.51</v>
      </c>
      <c r="AD27" s="821"/>
      <c r="AE27" s="821">
        <f t="shared" si="3"/>
        <v>1</v>
      </c>
      <c r="AF27" s="821" t="s">
        <v>2954</v>
      </c>
      <c r="AG27" s="821" t="s">
        <v>3359</v>
      </c>
      <c r="AH27" s="821"/>
      <c r="AI27" s="828">
        <f t="shared" si="14"/>
        <v>1</v>
      </c>
      <c r="AJ27" s="828">
        <v>79</v>
      </c>
      <c r="AK27" s="828">
        <v>3676</v>
      </c>
      <c r="AL27" s="828">
        <v>3097.51</v>
      </c>
      <c r="AM27" s="828">
        <v>0</v>
      </c>
      <c r="AN27" s="828">
        <v>0</v>
      </c>
      <c r="AO27" s="828">
        <v>0</v>
      </c>
      <c r="AQ27" s="821">
        <f t="shared" si="5"/>
        <v>1</v>
      </c>
      <c r="AR27" s="821" t="s">
        <v>3396</v>
      </c>
      <c r="AS27" s="821" t="s">
        <v>3395</v>
      </c>
      <c r="AT27" s="821"/>
      <c r="AU27">
        <f t="shared" si="12"/>
        <v>1</v>
      </c>
      <c r="AV27">
        <v>67</v>
      </c>
      <c r="AW27">
        <v>0</v>
      </c>
      <c r="AX27">
        <v>0</v>
      </c>
      <c r="AY27">
        <v>0</v>
      </c>
      <c r="AZ27">
        <v>0</v>
      </c>
      <c r="BA27" t="s">
        <v>3279</v>
      </c>
      <c r="BB27" t="s">
        <v>3279</v>
      </c>
      <c r="BD27" s="821">
        <f t="shared" si="7"/>
        <v>1</v>
      </c>
      <c r="BE27" s="821" t="s">
        <v>3394</v>
      </c>
      <c r="BF27" s="821" t="s">
        <v>3395</v>
      </c>
      <c r="BH27">
        <f t="shared" si="16"/>
        <v>1</v>
      </c>
      <c r="BI27">
        <v>64</v>
      </c>
      <c r="BJ27">
        <v>0</v>
      </c>
      <c r="BK27">
        <v>0</v>
      </c>
      <c r="BL27">
        <v>0</v>
      </c>
      <c r="BM27">
        <v>0</v>
      </c>
      <c r="BN27">
        <v>0</v>
      </c>
      <c r="BO27">
        <v>0</v>
      </c>
      <c r="BP27">
        <v>0</v>
      </c>
      <c r="BQ27">
        <v>0</v>
      </c>
      <c r="BR27">
        <v>0</v>
      </c>
      <c r="BS27">
        <v>0</v>
      </c>
    </row>
    <row r="28" spans="1:71" ht="14.25" x14ac:dyDescent="0.2">
      <c r="A28" s="821"/>
      <c r="B28" s="821"/>
      <c r="C28" s="821"/>
      <c r="D28" s="821"/>
      <c r="E28" s="821"/>
      <c r="F28" s="821"/>
      <c r="G28" s="821"/>
      <c r="H28" s="821"/>
      <c r="I28" s="821"/>
      <c r="J28" s="821"/>
      <c r="K28" s="821"/>
      <c r="L28" s="821"/>
      <c r="M28" s="821"/>
      <c r="N28" s="821"/>
      <c r="O28" s="821"/>
      <c r="P28" s="821"/>
      <c r="Q28" s="821"/>
      <c r="R28" s="821"/>
      <c r="S28" s="821"/>
      <c r="T28" s="821"/>
      <c r="U28" s="821"/>
      <c r="V28" s="821"/>
      <c r="W28" s="821"/>
      <c r="X28" s="821"/>
      <c r="Y28" s="821"/>
      <c r="Z28" s="821"/>
      <c r="AA28" s="821"/>
      <c r="AB28" s="828"/>
      <c r="AC28" s="828"/>
      <c r="AD28" s="821"/>
      <c r="AE28" s="821">
        <f t="shared" si="3"/>
        <v>1</v>
      </c>
      <c r="AF28" s="821" t="s">
        <v>3362</v>
      </c>
      <c r="AG28" s="821" t="s">
        <v>3363</v>
      </c>
      <c r="AH28" s="821"/>
      <c r="AI28" s="821"/>
      <c r="AJ28" s="821"/>
      <c r="AK28" s="821"/>
      <c r="AL28" s="821"/>
      <c r="AM28" s="821"/>
      <c r="AN28" s="821"/>
      <c r="AO28" s="821"/>
      <c r="AQ28" s="821">
        <f t="shared" si="5"/>
        <v>1</v>
      </c>
      <c r="AR28" s="821" t="s">
        <v>3397</v>
      </c>
      <c r="AS28" s="821" t="s">
        <v>3395</v>
      </c>
      <c r="AT28" s="821"/>
      <c r="AU28">
        <f t="shared" si="12"/>
        <v>1</v>
      </c>
      <c r="AV28">
        <v>68</v>
      </c>
      <c r="AW28">
        <v>0</v>
      </c>
      <c r="AX28">
        <v>0</v>
      </c>
      <c r="AY28">
        <v>0</v>
      </c>
      <c r="AZ28">
        <v>0</v>
      </c>
      <c r="BA28" t="s">
        <v>3279</v>
      </c>
      <c r="BB28" t="s">
        <v>3279</v>
      </c>
      <c r="BD28" s="821">
        <f t="shared" si="7"/>
        <v>1</v>
      </c>
      <c r="BE28" s="821" t="s">
        <v>3396</v>
      </c>
      <c r="BF28" s="821" t="s">
        <v>3395</v>
      </c>
      <c r="BH28">
        <f t="shared" si="16"/>
        <v>1</v>
      </c>
      <c r="BI28">
        <v>65</v>
      </c>
      <c r="BJ28">
        <v>0</v>
      </c>
      <c r="BK28">
        <v>325954</v>
      </c>
      <c r="BL28">
        <v>0</v>
      </c>
      <c r="BM28">
        <v>0</v>
      </c>
      <c r="BN28">
        <v>0</v>
      </c>
      <c r="BO28">
        <v>38676</v>
      </c>
      <c r="BP28">
        <v>1204</v>
      </c>
      <c r="BQ28">
        <v>0</v>
      </c>
      <c r="BR28">
        <v>0</v>
      </c>
      <c r="BS28">
        <v>365834</v>
      </c>
    </row>
    <row r="29" spans="1:71" ht="14.25" x14ac:dyDescent="0.2">
      <c r="AQ29" s="821">
        <f t="shared" si="5"/>
        <v>1</v>
      </c>
      <c r="AR29" t="s">
        <v>3365</v>
      </c>
      <c r="AS29" t="s">
        <v>3398</v>
      </c>
      <c r="AU29">
        <f t="shared" si="12"/>
        <v>1</v>
      </c>
      <c r="AV29">
        <v>69</v>
      </c>
      <c r="AW29">
        <v>0</v>
      </c>
      <c r="AX29">
        <v>0</v>
      </c>
      <c r="AY29">
        <v>0</v>
      </c>
      <c r="AZ29">
        <v>0</v>
      </c>
      <c r="BA29" t="s">
        <v>3279</v>
      </c>
      <c r="BB29" t="s">
        <v>3279</v>
      </c>
      <c r="BD29" s="821">
        <f t="shared" si="7"/>
        <v>1</v>
      </c>
      <c r="BE29" t="s">
        <v>3397</v>
      </c>
      <c r="BF29" t="s">
        <v>3395</v>
      </c>
      <c r="BH29">
        <f t="shared" si="16"/>
        <v>1</v>
      </c>
      <c r="BI29">
        <v>66</v>
      </c>
      <c r="BJ29">
        <v>12185</v>
      </c>
      <c r="BK29">
        <v>320312</v>
      </c>
      <c r="BL29">
        <v>0</v>
      </c>
      <c r="BM29">
        <v>0</v>
      </c>
      <c r="BN29">
        <v>0</v>
      </c>
      <c r="BO29">
        <v>39450</v>
      </c>
      <c r="BP29">
        <v>1204</v>
      </c>
      <c r="BQ29">
        <v>0</v>
      </c>
      <c r="BR29">
        <v>0</v>
      </c>
      <c r="BS29">
        <v>373151</v>
      </c>
    </row>
    <row r="30" spans="1:71" ht="14.25" x14ac:dyDescent="0.2">
      <c r="AQ30" s="821">
        <f t="shared" si="5"/>
        <v>1</v>
      </c>
      <c r="AR30" t="s">
        <v>3399</v>
      </c>
      <c r="AS30" t="s">
        <v>3382</v>
      </c>
      <c r="AU30">
        <f t="shared" si="12"/>
        <v>1</v>
      </c>
      <c r="AV30">
        <v>70</v>
      </c>
      <c r="AW30">
        <v>0</v>
      </c>
      <c r="AX30">
        <v>0</v>
      </c>
      <c r="AY30">
        <v>0</v>
      </c>
      <c r="AZ30">
        <v>0</v>
      </c>
      <c r="BA30" t="s">
        <v>3279</v>
      </c>
      <c r="BB30" t="s">
        <v>3279</v>
      </c>
      <c r="BD30" s="821">
        <f t="shared" si="7"/>
        <v>1</v>
      </c>
      <c r="BE30" t="s">
        <v>3365</v>
      </c>
      <c r="BF30" t="s">
        <v>3398</v>
      </c>
      <c r="BH30">
        <f t="shared" si="16"/>
        <v>1</v>
      </c>
      <c r="BI30">
        <v>67</v>
      </c>
      <c r="BJ30">
        <v>339171</v>
      </c>
      <c r="BK30">
        <v>0</v>
      </c>
      <c r="BL30">
        <v>0</v>
      </c>
      <c r="BM30">
        <v>0</v>
      </c>
      <c r="BN30">
        <v>0</v>
      </c>
      <c r="BO30">
        <v>40239</v>
      </c>
      <c r="BP30">
        <v>1204</v>
      </c>
      <c r="BQ30">
        <v>0</v>
      </c>
      <c r="BR30">
        <v>0</v>
      </c>
      <c r="BS30">
        <v>380614</v>
      </c>
    </row>
    <row r="31" spans="1:71" ht="14.25" x14ac:dyDescent="0.2">
      <c r="AQ31" s="821">
        <f t="shared" si="5"/>
        <v>1</v>
      </c>
      <c r="AR31" t="s">
        <v>3352</v>
      </c>
      <c r="AS31" t="s">
        <v>3400</v>
      </c>
      <c r="AU31">
        <f t="shared" si="12"/>
        <v>1</v>
      </c>
      <c r="AV31">
        <v>71</v>
      </c>
      <c r="AW31">
        <v>0</v>
      </c>
      <c r="AX31">
        <v>0</v>
      </c>
      <c r="AY31">
        <v>0</v>
      </c>
      <c r="AZ31">
        <v>0</v>
      </c>
      <c r="BA31" t="s">
        <v>3279</v>
      </c>
      <c r="BB31" t="s">
        <v>3279</v>
      </c>
      <c r="BD31" s="821">
        <f t="shared" si="7"/>
        <v>1</v>
      </c>
      <c r="BE31" t="s">
        <v>3399</v>
      </c>
      <c r="BF31" t="s">
        <v>3382</v>
      </c>
      <c r="BH31">
        <f t="shared" si="16"/>
        <v>1</v>
      </c>
      <c r="BI31">
        <v>68</v>
      </c>
      <c r="BJ31">
        <v>345978</v>
      </c>
      <c r="BK31">
        <v>0</v>
      </c>
      <c r="BL31">
        <v>0</v>
      </c>
      <c r="BM31">
        <v>0</v>
      </c>
      <c r="BN31">
        <v>0</v>
      </c>
      <c r="BO31">
        <v>41044</v>
      </c>
      <c r="BP31">
        <v>1204</v>
      </c>
      <c r="BQ31">
        <v>0</v>
      </c>
      <c r="BR31">
        <v>0</v>
      </c>
      <c r="BS31">
        <v>388226</v>
      </c>
    </row>
    <row r="32" spans="1:71" ht="14.25" x14ac:dyDescent="0.2">
      <c r="AQ32" s="821">
        <f t="shared" si="5"/>
        <v>1</v>
      </c>
      <c r="AR32" t="s">
        <v>3338</v>
      </c>
      <c r="AS32" t="s">
        <v>3401</v>
      </c>
      <c r="AU32">
        <f t="shared" si="12"/>
        <v>1</v>
      </c>
      <c r="AV32">
        <v>72</v>
      </c>
      <c r="AW32">
        <v>0</v>
      </c>
      <c r="AX32">
        <v>0</v>
      </c>
      <c r="AY32">
        <v>0</v>
      </c>
      <c r="AZ32">
        <v>0</v>
      </c>
      <c r="BA32" t="s">
        <v>3279</v>
      </c>
      <c r="BB32" t="s">
        <v>3279</v>
      </c>
      <c r="BD32" s="821">
        <f t="shared" si="7"/>
        <v>1</v>
      </c>
      <c r="BE32" t="s">
        <v>3352</v>
      </c>
      <c r="BF32" t="s">
        <v>3400</v>
      </c>
      <c r="BH32">
        <f t="shared" si="16"/>
        <v>1</v>
      </c>
      <c r="BI32">
        <v>69</v>
      </c>
      <c r="BJ32">
        <v>352922</v>
      </c>
      <c r="BK32">
        <v>0</v>
      </c>
      <c r="BL32">
        <v>0</v>
      </c>
      <c r="BM32">
        <v>0</v>
      </c>
      <c r="BN32">
        <v>0</v>
      </c>
      <c r="BO32">
        <v>41865</v>
      </c>
      <c r="BP32">
        <v>1204</v>
      </c>
      <c r="BQ32">
        <v>0</v>
      </c>
      <c r="BR32">
        <v>0</v>
      </c>
      <c r="BS32">
        <v>395991</v>
      </c>
    </row>
    <row r="33" spans="43:71" ht="14.25" x14ac:dyDescent="0.2">
      <c r="AQ33" s="821">
        <f t="shared" si="5"/>
        <v>1</v>
      </c>
      <c r="AR33" t="s">
        <v>3402</v>
      </c>
      <c r="AS33" t="s">
        <v>3340</v>
      </c>
      <c r="AU33">
        <f t="shared" si="12"/>
        <v>0</v>
      </c>
      <c r="AV33">
        <v>0</v>
      </c>
      <c r="AW33">
        <v>0</v>
      </c>
      <c r="AX33">
        <v>0</v>
      </c>
      <c r="AY33">
        <v>0</v>
      </c>
      <c r="AZ33">
        <v>0</v>
      </c>
      <c r="BA33" t="s">
        <v>3279</v>
      </c>
      <c r="BB33" t="s">
        <v>3279</v>
      </c>
      <c r="BD33" s="821">
        <f t="shared" si="7"/>
        <v>1</v>
      </c>
      <c r="BE33" t="s">
        <v>3338</v>
      </c>
      <c r="BF33" t="s">
        <v>3401</v>
      </c>
      <c r="BH33">
        <f t="shared" si="16"/>
        <v>1</v>
      </c>
      <c r="BI33">
        <v>70</v>
      </c>
      <c r="BJ33">
        <v>360005</v>
      </c>
      <c r="BK33">
        <v>0</v>
      </c>
      <c r="BL33">
        <v>0</v>
      </c>
      <c r="BM33">
        <v>0</v>
      </c>
      <c r="BN33">
        <v>0</v>
      </c>
      <c r="BO33">
        <v>42702</v>
      </c>
      <c r="BP33">
        <v>1204</v>
      </c>
      <c r="BQ33">
        <v>0</v>
      </c>
      <c r="BR33">
        <v>0</v>
      </c>
      <c r="BS33">
        <v>403911</v>
      </c>
    </row>
    <row r="34" spans="43:71" ht="14.25" x14ac:dyDescent="0.2">
      <c r="AQ34" s="821">
        <f t="shared" si="5"/>
        <v>1</v>
      </c>
      <c r="AR34" t="s">
        <v>3403</v>
      </c>
      <c r="AS34" t="s">
        <v>3382</v>
      </c>
      <c r="AU34">
        <f t="shared" si="12"/>
        <v>0</v>
      </c>
      <c r="AV34">
        <v>0</v>
      </c>
      <c r="AW34">
        <v>0</v>
      </c>
      <c r="AX34">
        <v>0</v>
      </c>
      <c r="AY34">
        <v>0</v>
      </c>
      <c r="AZ34">
        <v>0</v>
      </c>
      <c r="BA34" t="s">
        <v>3279</v>
      </c>
      <c r="BB34" t="s">
        <v>3279</v>
      </c>
      <c r="BD34" s="821"/>
      <c r="BH34">
        <f t="shared" si="16"/>
        <v>1</v>
      </c>
      <c r="BI34">
        <v>71</v>
      </c>
      <c r="BJ34">
        <v>367229</v>
      </c>
      <c r="BK34">
        <v>0</v>
      </c>
      <c r="BL34">
        <v>0</v>
      </c>
      <c r="BM34">
        <v>0</v>
      </c>
      <c r="BN34">
        <v>0</v>
      </c>
      <c r="BO34">
        <v>43556</v>
      </c>
      <c r="BP34">
        <v>1204</v>
      </c>
      <c r="BQ34">
        <v>0</v>
      </c>
      <c r="BR34">
        <v>0</v>
      </c>
      <c r="BS34">
        <v>411989</v>
      </c>
    </row>
    <row r="35" spans="43:71" ht="14.25" x14ac:dyDescent="0.2">
      <c r="AQ35" s="821">
        <f t="shared" si="5"/>
        <v>1</v>
      </c>
      <c r="AR35" t="s">
        <v>3404</v>
      </c>
      <c r="AS35" t="s">
        <v>3383</v>
      </c>
      <c r="AU35">
        <f t="shared" si="12"/>
        <v>0</v>
      </c>
      <c r="AV35">
        <v>0</v>
      </c>
      <c r="AW35">
        <v>0</v>
      </c>
      <c r="AX35">
        <v>0</v>
      </c>
      <c r="AY35">
        <v>0</v>
      </c>
      <c r="AZ35">
        <v>0</v>
      </c>
      <c r="BA35" t="s">
        <v>3279</v>
      </c>
      <c r="BB35" t="s">
        <v>3279</v>
      </c>
      <c r="BD35" s="821"/>
      <c r="BH35">
        <f t="shared" si="16"/>
        <v>1</v>
      </c>
      <c r="BI35">
        <v>72</v>
      </c>
      <c r="BJ35">
        <v>374598</v>
      </c>
      <c r="BK35">
        <v>0</v>
      </c>
      <c r="BL35">
        <v>0</v>
      </c>
      <c r="BM35">
        <v>0</v>
      </c>
      <c r="BN35">
        <v>0</v>
      </c>
      <c r="BO35">
        <v>44427</v>
      </c>
      <c r="BP35">
        <v>1204</v>
      </c>
      <c r="BQ35">
        <v>0</v>
      </c>
      <c r="BR35">
        <v>0</v>
      </c>
      <c r="BS35">
        <v>420229</v>
      </c>
    </row>
    <row r="36" spans="43:71" x14ac:dyDescent="0.2">
      <c r="AU36">
        <f t="shared" si="12"/>
        <v>0</v>
      </c>
      <c r="AV36">
        <v>0</v>
      </c>
      <c r="AW36">
        <v>0</v>
      </c>
      <c r="AX36">
        <v>0</v>
      </c>
      <c r="AY36">
        <v>0</v>
      </c>
      <c r="AZ36">
        <v>0</v>
      </c>
      <c r="BA36" t="s">
        <v>3279</v>
      </c>
      <c r="BB36" t="s">
        <v>3279</v>
      </c>
      <c r="BH36">
        <f t="shared" si="16"/>
        <v>0</v>
      </c>
      <c r="BI36">
        <v>0</v>
      </c>
      <c r="BJ36">
        <v>382114</v>
      </c>
      <c r="BK36">
        <v>0</v>
      </c>
      <c r="BL36">
        <v>0</v>
      </c>
      <c r="BM36">
        <v>0</v>
      </c>
      <c r="BN36">
        <v>0</v>
      </c>
      <c r="BO36">
        <v>45316</v>
      </c>
      <c r="BP36">
        <v>1204</v>
      </c>
      <c r="BQ36">
        <v>0</v>
      </c>
      <c r="BR36">
        <v>0</v>
      </c>
      <c r="BS36">
        <v>428634</v>
      </c>
    </row>
    <row r="37" spans="43:71" x14ac:dyDescent="0.2">
      <c r="AU37">
        <f t="shared" si="12"/>
        <v>0</v>
      </c>
      <c r="AV37">
        <v>0</v>
      </c>
      <c r="AW37">
        <v>0</v>
      </c>
      <c r="AX37">
        <v>0</v>
      </c>
      <c r="AY37">
        <v>0</v>
      </c>
      <c r="AZ37">
        <v>0</v>
      </c>
      <c r="BA37" t="s">
        <v>3279</v>
      </c>
      <c r="BB37" t="s">
        <v>3279</v>
      </c>
      <c r="BH37">
        <f t="shared" si="16"/>
        <v>0</v>
      </c>
      <c r="BI37">
        <v>0</v>
      </c>
      <c r="BJ37">
        <v>389781</v>
      </c>
      <c r="BK37">
        <v>0</v>
      </c>
      <c r="BL37">
        <v>0</v>
      </c>
      <c r="BM37">
        <v>0</v>
      </c>
      <c r="BN37">
        <v>0</v>
      </c>
      <c r="BO37">
        <v>46222</v>
      </c>
      <c r="BP37">
        <v>1204</v>
      </c>
      <c r="BQ37">
        <v>0</v>
      </c>
      <c r="BR37">
        <v>0</v>
      </c>
      <c r="BS37">
        <v>437207</v>
      </c>
    </row>
    <row r="38" spans="43:71" x14ac:dyDescent="0.2">
      <c r="AU38">
        <f t="shared" si="12"/>
        <v>0</v>
      </c>
      <c r="AV38">
        <v>0</v>
      </c>
      <c r="AW38">
        <v>0</v>
      </c>
      <c r="AX38">
        <v>0</v>
      </c>
      <c r="AY38">
        <v>0</v>
      </c>
      <c r="AZ38">
        <v>0</v>
      </c>
      <c r="BA38" t="s">
        <v>3279</v>
      </c>
      <c r="BB38" t="s">
        <v>3279</v>
      </c>
      <c r="BH38">
        <f t="shared" si="16"/>
        <v>0</v>
      </c>
      <c r="BI38">
        <v>0</v>
      </c>
      <c r="BJ38">
        <v>397601</v>
      </c>
      <c r="BK38">
        <v>0</v>
      </c>
      <c r="BL38">
        <v>0</v>
      </c>
      <c r="BM38">
        <v>0</v>
      </c>
      <c r="BN38">
        <v>0</v>
      </c>
      <c r="BO38">
        <v>47146</v>
      </c>
      <c r="BP38">
        <v>1204</v>
      </c>
      <c r="BQ38">
        <v>0</v>
      </c>
      <c r="BR38">
        <v>0</v>
      </c>
      <c r="BS38">
        <v>445951</v>
      </c>
    </row>
    <row r="39" spans="43:71" x14ac:dyDescent="0.2">
      <c r="AU39">
        <f t="shared" si="12"/>
        <v>0</v>
      </c>
      <c r="AV39">
        <v>0</v>
      </c>
      <c r="AW39">
        <v>0</v>
      </c>
      <c r="AX39">
        <v>0</v>
      </c>
      <c r="AY39">
        <v>0</v>
      </c>
      <c r="AZ39">
        <v>0</v>
      </c>
      <c r="BA39" t="s">
        <v>3279</v>
      </c>
      <c r="BB39" t="s">
        <v>3279</v>
      </c>
      <c r="BH39">
        <f t="shared" si="16"/>
        <v>0</v>
      </c>
      <c r="BI39">
        <v>0</v>
      </c>
      <c r="BJ39">
        <v>405577</v>
      </c>
      <c r="BK39">
        <v>0</v>
      </c>
      <c r="BL39">
        <v>0</v>
      </c>
      <c r="BM39">
        <v>0</v>
      </c>
      <c r="BN39">
        <v>0</v>
      </c>
      <c r="BO39">
        <v>48089</v>
      </c>
      <c r="BP39">
        <v>1204</v>
      </c>
      <c r="BQ39">
        <v>0</v>
      </c>
      <c r="BR39">
        <v>0</v>
      </c>
      <c r="BS39">
        <v>454870</v>
      </c>
    </row>
    <row r="40" spans="43:71" x14ac:dyDescent="0.2">
      <c r="AU40">
        <f t="shared" si="12"/>
        <v>0</v>
      </c>
      <c r="AV40">
        <v>0</v>
      </c>
      <c r="AW40">
        <v>0</v>
      </c>
      <c r="AX40">
        <v>0</v>
      </c>
      <c r="AY40">
        <v>0</v>
      </c>
      <c r="AZ40">
        <v>0</v>
      </c>
      <c r="BA40" t="s">
        <v>3279</v>
      </c>
      <c r="BB40" t="s">
        <v>3279</v>
      </c>
      <c r="BH40">
        <f t="shared" si="16"/>
        <v>0</v>
      </c>
      <c r="BI40">
        <v>0</v>
      </c>
      <c r="BJ40">
        <v>413712</v>
      </c>
      <c r="BK40">
        <v>0</v>
      </c>
      <c r="BL40">
        <v>0</v>
      </c>
      <c r="BM40">
        <v>0</v>
      </c>
      <c r="BN40">
        <v>0</v>
      </c>
      <c r="BO40">
        <v>49051</v>
      </c>
      <c r="BP40">
        <v>1204</v>
      </c>
      <c r="BQ40">
        <v>0</v>
      </c>
      <c r="BR40">
        <v>0</v>
      </c>
      <c r="BS40">
        <v>463967</v>
      </c>
    </row>
    <row r="41" spans="43:71" x14ac:dyDescent="0.2">
      <c r="AU41">
        <f t="shared" si="12"/>
        <v>0</v>
      </c>
      <c r="AV41">
        <v>0</v>
      </c>
      <c r="AW41">
        <v>0</v>
      </c>
      <c r="AX41">
        <v>0</v>
      </c>
      <c r="AY41">
        <v>0</v>
      </c>
      <c r="AZ41">
        <v>0</v>
      </c>
      <c r="BA41" t="s">
        <v>3279</v>
      </c>
      <c r="BB41" t="s">
        <v>3279</v>
      </c>
      <c r="BH41">
        <f t="shared" si="16"/>
        <v>0</v>
      </c>
      <c r="BI41">
        <v>0</v>
      </c>
      <c r="BJ41">
        <v>422010</v>
      </c>
      <c r="BK41">
        <v>0</v>
      </c>
      <c r="BL41">
        <v>0</v>
      </c>
      <c r="BM41">
        <v>0</v>
      </c>
      <c r="BN41">
        <v>0</v>
      </c>
      <c r="BO41">
        <v>50032</v>
      </c>
      <c r="BP41">
        <v>1204</v>
      </c>
      <c r="BQ41">
        <v>0</v>
      </c>
      <c r="BR41">
        <v>0</v>
      </c>
      <c r="BS41">
        <v>473246</v>
      </c>
    </row>
    <row r="42" spans="43:71" x14ac:dyDescent="0.2">
      <c r="AU42">
        <f t="shared" si="12"/>
        <v>0</v>
      </c>
      <c r="AV42">
        <v>0</v>
      </c>
      <c r="AW42">
        <v>0</v>
      </c>
      <c r="AX42">
        <v>0</v>
      </c>
      <c r="AY42">
        <v>0</v>
      </c>
      <c r="AZ42">
        <v>0</v>
      </c>
      <c r="BA42" t="s">
        <v>3279</v>
      </c>
      <c r="BB42" t="s">
        <v>3279</v>
      </c>
      <c r="BH42">
        <f t="shared" si="16"/>
        <v>0</v>
      </c>
      <c r="BI42">
        <v>0</v>
      </c>
      <c r="BJ42">
        <v>430474</v>
      </c>
      <c r="BK42">
        <v>0</v>
      </c>
      <c r="BL42">
        <v>0</v>
      </c>
      <c r="BM42">
        <v>0</v>
      </c>
      <c r="BN42">
        <v>0</v>
      </c>
      <c r="BO42">
        <v>51033</v>
      </c>
      <c r="BP42">
        <v>1204</v>
      </c>
      <c r="BQ42">
        <v>0</v>
      </c>
      <c r="BR42">
        <v>0</v>
      </c>
      <c r="BS42">
        <v>482711</v>
      </c>
    </row>
    <row r="43" spans="43:71" x14ac:dyDescent="0.2">
      <c r="AU43">
        <f t="shared" si="12"/>
        <v>0</v>
      </c>
      <c r="AV43">
        <v>0</v>
      </c>
      <c r="AW43">
        <v>0</v>
      </c>
      <c r="AX43">
        <v>0</v>
      </c>
      <c r="AY43">
        <v>0</v>
      </c>
      <c r="AZ43">
        <v>0</v>
      </c>
      <c r="BA43" t="s">
        <v>3279</v>
      </c>
      <c r="BB43" t="s">
        <v>3279</v>
      </c>
      <c r="BH43">
        <f t="shared" si="16"/>
        <v>0</v>
      </c>
      <c r="BI43">
        <v>0</v>
      </c>
      <c r="BJ43">
        <v>439107</v>
      </c>
      <c r="BK43">
        <v>0</v>
      </c>
      <c r="BL43">
        <v>0</v>
      </c>
      <c r="BM43">
        <v>0</v>
      </c>
      <c r="BN43">
        <v>0</v>
      </c>
      <c r="BO43">
        <v>52054</v>
      </c>
      <c r="BP43">
        <v>1204</v>
      </c>
      <c r="BQ43">
        <v>0</v>
      </c>
      <c r="BR43">
        <v>0</v>
      </c>
      <c r="BS43">
        <v>492365</v>
      </c>
    </row>
    <row r="44" spans="43:71" x14ac:dyDescent="0.2">
      <c r="AU44">
        <f t="shared" si="12"/>
        <v>0</v>
      </c>
      <c r="AV44">
        <v>0</v>
      </c>
      <c r="AW44">
        <v>0</v>
      </c>
      <c r="AX44">
        <v>0</v>
      </c>
      <c r="AY44">
        <v>0</v>
      </c>
      <c r="AZ44">
        <v>0</v>
      </c>
      <c r="BA44" t="s">
        <v>3279</v>
      </c>
      <c r="BB44" t="s">
        <v>3279</v>
      </c>
      <c r="BH44">
        <f t="shared" si="16"/>
        <v>0</v>
      </c>
      <c r="BI44">
        <v>0</v>
      </c>
      <c r="BJ44">
        <v>447913</v>
      </c>
      <c r="BK44">
        <v>0</v>
      </c>
      <c r="BL44">
        <v>0</v>
      </c>
      <c r="BM44">
        <v>0</v>
      </c>
      <c r="BN44">
        <v>0</v>
      </c>
      <c r="BO44">
        <v>53095</v>
      </c>
      <c r="BP44">
        <v>1204</v>
      </c>
      <c r="BQ44">
        <v>0</v>
      </c>
      <c r="BR44">
        <v>0</v>
      </c>
      <c r="BS44">
        <v>502212</v>
      </c>
    </row>
    <row r="45" spans="43:71" x14ac:dyDescent="0.2">
      <c r="AU45">
        <f t="shared" si="12"/>
        <v>0</v>
      </c>
      <c r="AV45">
        <v>0</v>
      </c>
      <c r="AW45">
        <v>0</v>
      </c>
      <c r="AX45">
        <v>0</v>
      </c>
      <c r="AY45">
        <v>0</v>
      </c>
      <c r="AZ45">
        <v>0</v>
      </c>
      <c r="BA45" t="s">
        <v>3279</v>
      </c>
      <c r="BB45" t="s">
        <v>3279</v>
      </c>
      <c r="BH45">
        <f t="shared" si="16"/>
        <v>0</v>
      </c>
      <c r="BI45">
        <v>0</v>
      </c>
      <c r="BJ45">
        <v>456895</v>
      </c>
      <c r="BK45">
        <v>0</v>
      </c>
      <c r="BL45">
        <v>0</v>
      </c>
      <c r="BM45">
        <v>0</v>
      </c>
      <c r="BN45">
        <v>0</v>
      </c>
      <c r="BO45">
        <v>54157</v>
      </c>
      <c r="BP45">
        <v>1204</v>
      </c>
      <c r="BQ45">
        <v>0</v>
      </c>
      <c r="BR45">
        <v>0</v>
      </c>
      <c r="BS45">
        <v>512256</v>
      </c>
    </row>
    <row r="46" spans="43:71" x14ac:dyDescent="0.2">
      <c r="AU46">
        <f t="shared" si="12"/>
        <v>0</v>
      </c>
      <c r="AV46">
        <v>0</v>
      </c>
      <c r="AW46">
        <v>0</v>
      </c>
      <c r="AX46">
        <v>0</v>
      </c>
      <c r="AY46">
        <v>0</v>
      </c>
      <c r="AZ46">
        <v>0</v>
      </c>
      <c r="BA46" t="s">
        <v>3279</v>
      </c>
      <c r="BB46" t="s">
        <v>3279</v>
      </c>
      <c r="BH46">
        <f t="shared" si="16"/>
        <v>0</v>
      </c>
      <c r="BI46">
        <v>0</v>
      </c>
      <c r="BJ46">
        <v>466057</v>
      </c>
      <c r="BK46">
        <v>0</v>
      </c>
      <c r="BL46">
        <v>0</v>
      </c>
      <c r="BM46">
        <v>0</v>
      </c>
      <c r="BN46">
        <v>0</v>
      </c>
      <c r="BO46">
        <v>55240</v>
      </c>
      <c r="BP46">
        <v>1204</v>
      </c>
      <c r="BQ46">
        <v>0</v>
      </c>
      <c r="BR46">
        <v>0</v>
      </c>
      <c r="BS46">
        <v>522501</v>
      </c>
    </row>
    <row r="47" spans="43:71" x14ac:dyDescent="0.2">
      <c r="AU47">
        <f t="shared" si="12"/>
        <v>0</v>
      </c>
      <c r="AV47">
        <v>0</v>
      </c>
      <c r="AW47">
        <v>0</v>
      </c>
      <c r="AX47">
        <v>0</v>
      </c>
      <c r="AY47">
        <v>0</v>
      </c>
      <c r="AZ47">
        <v>0</v>
      </c>
      <c r="BA47" t="s">
        <v>3279</v>
      </c>
      <c r="BB47" t="s">
        <v>3279</v>
      </c>
      <c r="BH47">
        <f t="shared" si="16"/>
        <v>0</v>
      </c>
      <c r="BI47">
        <v>0</v>
      </c>
      <c r="BJ47">
        <v>475402</v>
      </c>
      <c r="BK47">
        <v>0</v>
      </c>
      <c r="BL47">
        <v>0</v>
      </c>
      <c r="BM47">
        <v>0</v>
      </c>
      <c r="BN47">
        <v>0</v>
      </c>
      <c r="BO47">
        <v>56345</v>
      </c>
      <c r="BP47">
        <v>1204</v>
      </c>
      <c r="BQ47">
        <v>0</v>
      </c>
      <c r="BR47">
        <v>0</v>
      </c>
      <c r="BS47">
        <v>532951</v>
      </c>
    </row>
    <row r="48" spans="43:71" x14ac:dyDescent="0.2">
      <c r="AU48">
        <f t="shared" si="12"/>
        <v>0</v>
      </c>
      <c r="AV48">
        <v>0</v>
      </c>
      <c r="AW48">
        <v>0</v>
      </c>
      <c r="AX48">
        <v>0</v>
      </c>
      <c r="AY48">
        <v>0</v>
      </c>
      <c r="AZ48">
        <v>0</v>
      </c>
      <c r="BA48" t="s">
        <v>3279</v>
      </c>
      <c r="BB48" t="s">
        <v>3279</v>
      </c>
      <c r="BH48">
        <f t="shared" si="16"/>
        <v>0</v>
      </c>
      <c r="BI48">
        <v>0</v>
      </c>
      <c r="BJ48">
        <v>484934</v>
      </c>
      <c r="BK48">
        <v>0</v>
      </c>
      <c r="BL48">
        <v>0</v>
      </c>
      <c r="BM48">
        <v>0</v>
      </c>
      <c r="BN48">
        <v>0</v>
      </c>
      <c r="BO48">
        <v>57472</v>
      </c>
      <c r="BP48">
        <v>1204</v>
      </c>
      <c r="BQ48">
        <v>0</v>
      </c>
      <c r="BR48">
        <v>0</v>
      </c>
      <c r="BS48">
        <v>543610</v>
      </c>
    </row>
    <row r="49" spans="47:71" x14ac:dyDescent="0.2">
      <c r="AU49">
        <f t="shared" si="12"/>
        <v>0</v>
      </c>
      <c r="AV49">
        <v>0</v>
      </c>
      <c r="AW49">
        <v>0</v>
      </c>
      <c r="AX49">
        <v>0</v>
      </c>
      <c r="AY49">
        <v>0</v>
      </c>
      <c r="AZ49">
        <v>0</v>
      </c>
      <c r="BA49" t="s">
        <v>3279</v>
      </c>
      <c r="BB49" t="s">
        <v>3279</v>
      </c>
      <c r="BH49">
        <f t="shared" si="16"/>
        <v>0</v>
      </c>
      <c r="BI49">
        <v>0</v>
      </c>
      <c r="BJ49">
        <v>494657</v>
      </c>
      <c r="BK49">
        <v>0</v>
      </c>
      <c r="BL49">
        <v>0</v>
      </c>
      <c r="BM49">
        <v>0</v>
      </c>
      <c r="BN49">
        <v>0</v>
      </c>
      <c r="BO49">
        <v>58621</v>
      </c>
      <c r="BP49">
        <v>1204</v>
      </c>
      <c r="BQ49">
        <v>0</v>
      </c>
      <c r="BR49">
        <v>0</v>
      </c>
      <c r="BS49">
        <v>554482</v>
      </c>
    </row>
    <row r="50" spans="47:71" x14ac:dyDescent="0.2">
      <c r="AU50">
        <f t="shared" si="12"/>
        <v>0</v>
      </c>
      <c r="AV50">
        <v>0</v>
      </c>
      <c r="AW50">
        <v>0</v>
      </c>
      <c r="AX50">
        <v>0</v>
      </c>
      <c r="AY50">
        <v>0</v>
      </c>
      <c r="AZ50">
        <v>0</v>
      </c>
      <c r="BA50" t="s">
        <v>3279</v>
      </c>
      <c r="BB50" t="s">
        <v>3279</v>
      </c>
      <c r="BH50">
        <f t="shared" si="16"/>
        <v>0</v>
      </c>
      <c r="BI50">
        <v>0</v>
      </c>
      <c r="BJ50">
        <v>504575</v>
      </c>
      <c r="BK50">
        <v>0</v>
      </c>
      <c r="BL50">
        <v>0</v>
      </c>
      <c r="BM50">
        <v>0</v>
      </c>
      <c r="BN50">
        <v>0</v>
      </c>
      <c r="BO50">
        <v>59793</v>
      </c>
      <c r="BP50">
        <v>1204</v>
      </c>
      <c r="BQ50">
        <v>0</v>
      </c>
      <c r="BR50">
        <v>0</v>
      </c>
      <c r="BS50">
        <v>565572</v>
      </c>
    </row>
    <row r="51" spans="47:71" x14ac:dyDescent="0.2">
      <c r="AU51">
        <f t="shared" si="12"/>
        <v>0</v>
      </c>
      <c r="AV51">
        <v>0</v>
      </c>
      <c r="AW51">
        <v>0</v>
      </c>
      <c r="AX51">
        <v>0</v>
      </c>
      <c r="AY51">
        <v>0</v>
      </c>
      <c r="AZ51">
        <v>0</v>
      </c>
      <c r="BA51" t="s">
        <v>3279</v>
      </c>
      <c r="BB51" t="s">
        <v>3279</v>
      </c>
      <c r="BH51">
        <f t="shared" si="16"/>
        <v>0</v>
      </c>
      <c r="BI51">
        <v>0</v>
      </c>
      <c r="BJ51">
        <v>514690</v>
      </c>
      <c r="BK51">
        <v>0</v>
      </c>
      <c r="BL51">
        <v>0</v>
      </c>
      <c r="BM51">
        <v>0</v>
      </c>
      <c r="BN51">
        <v>0</v>
      </c>
      <c r="BO51">
        <v>60989</v>
      </c>
      <c r="BP51">
        <v>1204</v>
      </c>
      <c r="BQ51">
        <v>0</v>
      </c>
      <c r="BR51">
        <v>0</v>
      </c>
      <c r="BS51">
        <v>576883</v>
      </c>
    </row>
    <row r="52" spans="47:71" x14ac:dyDescent="0.2">
      <c r="AU52">
        <f t="shared" si="12"/>
        <v>0</v>
      </c>
      <c r="AV52">
        <v>0</v>
      </c>
      <c r="AW52">
        <v>0</v>
      </c>
      <c r="AX52">
        <v>0</v>
      </c>
      <c r="AY52">
        <v>0</v>
      </c>
      <c r="AZ52">
        <v>0</v>
      </c>
      <c r="BA52" t="s">
        <v>3279</v>
      </c>
      <c r="BB52" t="s">
        <v>3279</v>
      </c>
      <c r="BH52">
        <f t="shared" si="16"/>
        <v>0</v>
      </c>
      <c r="BI52">
        <v>0</v>
      </c>
      <c r="BJ52">
        <v>525008</v>
      </c>
      <c r="BK52">
        <v>0</v>
      </c>
      <c r="BL52">
        <v>0</v>
      </c>
      <c r="BM52">
        <v>0</v>
      </c>
      <c r="BN52">
        <v>0</v>
      </c>
      <c r="BO52">
        <v>62209</v>
      </c>
      <c r="BP52">
        <v>1204</v>
      </c>
      <c r="BQ52">
        <v>0</v>
      </c>
      <c r="BR52">
        <v>0</v>
      </c>
      <c r="BS52">
        <v>588421</v>
      </c>
    </row>
    <row r="53" spans="47:71" x14ac:dyDescent="0.2">
      <c r="AU53">
        <f t="shared" si="12"/>
        <v>0</v>
      </c>
      <c r="AV53">
        <v>0</v>
      </c>
      <c r="AW53">
        <v>0</v>
      </c>
      <c r="AX53">
        <v>0</v>
      </c>
      <c r="AY53">
        <v>0</v>
      </c>
      <c r="AZ53">
        <v>0</v>
      </c>
      <c r="BA53" t="s">
        <v>3279</v>
      </c>
      <c r="BB53" t="s">
        <v>3279</v>
      </c>
      <c r="BH53">
        <f t="shared" si="16"/>
        <v>0</v>
      </c>
      <c r="BI53">
        <v>0</v>
      </c>
      <c r="BJ53">
        <v>535532</v>
      </c>
      <c r="BK53">
        <v>0</v>
      </c>
      <c r="BL53">
        <v>0</v>
      </c>
      <c r="BM53">
        <v>0</v>
      </c>
      <c r="BN53">
        <v>0</v>
      </c>
      <c r="BO53">
        <v>63453</v>
      </c>
      <c r="BP53">
        <v>1204</v>
      </c>
      <c r="BQ53">
        <v>0</v>
      </c>
      <c r="BR53">
        <v>0</v>
      </c>
      <c r="BS53">
        <v>600189</v>
      </c>
    </row>
    <row r="54" spans="47:71" x14ac:dyDescent="0.2">
      <c r="AU54">
        <f t="shared" si="12"/>
        <v>0</v>
      </c>
      <c r="AV54">
        <v>0</v>
      </c>
      <c r="AW54">
        <v>0</v>
      </c>
      <c r="AX54">
        <v>0</v>
      </c>
      <c r="AY54">
        <v>0</v>
      </c>
      <c r="AZ54">
        <v>0</v>
      </c>
      <c r="BA54" t="s">
        <v>3279</v>
      </c>
      <c r="BB54" t="s">
        <v>3279</v>
      </c>
      <c r="BH54">
        <f t="shared" si="16"/>
        <v>0</v>
      </c>
      <c r="BI54">
        <v>0</v>
      </c>
      <c r="BJ54">
        <v>546267</v>
      </c>
      <c r="BK54">
        <v>0</v>
      </c>
      <c r="BL54">
        <v>0</v>
      </c>
      <c r="BM54">
        <v>0</v>
      </c>
      <c r="BN54">
        <v>0</v>
      </c>
      <c r="BO54">
        <v>64722</v>
      </c>
      <c r="BP54">
        <v>1204</v>
      </c>
      <c r="BQ54">
        <v>0</v>
      </c>
      <c r="BR54">
        <v>0</v>
      </c>
      <c r="BS54">
        <v>612193</v>
      </c>
    </row>
    <row r="55" spans="47:71" x14ac:dyDescent="0.2">
      <c r="AU55">
        <f t="shared" si="12"/>
        <v>0</v>
      </c>
      <c r="AV55">
        <v>0</v>
      </c>
      <c r="AW55">
        <v>0</v>
      </c>
      <c r="AX55">
        <v>0</v>
      </c>
      <c r="AY55">
        <v>0</v>
      </c>
      <c r="AZ55">
        <v>0</v>
      </c>
      <c r="BA55" t="s">
        <v>3279</v>
      </c>
      <c r="BB55" t="s">
        <v>3279</v>
      </c>
      <c r="BH55">
        <f t="shared" si="16"/>
        <v>0</v>
      </c>
      <c r="BI55">
        <v>0</v>
      </c>
      <c r="BJ55">
        <v>557217</v>
      </c>
      <c r="BK55">
        <v>0</v>
      </c>
      <c r="BL55">
        <v>0</v>
      </c>
      <c r="BM55">
        <v>0</v>
      </c>
      <c r="BN55">
        <v>0</v>
      </c>
      <c r="BO55">
        <v>66016</v>
      </c>
      <c r="BP55">
        <v>1204</v>
      </c>
      <c r="BQ55">
        <v>0</v>
      </c>
      <c r="BR55">
        <v>0</v>
      </c>
      <c r="BS55">
        <v>624437</v>
      </c>
    </row>
    <row r="56" spans="47:71" x14ac:dyDescent="0.2">
      <c r="AU56">
        <f t="shared" si="12"/>
        <v>0</v>
      </c>
      <c r="AV56">
        <v>0</v>
      </c>
      <c r="AW56">
        <v>0</v>
      </c>
      <c r="AX56">
        <v>0</v>
      </c>
      <c r="AY56">
        <v>0</v>
      </c>
      <c r="AZ56">
        <v>0</v>
      </c>
      <c r="BA56" t="s">
        <v>3279</v>
      </c>
      <c r="BB56" t="s">
        <v>3279</v>
      </c>
      <c r="BH56">
        <f t="shared" si="16"/>
        <v>0</v>
      </c>
      <c r="BI56">
        <v>0</v>
      </c>
      <c r="BJ56">
        <v>568386</v>
      </c>
      <c r="BK56">
        <v>0</v>
      </c>
      <c r="BL56">
        <v>0</v>
      </c>
      <c r="BM56">
        <v>0</v>
      </c>
      <c r="BN56">
        <v>0</v>
      </c>
      <c r="BO56">
        <v>67336</v>
      </c>
      <c r="BP56">
        <v>1204</v>
      </c>
      <c r="BQ56">
        <v>0</v>
      </c>
      <c r="BR56">
        <v>0</v>
      </c>
      <c r="BS56">
        <v>636926</v>
      </c>
    </row>
    <row r="57" spans="47:71" x14ac:dyDescent="0.2">
      <c r="AU57">
        <f t="shared" si="12"/>
        <v>0</v>
      </c>
      <c r="AV57">
        <v>0</v>
      </c>
      <c r="AW57">
        <v>0</v>
      </c>
      <c r="AX57">
        <v>0</v>
      </c>
      <c r="AY57">
        <v>0</v>
      </c>
      <c r="AZ57">
        <v>0</v>
      </c>
      <c r="BA57" t="s">
        <v>3279</v>
      </c>
      <c r="BB57" t="s">
        <v>3279</v>
      </c>
      <c r="BH57">
        <f t="shared" si="16"/>
        <v>0</v>
      </c>
      <c r="BI57">
        <v>0</v>
      </c>
      <c r="BJ57">
        <v>579778</v>
      </c>
      <c r="BK57">
        <v>0</v>
      </c>
      <c r="BL57">
        <v>0</v>
      </c>
      <c r="BM57">
        <v>0</v>
      </c>
      <c r="BN57">
        <v>0</v>
      </c>
      <c r="BO57">
        <v>68683</v>
      </c>
      <c r="BP57">
        <v>1204</v>
      </c>
      <c r="BQ57">
        <v>0</v>
      </c>
      <c r="BR57">
        <v>0</v>
      </c>
      <c r="BS57">
        <v>649665</v>
      </c>
    </row>
    <row r="58" spans="47:71" x14ac:dyDescent="0.2">
      <c r="AU58">
        <f t="shared" si="12"/>
        <v>0</v>
      </c>
      <c r="AV58">
        <v>0</v>
      </c>
      <c r="AW58">
        <v>0</v>
      </c>
      <c r="AX58">
        <v>0</v>
      </c>
      <c r="AY58">
        <v>0</v>
      </c>
      <c r="AZ58">
        <v>0</v>
      </c>
      <c r="BA58" t="s">
        <v>3279</v>
      </c>
      <c r="BB58" t="s">
        <v>3279</v>
      </c>
      <c r="BH58">
        <f t="shared" si="16"/>
        <v>0</v>
      </c>
      <c r="BI58">
        <v>0</v>
      </c>
      <c r="BJ58">
        <v>591397</v>
      </c>
      <c r="BK58">
        <v>0</v>
      </c>
      <c r="BL58">
        <v>0</v>
      </c>
      <c r="BM58">
        <v>0</v>
      </c>
      <c r="BN58">
        <v>0</v>
      </c>
      <c r="BO58">
        <v>70057</v>
      </c>
      <c r="BP58">
        <v>1204</v>
      </c>
      <c r="BQ58">
        <v>0</v>
      </c>
      <c r="BR58">
        <v>0</v>
      </c>
      <c r="BS58">
        <v>662658</v>
      </c>
    </row>
    <row r="59" spans="47:71" x14ac:dyDescent="0.2">
      <c r="AU59">
        <f t="shared" si="12"/>
        <v>0</v>
      </c>
      <c r="AV59">
        <v>0</v>
      </c>
      <c r="AW59">
        <v>0</v>
      </c>
      <c r="AX59">
        <v>0</v>
      </c>
      <c r="AY59">
        <v>0</v>
      </c>
      <c r="AZ59">
        <v>0</v>
      </c>
      <c r="BA59" t="s">
        <v>3279</v>
      </c>
      <c r="BB59" t="s">
        <v>3279</v>
      </c>
      <c r="BH59">
        <f t="shared" si="16"/>
        <v>0</v>
      </c>
      <c r="BI59">
        <v>0</v>
      </c>
      <c r="BJ59">
        <v>603249</v>
      </c>
      <c r="BK59">
        <v>0</v>
      </c>
      <c r="BL59">
        <v>0</v>
      </c>
      <c r="BM59">
        <v>0</v>
      </c>
      <c r="BN59">
        <v>0</v>
      </c>
      <c r="BO59">
        <v>71458</v>
      </c>
      <c r="BP59">
        <v>1204</v>
      </c>
      <c r="BQ59">
        <v>0</v>
      </c>
      <c r="BR59">
        <v>0</v>
      </c>
      <c r="BS59">
        <v>675911</v>
      </c>
    </row>
    <row r="60" spans="47:71" x14ac:dyDescent="0.2">
      <c r="AU60">
        <f t="shared" si="12"/>
        <v>0</v>
      </c>
      <c r="AV60">
        <v>0</v>
      </c>
      <c r="AW60">
        <v>0</v>
      </c>
      <c r="AX60">
        <v>0</v>
      </c>
      <c r="AY60">
        <v>0</v>
      </c>
      <c r="AZ60">
        <v>0</v>
      </c>
      <c r="BA60" t="s">
        <v>3279</v>
      </c>
      <c r="BB60" t="s">
        <v>3279</v>
      </c>
      <c r="BH60">
        <f t="shared" si="16"/>
        <v>0</v>
      </c>
      <c r="BI60">
        <v>0</v>
      </c>
      <c r="BJ60">
        <v>615338</v>
      </c>
      <c r="BK60">
        <v>0</v>
      </c>
      <c r="BL60">
        <v>0</v>
      </c>
      <c r="BM60">
        <v>0</v>
      </c>
      <c r="BN60">
        <v>0</v>
      </c>
      <c r="BO60">
        <v>72887</v>
      </c>
      <c r="BP60">
        <v>1204</v>
      </c>
      <c r="BQ60">
        <v>0</v>
      </c>
      <c r="BR60">
        <v>0</v>
      </c>
      <c r="BS60">
        <v>689429</v>
      </c>
    </row>
    <row r="61" spans="47:71" x14ac:dyDescent="0.2">
      <c r="AU61">
        <f t="shared" si="12"/>
        <v>0</v>
      </c>
      <c r="AV61">
        <v>0</v>
      </c>
      <c r="AW61">
        <v>0</v>
      </c>
      <c r="AX61">
        <v>0</v>
      </c>
      <c r="AY61">
        <v>0</v>
      </c>
      <c r="AZ61">
        <v>0</v>
      </c>
      <c r="BA61" t="s">
        <v>3279</v>
      </c>
      <c r="BB61" t="s">
        <v>3279</v>
      </c>
      <c r="BH61">
        <f t="shared" si="16"/>
        <v>0</v>
      </c>
      <c r="BI61">
        <v>0</v>
      </c>
      <c r="BJ61">
        <v>627669</v>
      </c>
      <c r="BK61">
        <v>0</v>
      </c>
      <c r="BL61">
        <v>0</v>
      </c>
      <c r="BM61">
        <v>0</v>
      </c>
      <c r="BN61">
        <v>0</v>
      </c>
      <c r="BO61">
        <v>74345</v>
      </c>
      <c r="BP61">
        <v>1204</v>
      </c>
      <c r="BQ61">
        <v>0</v>
      </c>
      <c r="BR61">
        <v>0</v>
      </c>
      <c r="BS61">
        <v>703218</v>
      </c>
    </row>
    <row r="62" spans="47:71" x14ac:dyDescent="0.2">
      <c r="AU62">
        <f t="shared" si="12"/>
        <v>0</v>
      </c>
      <c r="AV62">
        <v>0</v>
      </c>
      <c r="AW62">
        <v>0</v>
      </c>
      <c r="AX62">
        <v>0</v>
      </c>
      <c r="AY62">
        <v>0</v>
      </c>
      <c r="AZ62">
        <v>0</v>
      </c>
      <c r="BA62" t="s">
        <v>3279</v>
      </c>
      <c r="BB62" t="s">
        <v>3279</v>
      </c>
      <c r="BH62">
        <f t="shared" si="16"/>
        <v>0</v>
      </c>
      <c r="BI62">
        <v>0</v>
      </c>
      <c r="BJ62">
        <v>640246</v>
      </c>
      <c r="BK62">
        <v>0</v>
      </c>
      <c r="BL62">
        <v>0</v>
      </c>
      <c r="BM62">
        <v>0</v>
      </c>
      <c r="BN62">
        <v>0</v>
      </c>
      <c r="BO62">
        <v>75832</v>
      </c>
      <c r="BP62">
        <v>1204</v>
      </c>
      <c r="BQ62">
        <v>0</v>
      </c>
      <c r="BR62">
        <v>0</v>
      </c>
      <c r="BS62">
        <v>717282</v>
      </c>
    </row>
    <row r="63" spans="47:71" x14ac:dyDescent="0.2">
      <c r="AU63">
        <f t="shared" si="12"/>
        <v>0</v>
      </c>
      <c r="AV63">
        <v>0</v>
      </c>
      <c r="AW63">
        <v>0</v>
      </c>
      <c r="AX63">
        <v>0</v>
      </c>
      <c r="AY63">
        <v>0</v>
      </c>
      <c r="AZ63">
        <v>0</v>
      </c>
      <c r="BA63" t="s">
        <v>3279</v>
      </c>
      <c r="BB63" t="s">
        <v>3279</v>
      </c>
      <c r="BH63">
        <f t="shared" si="16"/>
        <v>0</v>
      </c>
      <c r="BI63">
        <v>0</v>
      </c>
      <c r="BJ63">
        <v>653075</v>
      </c>
      <c r="BK63">
        <v>0</v>
      </c>
      <c r="BL63">
        <v>0</v>
      </c>
      <c r="BM63">
        <v>0</v>
      </c>
      <c r="BN63">
        <v>0</v>
      </c>
      <c r="BO63">
        <v>77349</v>
      </c>
      <c r="BP63">
        <v>1204</v>
      </c>
      <c r="BQ63">
        <v>0</v>
      </c>
      <c r="BR63">
        <v>0</v>
      </c>
      <c r="BS63">
        <v>731628</v>
      </c>
    </row>
    <row r="64" spans="47:71" x14ac:dyDescent="0.2">
      <c r="AU64">
        <f t="shared" si="12"/>
        <v>0</v>
      </c>
      <c r="AV64">
        <v>0</v>
      </c>
      <c r="AW64">
        <v>0</v>
      </c>
      <c r="AX64">
        <v>0</v>
      </c>
      <c r="AY64">
        <v>0</v>
      </c>
      <c r="AZ64">
        <v>0</v>
      </c>
      <c r="BA64" t="s">
        <v>3279</v>
      </c>
      <c r="BB64" t="s">
        <v>3279</v>
      </c>
      <c r="BH64">
        <f t="shared" si="16"/>
        <v>0</v>
      </c>
      <c r="BI64">
        <v>0</v>
      </c>
      <c r="BJ64">
        <v>666161</v>
      </c>
      <c r="BK64">
        <v>0</v>
      </c>
      <c r="BL64">
        <v>0</v>
      </c>
      <c r="BM64">
        <v>0</v>
      </c>
      <c r="BN64">
        <v>0</v>
      </c>
      <c r="BO64">
        <v>78896</v>
      </c>
      <c r="BP64">
        <v>1204</v>
      </c>
      <c r="BQ64">
        <v>0</v>
      </c>
      <c r="BR64">
        <v>0</v>
      </c>
      <c r="BS64">
        <v>746261</v>
      </c>
    </row>
    <row r="65" spans="47:71" x14ac:dyDescent="0.2">
      <c r="AU65">
        <f t="shared" si="12"/>
        <v>0</v>
      </c>
      <c r="AV65">
        <v>0</v>
      </c>
      <c r="AW65">
        <v>0</v>
      </c>
      <c r="AX65">
        <v>0</v>
      </c>
      <c r="AY65">
        <v>0</v>
      </c>
      <c r="AZ65">
        <v>0</v>
      </c>
      <c r="BA65" t="s">
        <v>3279</v>
      </c>
      <c r="BB65" t="s">
        <v>3279</v>
      </c>
      <c r="BH65">
        <f t="shared" si="16"/>
        <v>0</v>
      </c>
      <c r="BI65">
        <v>0</v>
      </c>
      <c r="BJ65">
        <v>679508</v>
      </c>
      <c r="BK65">
        <v>0</v>
      </c>
      <c r="BL65">
        <v>0</v>
      </c>
      <c r="BM65">
        <v>0</v>
      </c>
      <c r="BN65">
        <v>0</v>
      </c>
      <c r="BO65">
        <v>80474</v>
      </c>
      <c r="BP65">
        <v>1204</v>
      </c>
      <c r="BQ65">
        <v>0</v>
      </c>
      <c r="BR65">
        <v>0</v>
      </c>
      <c r="BS65">
        <v>761186</v>
      </c>
    </row>
    <row r="66" spans="47:71" x14ac:dyDescent="0.2">
      <c r="AU66">
        <f t="shared" si="12"/>
        <v>0</v>
      </c>
      <c r="AV66">
        <v>0</v>
      </c>
      <c r="AW66">
        <v>0</v>
      </c>
      <c r="AX66">
        <v>0</v>
      </c>
      <c r="AY66">
        <v>0</v>
      </c>
      <c r="AZ66">
        <v>0</v>
      </c>
      <c r="BA66" t="s">
        <v>3279</v>
      </c>
      <c r="BB66" t="s">
        <v>3279</v>
      </c>
      <c r="BH66">
        <f t="shared" si="16"/>
        <v>0</v>
      </c>
      <c r="BI66">
        <v>0</v>
      </c>
      <c r="BJ66">
        <v>693123</v>
      </c>
      <c r="BK66">
        <v>0</v>
      </c>
      <c r="BL66">
        <v>0</v>
      </c>
      <c r="BM66">
        <v>0</v>
      </c>
      <c r="BN66">
        <v>0</v>
      </c>
      <c r="BO66">
        <v>82083</v>
      </c>
      <c r="BP66">
        <v>1204</v>
      </c>
      <c r="BQ66">
        <v>0</v>
      </c>
      <c r="BR66">
        <v>0</v>
      </c>
      <c r="BS66">
        <v>776410</v>
      </c>
    </row>
    <row r="67" spans="47:71" x14ac:dyDescent="0.2">
      <c r="AU67">
        <f t="shared" si="12"/>
        <v>0</v>
      </c>
      <c r="AV67">
        <v>0</v>
      </c>
      <c r="AW67">
        <v>0</v>
      </c>
      <c r="AX67">
        <v>0</v>
      </c>
      <c r="AY67">
        <v>0</v>
      </c>
      <c r="AZ67">
        <v>0</v>
      </c>
      <c r="BA67" t="s">
        <v>3279</v>
      </c>
      <c r="BB67" t="s">
        <v>3279</v>
      </c>
      <c r="BH67">
        <f t="shared" si="16"/>
        <v>0</v>
      </c>
      <c r="BI67">
        <v>0</v>
      </c>
      <c r="BJ67">
        <v>707009</v>
      </c>
      <c r="BK67">
        <v>0</v>
      </c>
      <c r="BL67">
        <v>0</v>
      </c>
      <c r="BM67">
        <v>0</v>
      </c>
      <c r="BN67">
        <v>0</v>
      </c>
      <c r="BO67">
        <v>83725</v>
      </c>
      <c r="BP67">
        <v>1204</v>
      </c>
      <c r="BQ67">
        <v>0</v>
      </c>
      <c r="BR67">
        <v>0</v>
      </c>
      <c r="BS67">
        <v>791938</v>
      </c>
    </row>
    <row r="68" spans="47:71" x14ac:dyDescent="0.2">
      <c r="AU68">
        <f t="shared" si="12"/>
        <v>0</v>
      </c>
      <c r="AV68">
        <v>0</v>
      </c>
      <c r="AW68">
        <v>0</v>
      </c>
      <c r="AX68">
        <v>0</v>
      </c>
      <c r="AY68">
        <v>0</v>
      </c>
      <c r="AZ68">
        <v>0</v>
      </c>
      <c r="BA68" t="s">
        <v>3279</v>
      </c>
      <c r="BB68" t="s">
        <v>3279</v>
      </c>
      <c r="BH68">
        <f t="shared" si="16"/>
        <v>0</v>
      </c>
      <c r="BI68">
        <v>0</v>
      </c>
      <c r="BJ68">
        <v>721173</v>
      </c>
      <c r="BK68">
        <v>0</v>
      </c>
      <c r="BL68">
        <v>0</v>
      </c>
      <c r="BM68">
        <v>0</v>
      </c>
      <c r="BN68">
        <v>0</v>
      </c>
      <c r="BO68">
        <v>85400</v>
      </c>
      <c r="BP68">
        <v>1204</v>
      </c>
      <c r="BQ68">
        <v>0</v>
      </c>
      <c r="BR68">
        <v>0</v>
      </c>
      <c r="BS68">
        <v>807777</v>
      </c>
    </row>
    <row r="69" spans="47:71" x14ac:dyDescent="0.2">
      <c r="AU69">
        <f t="shared" si="12"/>
        <v>0</v>
      </c>
      <c r="AV69">
        <v>0</v>
      </c>
      <c r="AW69">
        <v>0</v>
      </c>
      <c r="AX69">
        <v>0</v>
      </c>
      <c r="AY69">
        <v>0</v>
      </c>
      <c r="AZ69">
        <v>0</v>
      </c>
      <c r="BA69" t="s">
        <v>3279</v>
      </c>
      <c r="BB69" t="s">
        <v>3279</v>
      </c>
      <c r="BH69">
        <f t="shared" si="16"/>
        <v>0</v>
      </c>
      <c r="BI69">
        <v>0</v>
      </c>
      <c r="BJ69">
        <v>735621</v>
      </c>
      <c r="BK69">
        <v>0</v>
      </c>
      <c r="BL69">
        <v>0</v>
      </c>
      <c r="BM69">
        <v>0</v>
      </c>
      <c r="BN69">
        <v>0</v>
      </c>
      <c r="BO69">
        <v>87108</v>
      </c>
      <c r="BP69">
        <v>1204</v>
      </c>
      <c r="BQ69">
        <v>0</v>
      </c>
      <c r="BR69">
        <v>0</v>
      </c>
      <c r="BS69">
        <v>823933</v>
      </c>
    </row>
    <row r="70" spans="47:71" x14ac:dyDescent="0.2">
      <c r="AU70">
        <f t="shared" si="12"/>
        <v>0</v>
      </c>
      <c r="AV70">
        <v>0</v>
      </c>
      <c r="AW70">
        <v>0</v>
      </c>
      <c r="AX70">
        <v>0</v>
      </c>
      <c r="AY70">
        <v>0</v>
      </c>
      <c r="AZ70">
        <v>0</v>
      </c>
      <c r="BA70" t="s">
        <v>3279</v>
      </c>
      <c r="BB70" t="s">
        <v>3279</v>
      </c>
      <c r="BH70">
        <f t="shared" si="16"/>
        <v>0</v>
      </c>
      <c r="BI70">
        <v>0</v>
      </c>
      <c r="BJ70">
        <v>750358</v>
      </c>
      <c r="BK70">
        <v>0</v>
      </c>
      <c r="BL70">
        <v>0</v>
      </c>
      <c r="BM70">
        <v>0</v>
      </c>
      <c r="BN70">
        <v>0</v>
      </c>
      <c r="BO70">
        <v>88850</v>
      </c>
      <c r="BP70">
        <v>1204</v>
      </c>
      <c r="BQ70">
        <v>0</v>
      </c>
      <c r="BR70">
        <v>0</v>
      </c>
      <c r="BS70">
        <v>840412</v>
      </c>
    </row>
    <row r="71" spans="47:71" x14ac:dyDescent="0.2">
      <c r="AU71">
        <f t="shared" si="12"/>
        <v>0</v>
      </c>
      <c r="AV71">
        <v>0</v>
      </c>
      <c r="AW71">
        <v>0</v>
      </c>
      <c r="AX71">
        <v>0</v>
      </c>
      <c r="AY71">
        <v>0</v>
      </c>
      <c r="AZ71">
        <v>0</v>
      </c>
      <c r="BA71" t="s">
        <v>3279</v>
      </c>
      <c r="BB71" t="s">
        <v>3279</v>
      </c>
      <c r="BH71">
        <f t="shared" si="16"/>
        <v>0</v>
      </c>
      <c r="BI71">
        <v>0</v>
      </c>
      <c r="BJ71">
        <v>765389</v>
      </c>
      <c r="BK71">
        <v>0</v>
      </c>
      <c r="BL71">
        <v>0</v>
      </c>
      <c r="BM71">
        <v>0</v>
      </c>
      <c r="BN71">
        <v>0</v>
      </c>
      <c r="BO71">
        <v>90627</v>
      </c>
      <c r="BP71">
        <v>1204</v>
      </c>
      <c r="BQ71">
        <v>0</v>
      </c>
      <c r="BR71">
        <v>0</v>
      </c>
      <c r="BS71">
        <v>857220</v>
      </c>
    </row>
    <row r="72" spans="47:71" x14ac:dyDescent="0.2">
      <c r="AU72">
        <f t="shared" si="12"/>
        <v>0</v>
      </c>
      <c r="AV72">
        <v>0</v>
      </c>
      <c r="AW72">
        <v>0</v>
      </c>
      <c r="AX72">
        <v>0</v>
      </c>
      <c r="AY72">
        <v>0</v>
      </c>
      <c r="AZ72">
        <v>0</v>
      </c>
      <c r="BA72" t="s">
        <v>3279</v>
      </c>
      <c r="BB72" t="s">
        <v>3279</v>
      </c>
      <c r="BH72">
        <f t="shared" si="16"/>
        <v>0</v>
      </c>
      <c r="BI72">
        <v>0</v>
      </c>
      <c r="BJ72">
        <v>780720</v>
      </c>
      <c r="BK72">
        <v>0</v>
      </c>
      <c r="BL72">
        <v>0</v>
      </c>
      <c r="BM72">
        <v>0</v>
      </c>
      <c r="BN72">
        <v>0</v>
      </c>
      <c r="BO72">
        <v>92440</v>
      </c>
      <c r="BP72">
        <v>1204</v>
      </c>
      <c r="BQ72">
        <v>0</v>
      </c>
      <c r="BR72">
        <v>0</v>
      </c>
      <c r="BS72">
        <v>874364</v>
      </c>
    </row>
    <row r="73" spans="47:71" x14ac:dyDescent="0.2">
      <c r="AU73">
        <f t="shared" si="12"/>
        <v>0</v>
      </c>
      <c r="AV73">
        <v>0</v>
      </c>
      <c r="AW73">
        <v>0</v>
      </c>
      <c r="AX73">
        <v>0</v>
      </c>
      <c r="AY73">
        <v>0</v>
      </c>
      <c r="AZ73">
        <v>0</v>
      </c>
      <c r="BA73" t="s">
        <v>3279</v>
      </c>
      <c r="BB73" t="s">
        <v>3279</v>
      </c>
      <c r="BH73">
        <f t="shared" si="16"/>
        <v>0</v>
      </c>
      <c r="BI73">
        <v>0</v>
      </c>
      <c r="BJ73">
        <v>796358</v>
      </c>
      <c r="BK73">
        <v>0</v>
      </c>
      <c r="BL73">
        <v>0</v>
      </c>
      <c r="BM73">
        <v>0</v>
      </c>
      <c r="BN73">
        <v>0</v>
      </c>
      <c r="BO73">
        <v>94289</v>
      </c>
      <c r="BP73">
        <v>1204</v>
      </c>
      <c r="BQ73">
        <v>0</v>
      </c>
      <c r="BR73">
        <v>0</v>
      </c>
      <c r="BS73">
        <v>891851</v>
      </c>
    </row>
    <row r="74" spans="47:71" x14ac:dyDescent="0.2">
      <c r="AU74">
        <f t="shared" si="12"/>
        <v>0</v>
      </c>
      <c r="AV74">
        <v>0</v>
      </c>
      <c r="AW74">
        <v>0</v>
      </c>
      <c r="AX74">
        <v>0</v>
      </c>
      <c r="AY74">
        <v>0</v>
      </c>
      <c r="AZ74">
        <v>0</v>
      </c>
      <c r="BA74" t="s">
        <v>3279</v>
      </c>
      <c r="BB74" t="s">
        <v>3279</v>
      </c>
      <c r="BH74">
        <f t="shared" si="16"/>
        <v>0</v>
      </c>
      <c r="BI74">
        <v>0</v>
      </c>
      <c r="BJ74">
        <v>812309</v>
      </c>
      <c r="BK74">
        <v>0</v>
      </c>
      <c r="BL74">
        <v>0</v>
      </c>
      <c r="BM74">
        <v>0</v>
      </c>
      <c r="BN74">
        <v>0</v>
      </c>
      <c r="BO74">
        <v>96175</v>
      </c>
      <c r="BP74">
        <v>1204</v>
      </c>
      <c r="BQ74">
        <v>0</v>
      </c>
      <c r="BR74">
        <v>0</v>
      </c>
      <c r="BS74">
        <v>909688</v>
      </c>
    </row>
    <row r="75" spans="47:71" x14ac:dyDescent="0.2">
      <c r="AU75">
        <f t="shared" si="12"/>
        <v>0</v>
      </c>
      <c r="AV75">
        <v>0</v>
      </c>
      <c r="AW75">
        <v>0</v>
      </c>
      <c r="AX75">
        <v>0</v>
      </c>
      <c r="AY75">
        <v>0</v>
      </c>
      <c r="AZ75">
        <v>0</v>
      </c>
      <c r="BA75" t="s">
        <v>3279</v>
      </c>
      <c r="BB75" t="s">
        <v>3279</v>
      </c>
      <c r="BH75">
        <f t="shared" si="16"/>
        <v>0</v>
      </c>
      <c r="BI75">
        <v>0</v>
      </c>
      <c r="BJ75">
        <v>828579</v>
      </c>
      <c r="BK75">
        <v>0</v>
      </c>
      <c r="BL75">
        <v>0</v>
      </c>
      <c r="BM75">
        <v>0</v>
      </c>
      <c r="BN75">
        <v>0</v>
      </c>
      <c r="BO75">
        <v>98099</v>
      </c>
      <c r="BP75">
        <v>1204</v>
      </c>
      <c r="BQ75">
        <v>0</v>
      </c>
      <c r="BR75">
        <v>0</v>
      </c>
      <c r="BS75">
        <v>927882</v>
      </c>
    </row>
    <row r="76" spans="47:71" x14ac:dyDescent="0.2">
      <c r="AU76">
        <f t="shared" ref="AU76:AU100" si="17">IF(AND(A$11=1,AV76&gt;0),1,0)</f>
        <v>0</v>
      </c>
      <c r="AV76">
        <v>0</v>
      </c>
      <c r="AW76">
        <v>0</v>
      </c>
      <c r="AX76">
        <v>0</v>
      </c>
      <c r="AY76">
        <v>0</v>
      </c>
      <c r="AZ76">
        <v>0</v>
      </c>
      <c r="BA76" t="s">
        <v>3279</v>
      </c>
      <c r="BB76" t="s">
        <v>3279</v>
      </c>
      <c r="BH76">
        <f t="shared" si="16"/>
        <v>0</v>
      </c>
      <c r="BI76">
        <v>0</v>
      </c>
      <c r="BJ76">
        <v>845175</v>
      </c>
      <c r="BK76">
        <v>0</v>
      </c>
      <c r="BL76">
        <v>0</v>
      </c>
      <c r="BM76">
        <v>0</v>
      </c>
      <c r="BN76">
        <v>0</v>
      </c>
      <c r="BO76">
        <v>100061</v>
      </c>
      <c r="BP76">
        <v>1204</v>
      </c>
      <c r="BQ76">
        <v>0</v>
      </c>
      <c r="BR76">
        <v>0</v>
      </c>
      <c r="BS76">
        <v>946440</v>
      </c>
    </row>
    <row r="77" spans="47:71" x14ac:dyDescent="0.2">
      <c r="AU77">
        <f t="shared" si="17"/>
        <v>0</v>
      </c>
      <c r="AV77">
        <v>0</v>
      </c>
      <c r="AW77">
        <v>0</v>
      </c>
      <c r="AX77">
        <v>0</v>
      </c>
      <c r="AY77">
        <v>0</v>
      </c>
      <c r="AZ77">
        <v>0</v>
      </c>
      <c r="BA77" t="s">
        <v>3279</v>
      </c>
      <c r="BB77" t="s">
        <v>3279</v>
      </c>
      <c r="BH77">
        <f t="shared" si="16"/>
        <v>0</v>
      </c>
      <c r="BI77">
        <v>0</v>
      </c>
      <c r="BJ77">
        <v>862103</v>
      </c>
      <c r="BK77">
        <v>0</v>
      </c>
      <c r="BL77">
        <v>0</v>
      </c>
      <c r="BM77">
        <v>0</v>
      </c>
      <c r="BN77">
        <v>0</v>
      </c>
      <c r="BO77">
        <v>102062</v>
      </c>
      <c r="BP77">
        <v>1204</v>
      </c>
      <c r="BQ77">
        <v>0</v>
      </c>
      <c r="BR77">
        <v>0</v>
      </c>
      <c r="BS77">
        <v>965369</v>
      </c>
    </row>
    <row r="78" spans="47:71" x14ac:dyDescent="0.2">
      <c r="AU78">
        <f t="shared" si="17"/>
        <v>0</v>
      </c>
      <c r="AV78">
        <v>0</v>
      </c>
      <c r="AW78">
        <v>0</v>
      </c>
      <c r="AX78">
        <v>0</v>
      </c>
      <c r="AY78">
        <v>0</v>
      </c>
      <c r="AZ78">
        <v>0</v>
      </c>
      <c r="BA78" t="s">
        <v>3279</v>
      </c>
      <c r="BB78" t="s">
        <v>3279</v>
      </c>
      <c r="BH78">
        <f t="shared" si="16"/>
        <v>0</v>
      </c>
      <c r="BI78">
        <v>0</v>
      </c>
      <c r="BJ78">
        <v>879369</v>
      </c>
      <c r="BK78">
        <v>0</v>
      </c>
      <c r="BL78">
        <v>0</v>
      </c>
      <c r="BM78">
        <v>0</v>
      </c>
      <c r="BN78">
        <v>0</v>
      </c>
      <c r="BO78">
        <v>104103</v>
      </c>
      <c r="BP78">
        <v>1204</v>
      </c>
      <c r="BQ78">
        <v>0</v>
      </c>
      <c r="BR78">
        <v>0</v>
      </c>
      <c r="BS78">
        <v>984676</v>
      </c>
    </row>
    <row r="79" spans="47:71" x14ac:dyDescent="0.2">
      <c r="AU79">
        <f t="shared" si="17"/>
        <v>0</v>
      </c>
      <c r="AV79">
        <v>0</v>
      </c>
      <c r="AW79">
        <v>0</v>
      </c>
      <c r="AX79">
        <v>0</v>
      </c>
      <c r="AY79">
        <v>0</v>
      </c>
      <c r="AZ79">
        <v>0</v>
      </c>
      <c r="BH79">
        <f t="shared" ref="BH79:BH103" si="18">IF(AND(A$12=1,BI79&gt;0),1,0)</f>
        <v>0</v>
      </c>
      <c r="BI79">
        <v>0</v>
      </c>
      <c r="BJ79">
        <v>896981</v>
      </c>
      <c r="BK79">
        <v>0</v>
      </c>
      <c r="BL79">
        <v>0</v>
      </c>
      <c r="BM79">
        <v>0</v>
      </c>
      <c r="BN79">
        <v>0</v>
      </c>
      <c r="BO79">
        <v>106185</v>
      </c>
      <c r="BP79">
        <v>1204</v>
      </c>
      <c r="BQ79">
        <v>0</v>
      </c>
      <c r="BR79">
        <v>0</v>
      </c>
      <c r="BS79">
        <v>1004370</v>
      </c>
    </row>
    <row r="80" spans="47:71" x14ac:dyDescent="0.2">
      <c r="AU80">
        <f t="shared" si="17"/>
        <v>0</v>
      </c>
      <c r="AV80">
        <v>0</v>
      </c>
      <c r="AW80">
        <v>0</v>
      </c>
      <c r="AX80">
        <v>0</v>
      </c>
      <c r="AY80">
        <v>0</v>
      </c>
      <c r="AZ80">
        <v>0</v>
      </c>
      <c r="BH80">
        <f t="shared" si="18"/>
        <v>0</v>
      </c>
      <c r="BI80">
        <v>0</v>
      </c>
      <c r="BJ80">
        <v>914944</v>
      </c>
      <c r="BK80">
        <v>0</v>
      </c>
      <c r="BL80">
        <v>0</v>
      </c>
      <c r="BM80">
        <v>0</v>
      </c>
      <c r="BN80">
        <v>0</v>
      </c>
      <c r="BO80">
        <v>108309</v>
      </c>
      <c r="BP80">
        <v>1204</v>
      </c>
      <c r="BQ80">
        <v>0</v>
      </c>
      <c r="BR80">
        <v>0</v>
      </c>
      <c r="BS80">
        <v>1024457</v>
      </c>
    </row>
    <row r="81" spans="47:71" x14ac:dyDescent="0.2">
      <c r="AU81">
        <f t="shared" si="17"/>
        <v>0</v>
      </c>
      <c r="AV81">
        <v>0</v>
      </c>
      <c r="AW81">
        <v>0</v>
      </c>
      <c r="AX81">
        <v>0</v>
      </c>
      <c r="AY81">
        <v>0</v>
      </c>
      <c r="AZ81">
        <v>0</v>
      </c>
      <c r="BH81">
        <f t="shared" si="18"/>
        <v>0</v>
      </c>
      <c r="BI81">
        <v>0</v>
      </c>
      <c r="BJ81">
        <v>933267</v>
      </c>
      <c r="BK81">
        <v>0</v>
      </c>
      <c r="BL81">
        <v>0</v>
      </c>
      <c r="BM81">
        <v>0</v>
      </c>
      <c r="BN81">
        <v>0</v>
      </c>
      <c r="BO81">
        <v>110475</v>
      </c>
      <c r="BP81">
        <v>1204</v>
      </c>
      <c r="BQ81">
        <v>0</v>
      </c>
      <c r="BR81">
        <v>0</v>
      </c>
      <c r="BS81">
        <v>1044946</v>
      </c>
    </row>
    <row r="82" spans="47:71" x14ac:dyDescent="0.2">
      <c r="AU82">
        <f t="shared" si="17"/>
        <v>0</v>
      </c>
      <c r="AV82">
        <v>0</v>
      </c>
      <c r="AW82">
        <v>0</v>
      </c>
      <c r="AX82">
        <v>0</v>
      </c>
      <c r="AY82">
        <v>0</v>
      </c>
      <c r="AZ82">
        <v>0</v>
      </c>
      <c r="BH82">
        <f t="shared" si="18"/>
        <v>0</v>
      </c>
      <c r="BI82">
        <v>0</v>
      </c>
      <c r="BJ82">
        <v>951956</v>
      </c>
      <c r="BK82">
        <v>0</v>
      </c>
      <c r="BL82">
        <v>0</v>
      </c>
      <c r="BM82">
        <v>0</v>
      </c>
      <c r="BN82">
        <v>0</v>
      </c>
      <c r="BO82">
        <v>112685</v>
      </c>
      <c r="BP82">
        <v>1204</v>
      </c>
      <c r="BQ82">
        <v>0</v>
      </c>
      <c r="BR82">
        <v>0</v>
      </c>
      <c r="BS82">
        <v>1065845</v>
      </c>
    </row>
    <row r="83" spans="47:71" x14ac:dyDescent="0.2">
      <c r="AU83">
        <f t="shared" si="17"/>
        <v>0</v>
      </c>
      <c r="AV83">
        <v>0</v>
      </c>
      <c r="AW83">
        <v>0</v>
      </c>
      <c r="AX83">
        <v>0</v>
      </c>
      <c r="AY83">
        <v>0</v>
      </c>
      <c r="AZ83">
        <v>0</v>
      </c>
      <c r="BH83">
        <f t="shared" si="18"/>
        <v>0</v>
      </c>
      <c r="BI83">
        <v>0</v>
      </c>
      <c r="BJ83">
        <v>971019</v>
      </c>
      <c r="BK83">
        <v>0</v>
      </c>
      <c r="BL83">
        <v>0</v>
      </c>
      <c r="BM83">
        <v>0</v>
      </c>
      <c r="BN83">
        <v>0</v>
      </c>
      <c r="BO83">
        <v>114939</v>
      </c>
      <c r="BP83">
        <v>1204</v>
      </c>
      <c r="BQ83">
        <v>0</v>
      </c>
      <c r="BR83">
        <v>0</v>
      </c>
      <c r="BS83">
        <v>1087162</v>
      </c>
    </row>
    <row r="84" spans="47:71" x14ac:dyDescent="0.2">
      <c r="AU84">
        <f t="shared" si="17"/>
        <v>0</v>
      </c>
      <c r="AV84">
        <v>0</v>
      </c>
      <c r="AW84">
        <v>0</v>
      </c>
      <c r="AX84">
        <v>0</v>
      </c>
      <c r="AY84">
        <v>0</v>
      </c>
      <c r="AZ84">
        <v>0</v>
      </c>
      <c r="BH84">
        <f t="shared" si="18"/>
        <v>0</v>
      </c>
      <c r="BI84">
        <v>0</v>
      </c>
      <c r="BJ84">
        <v>990463</v>
      </c>
      <c r="BK84">
        <v>0</v>
      </c>
      <c r="BL84">
        <v>0</v>
      </c>
      <c r="BM84">
        <v>0</v>
      </c>
      <c r="BN84">
        <v>0</v>
      </c>
      <c r="BO84">
        <v>117238</v>
      </c>
      <c r="BP84">
        <v>1204</v>
      </c>
      <c r="BQ84">
        <v>0</v>
      </c>
      <c r="BR84">
        <v>0</v>
      </c>
      <c r="BS84">
        <v>1108905</v>
      </c>
    </row>
    <row r="85" spans="47:71" x14ac:dyDescent="0.2">
      <c r="AU85">
        <f t="shared" si="17"/>
        <v>0</v>
      </c>
      <c r="AV85">
        <v>0</v>
      </c>
      <c r="AW85">
        <v>0</v>
      </c>
      <c r="AX85">
        <v>0</v>
      </c>
      <c r="AY85">
        <v>0</v>
      </c>
      <c r="AZ85">
        <v>0</v>
      </c>
      <c r="BH85">
        <f t="shared" si="18"/>
        <v>0</v>
      </c>
      <c r="BI85">
        <v>0</v>
      </c>
      <c r="BJ85">
        <v>1010296</v>
      </c>
      <c r="BK85">
        <v>0</v>
      </c>
      <c r="BL85">
        <v>0</v>
      </c>
      <c r="BM85">
        <v>0</v>
      </c>
      <c r="BN85">
        <v>0</v>
      </c>
      <c r="BO85">
        <v>119583</v>
      </c>
      <c r="BP85">
        <v>1204</v>
      </c>
      <c r="BQ85">
        <v>0</v>
      </c>
      <c r="BR85">
        <v>0</v>
      </c>
      <c r="BS85">
        <v>1131083</v>
      </c>
    </row>
    <row r="86" spans="47:71" x14ac:dyDescent="0.2">
      <c r="AU86">
        <f t="shared" si="17"/>
        <v>0</v>
      </c>
      <c r="AV86">
        <v>0</v>
      </c>
      <c r="AW86">
        <v>0</v>
      </c>
      <c r="AX86">
        <v>0</v>
      </c>
      <c r="AY86">
        <v>0</v>
      </c>
      <c r="AZ86">
        <v>0</v>
      </c>
      <c r="BH86">
        <f t="shared" si="18"/>
        <v>0</v>
      </c>
      <c r="BI86">
        <v>0</v>
      </c>
      <c r="BJ86">
        <v>1030526</v>
      </c>
      <c r="BK86">
        <v>0</v>
      </c>
      <c r="BL86">
        <v>0</v>
      </c>
      <c r="BM86">
        <v>0</v>
      </c>
      <c r="BN86">
        <v>0</v>
      </c>
      <c r="BO86">
        <v>121975</v>
      </c>
      <c r="BP86">
        <v>1204</v>
      </c>
      <c r="BQ86">
        <v>0</v>
      </c>
      <c r="BR86">
        <v>0</v>
      </c>
      <c r="BS86">
        <v>1153705</v>
      </c>
    </row>
    <row r="87" spans="47:71" x14ac:dyDescent="0.2">
      <c r="AU87">
        <f t="shared" si="17"/>
        <v>0</v>
      </c>
      <c r="AV87">
        <v>0</v>
      </c>
      <c r="AW87">
        <v>0</v>
      </c>
      <c r="AX87">
        <v>0</v>
      </c>
      <c r="AY87">
        <v>0</v>
      </c>
      <c r="AZ87">
        <v>0</v>
      </c>
      <c r="BH87">
        <f t="shared" si="18"/>
        <v>0</v>
      </c>
      <c r="BI87">
        <v>0</v>
      </c>
      <c r="BJ87">
        <v>1051160</v>
      </c>
      <c r="BK87">
        <v>0</v>
      </c>
      <c r="BL87">
        <v>0</v>
      </c>
      <c r="BM87">
        <v>0</v>
      </c>
      <c r="BN87">
        <v>0</v>
      </c>
      <c r="BO87">
        <v>124415</v>
      </c>
      <c r="BP87">
        <v>1204</v>
      </c>
      <c r="BQ87">
        <v>0</v>
      </c>
      <c r="BR87">
        <v>0</v>
      </c>
      <c r="BS87">
        <v>1176779</v>
      </c>
    </row>
    <row r="88" spans="47:71" x14ac:dyDescent="0.2">
      <c r="AU88">
        <f t="shared" si="17"/>
        <v>0</v>
      </c>
      <c r="AV88">
        <v>0</v>
      </c>
      <c r="AW88">
        <v>0</v>
      </c>
      <c r="AX88">
        <v>0</v>
      </c>
      <c r="AY88">
        <v>0</v>
      </c>
      <c r="AZ88">
        <v>0</v>
      </c>
      <c r="BH88">
        <f t="shared" si="18"/>
        <v>0</v>
      </c>
      <c r="BI88">
        <v>0</v>
      </c>
      <c r="BJ88">
        <v>1072208</v>
      </c>
      <c r="BK88">
        <v>0</v>
      </c>
      <c r="BL88">
        <v>0</v>
      </c>
      <c r="BM88">
        <v>0</v>
      </c>
      <c r="BN88">
        <v>0</v>
      </c>
      <c r="BO88">
        <v>126903</v>
      </c>
      <c r="BP88">
        <v>1204</v>
      </c>
      <c r="BQ88">
        <v>0</v>
      </c>
      <c r="BR88">
        <v>0</v>
      </c>
      <c r="BS88">
        <v>1200315</v>
      </c>
    </row>
    <row r="89" spans="47:71" x14ac:dyDescent="0.2">
      <c r="AU89">
        <f t="shared" si="17"/>
        <v>0</v>
      </c>
      <c r="AV89">
        <v>0</v>
      </c>
      <c r="AW89">
        <v>0</v>
      </c>
      <c r="AX89">
        <v>0</v>
      </c>
      <c r="AY89">
        <v>0</v>
      </c>
      <c r="AZ89">
        <v>0</v>
      </c>
      <c r="BH89">
        <f t="shared" si="18"/>
        <v>0</v>
      </c>
      <c r="BI89">
        <v>0</v>
      </c>
      <c r="BJ89">
        <v>1093676</v>
      </c>
      <c r="BK89">
        <v>0</v>
      </c>
      <c r="BL89">
        <v>0</v>
      </c>
      <c r="BM89">
        <v>0</v>
      </c>
      <c r="BN89">
        <v>0</v>
      </c>
      <c r="BO89">
        <v>129441</v>
      </c>
      <c r="BP89">
        <v>1204</v>
      </c>
      <c r="BQ89">
        <v>0</v>
      </c>
      <c r="BR89">
        <v>0</v>
      </c>
      <c r="BS89">
        <v>1224321</v>
      </c>
    </row>
    <row r="90" spans="47:71" x14ac:dyDescent="0.2">
      <c r="AU90">
        <f t="shared" si="17"/>
        <v>0</v>
      </c>
      <c r="AV90">
        <v>0</v>
      </c>
      <c r="AW90">
        <v>0</v>
      </c>
      <c r="AX90">
        <v>0</v>
      </c>
      <c r="AY90">
        <v>0</v>
      </c>
      <c r="AZ90">
        <v>0</v>
      </c>
      <c r="BH90">
        <f t="shared" si="18"/>
        <v>0</v>
      </c>
      <c r="BI90">
        <v>0</v>
      </c>
      <c r="BJ90">
        <v>1115573</v>
      </c>
      <c r="BK90">
        <v>0</v>
      </c>
      <c r="BL90">
        <v>0</v>
      </c>
      <c r="BM90">
        <v>0</v>
      </c>
      <c r="BN90">
        <v>0</v>
      </c>
      <c r="BO90">
        <v>132030</v>
      </c>
      <c r="BP90">
        <v>1204</v>
      </c>
      <c r="BQ90">
        <v>0</v>
      </c>
      <c r="BR90">
        <v>0</v>
      </c>
      <c r="BS90">
        <v>1248807</v>
      </c>
    </row>
    <row r="91" spans="47:71" x14ac:dyDescent="0.2">
      <c r="AU91">
        <f t="shared" si="17"/>
        <v>0</v>
      </c>
      <c r="AV91">
        <v>0</v>
      </c>
      <c r="AW91">
        <v>0</v>
      </c>
      <c r="AX91">
        <v>0</v>
      </c>
      <c r="AY91">
        <v>0</v>
      </c>
      <c r="AZ91">
        <v>0</v>
      </c>
      <c r="BH91">
        <f t="shared" si="18"/>
        <v>0</v>
      </c>
      <c r="BI91">
        <v>0</v>
      </c>
      <c r="BJ91">
        <v>1137908</v>
      </c>
      <c r="BK91">
        <v>0</v>
      </c>
      <c r="BL91">
        <v>0</v>
      </c>
      <c r="BM91">
        <v>0</v>
      </c>
      <c r="BN91">
        <v>0</v>
      </c>
      <c r="BO91">
        <v>134671</v>
      </c>
      <c r="BP91">
        <v>1204</v>
      </c>
      <c r="BQ91">
        <v>0</v>
      </c>
      <c r="BR91">
        <v>0</v>
      </c>
      <c r="BS91">
        <v>1273783</v>
      </c>
    </row>
    <row r="92" spans="47:71" x14ac:dyDescent="0.2">
      <c r="AU92">
        <f t="shared" si="17"/>
        <v>0</v>
      </c>
      <c r="AV92">
        <v>0</v>
      </c>
      <c r="AW92">
        <v>0</v>
      </c>
      <c r="AX92">
        <v>0</v>
      </c>
      <c r="AY92">
        <v>0</v>
      </c>
      <c r="AZ92">
        <v>0</v>
      </c>
      <c r="BH92">
        <f t="shared" si="18"/>
        <v>0</v>
      </c>
      <c r="BI92">
        <v>0</v>
      </c>
      <c r="BJ92">
        <v>1160691</v>
      </c>
      <c r="BK92">
        <v>0</v>
      </c>
      <c r="BL92">
        <v>0</v>
      </c>
      <c r="BM92">
        <v>0</v>
      </c>
      <c r="BN92">
        <v>0</v>
      </c>
      <c r="BO92">
        <v>137364</v>
      </c>
      <c r="BP92">
        <v>1204</v>
      </c>
      <c r="BQ92">
        <v>0</v>
      </c>
      <c r="BR92">
        <v>0</v>
      </c>
      <c r="BS92">
        <v>1299259</v>
      </c>
    </row>
    <row r="93" spans="47:71" x14ac:dyDescent="0.2">
      <c r="AU93">
        <f t="shared" si="17"/>
        <v>0</v>
      </c>
      <c r="AV93">
        <v>0</v>
      </c>
      <c r="AW93">
        <v>0</v>
      </c>
      <c r="AX93">
        <v>0</v>
      </c>
      <c r="AY93">
        <v>0</v>
      </c>
      <c r="AZ93">
        <v>0</v>
      </c>
      <c r="BH93">
        <f t="shared" si="18"/>
        <v>0</v>
      </c>
      <c r="BI93">
        <v>0</v>
      </c>
      <c r="BJ93">
        <v>1183929</v>
      </c>
      <c r="BK93">
        <v>0</v>
      </c>
      <c r="BL93">
        <v>0</v>
      </c>
      <c r="BM93">
        <v>0</v>
      </c>
      <c r="BN93">
        <v>0</v>
      </c>
      <c r="BO93">
        <v>140111</v>
      </c>
      <c r="BP93">
        <v>1204</v>
      </c>
      <c r="BQ93">
        <v>0</v>
      </c>
      <c r="BR93">
        <v>0</v>
      </c>
      <c r="BS93">
        <v>1325244</v>
      </c>
    </row>
    <row r="94" spans="47:71" x14ac:dyDescent="0.2">
      <c r="AU94">
        <f t="shared" si="17"/>
        <v>0</v>
      </c>
      <c r="AV94">
        <v>0</v>
      </c>
      <c r="AW94">
        <v>0</v>
      </c>
      <c r="AX94">
        <v>0</v>
      </c>
      <c r="AY94">
        <v>0</v>
      </c>
      <c r="AZ94">
        <v>0</v>
      </c>
      <c r="BH94">
        <f t="shared" si="18"/>
        <v>0</v>
      </c>
      <c r="BI94">
        <v>0</v>
      </c>
      <c r="BJ94">
        <v>1207632</v>
      </c>
      <c r="BK94">
        <v>0</v>
      </c>
      <c r="BL94">
        <v>0</v>
      </c>
      <c r="BM94">
        <v>0</v>
      </c>
      <c r="BN94">
        <v>0</v>
      </c>
      <c r="BO94">
        <v>142913</v>
      </c>
      <c r="BP94">
        <v>1204</v>
      </c>
      <c r="BQ94">
        <v>0</v>
      </c>
      <c r="BR94">
        <v>0</v>
      </c>
      <c r="BS94">
        <v>1351749</v>
      </c>
    </row>
    <row r="95" spans="47:71" x14ac:dyDescent="0.2">
      <c r="AU95">
        <f t="shared" si="17"/>
        <v>0</v>
      </c>
      <c r="AV95">
        <v>0</v>
      </c>
      <c r="AW95">
        <v>0</v>
      </c>
      <c r="AX95">
        <v>0</v>
      </c>
      <c r="AY95">
        <v>0</v>
      </c>
      <c r="AZ95">
        <v>0</v>
      </c>
      <c r="BH95">
        <f t="shared" si="18"/>
        <v>0</v>
      </c>
      <c r="BI95">
        <v>0</v>
      </c>
      <c r="BJ95">
        <v>1231809</v>
      </c>
      <c r="BK95">
        <v>0</v>
      </c>
      <c r="BL95">
        <v>0</v>
      </c>
      <c r="BM95">
        <v>0</v>
      </c>
      <c r="BN95">
        <v>0</v>
      </c>
      <c r="BO95">
        <v>145771</v>
      </c>
      <c r="BP95">
        <v>1204</v>
      </c>
      <c r="BQ95">
        <v>0</v>
      </c>
      <c r="BR95">
        <v>0</v>
      </c>
      <c r="BS95">
        <v>1378784</v>
      </c>
    </row>
    <row r="96" spans="47:71" x14ac:dyDescent="0.2">
      <c r="AU96">
        <f t="shared" si="17"/>
        <v>0</v>
      </c>
      <c r="AV96">
        <v>0</v>
      </c>
      <c r="AW96">
        <v>0</v>
      </c>
      <c r="AX96">
        <v>0</v>
      </c>
      <c r="AY96">
        <v>0</v>
      </c>
      <c r="AZ96">
        <v>0</v>
      </c>
      <c r="BH96">
        <f t="shared" si="18"/>
        <v>0</v>
      </c>
      <c r="BI96">
        <v>0</v>
      </c>
      <c r="BJ96">
        <v>1256470</v>
      </c>
      <c r="BK96">
        <v>0</v>
      </c>
      <c r="BL96">
        <v>0</v>
      </c>
      <c r="BM96">
        <v>0</v>
      </c>
      <c r="BN96">
        <v>0</v>
      </c>
      <c r="BO96">
        <v>148686</v>
      </c>
      <c r="BP96">
        <v>1204</v>
      </c>
      <c r="BQ96">
        <v>0</v>
      </c>
      <c r="BR96">
        <v>0</v>
      </c>
      <c r="BS96">
        <v>1406360</v>
      </c>
    </row>
    <row r="97" spans="47:71" x14ac:dyDescent="0.2">
      <c r="AU97">
        <f t="shared" si="17"/>
        <v>0</v>
      </c>
      <c r="AV97">
        <v>0</v>
      </c>
      <c r="AW97">
        <v>0</v>
      </c>
      <c r="AX97">
        <v>0</v>
      </c>
      <c r="AY97">
        <v>0</v>
      </c>
      <c r="AZ97">
        <v>0</v>
      </c>
      <c r="BH97">
        <f t="shared" si="18"/>
        <v>0</v>
      </c>
      <c r="BI97">
        <v>0</v>
      </c>
      <c r="BJ97">
        <v>1281623</v>
      </c>
      <c r="BK97">
        <v>0</v>
      </c>
      <c r="BL97">
        <v>0</v>
      </c>
      <c r="BM97">
        <v>0</v>
      </c>
      <c r="BN97">
        <v>0</v>
      </c>
      <c r="BO97">
        <v>151660</v>
      </c>
      <c r="BP97">
        <v>1204</v>
      </c>
      <c r="BQ97">
        <v>0</v>
      </c>
      <c r="BR97">
        <v>0</v>
      </c>
      <c r="BS97">
        <v>1434487</v>
      </c>
    </row>
    <row r="98" spans="47:71" x14ac:dyDescent="0.2">
      <c r="AU98">
        <f t="shared" si="17"/>
        <v>0</v>
      </c>
      <c r="AV98">
        <v>0</v>
      </c>
      <c r="AW98">
        <v>0</v>
      </c>
      <c r="AX98">
        <v>0</v>
      </c>
      <c r="AY98">
        <v>0</v>
      </c>
      <c r="AZ98">
        <v>0</v>
      </c>
      <c r="BH98">
        <f t="shared" si="18"/>
        <v>0</v>
      </c>
      <c r="BI98">
        <v>0</v>
      </c>
      <c r="BJ98">
        <v>1307280</v>
      </c>
      <c r="BK98">
        <v>0</v>
      </c>
      <c r="BL98">
        <v>0</v>
      </c>
      <c r="BM98">
        <v>0</v>
      </c>
      <c r="BN98">
        <v>0</v>
      </c>
      <c r="BO98">
        <v>154693</v>
      </c>
      <c r="BP98">
        <v>1204</v>
      </c>
      <c r="BQ98">
        <v>0</v>
      </c>
      <c r="BR98">
        <v>0</v>
      </c>
      <c r="BS98">
        <v>1463177</v>
      </c>
    </row>
    <row r="99" spans="47:71" x14ac:dyDescent="0.2">
      <c r="AU99">
        <f t="shared" si="17"/>
        <v>0</v>
      </c>
      <c r="AV99">
        <v>0</v>
      </c>
      <c r="AW99">
        <v>0</v>
      </c>
      <c r="AX99">
        <v>0</v>
      </c>
      <c r="AY99">
        <v>0</v>
      </c>
      <c r="AZ99">
        <v>0</v>
      </c>
      <c r="BH99">
        <f t="shared" si="18"/>
        <v>0</v>
      </c>
      <c r="BI99">
        <v>0</v>
      </c>
      <c r="BJ99">
        <v>1333450</v>
      </c>
      <c r="BK99">
        <v>0</v>
      </c>
      <c r="BL99">
        <v>0</v>
      </c>
      <c r="BM99">
        <v>0</v>
      </c>
      <c r="BN99">
        <v>0</v>
      </c>
      <c r="BO99">
        <v>157787</v>
      </c>
      <c r="BP99">
        <v>1204</v>
      </c>
      <c r="BQ99">
        <v>0</v>
      </c>
      <c r="BR99">
        <v>0</v>
      </c>
      <c r="BS99">
        <v>1492441</v>
      </c>
    </row>
    <row r="100" spans="47:71" x14ac:dyDescent="0.2">
      <c r="AU100">
        <f t="shared" si="17"/>
        <v>0</v>
      </c>
      <c r="AV100">
        <v>0</v>
      </c>
      <c r="AW100">
        <v>0</v>
      </c>
      <c r="AX100">
        <v>0</v>
      </c>
      <c r="AY100">
        <v>0</v>
      </c>
      <c r="AZ100">
        <v>0</v>
      </c>
      <c r="BH100">
        <f t="shared" si="18"/>
        <v>0</v>
      </c>
      <c r="BI100">
        <v>0</v>
      </c>
      <c r="BJ100">
        <v>1360143</v>
      </c>
      <c r="BK100">
        <v>0</v>
      </c>
      <c r="BL100">
        <v>0</v>
      </c>
      <c r="BM100">
        <v>0</v>
      </c>
      <c r="BN100">
        <v>0</v>
      </c>
      <c r="BO100">
        <v>160943</v>
      </c>
      <c r="BP100">
        <v>1204</v>
      </c>
      <c r="BQ100">
        <v>0</v>
      </c>
      <c r="BR100">
        <v>0</v>
      </c>
      <c r="BS100">
        <v>1522290</v>
      </c>
    </row>
    <row r="101" spans="47:71" x14ac:dyDescent="0.2">
      <c r="BH101">
        <f t="shared" si="18"/>
        <v>0</v>
      </c>
      <c r="BI101">
        <v>0</v>
      </c>
      <c r="BJ101">
        <v>1387370</v>
      </c>
      <c r="BK101">
        <v>0</v>
      </c>
      <c r="BL101">
        <v>0</v>
      </c>
      <c r="BM101">
        <v>0</v>
      </c>
      <c r="BN101">
        <v>0</v>
      </c>
      <c r="BO101">
        <v>164162</v>
      </c>
      <c r="BP101">
        <v>1204</v>
      </c>
      <c r="BQ101">
        <v>0</v>
      </c>
      <c r="BR101">
        <v>0</v>
      </c>
      <c r="BS101">
        <v>1552736</v>
      </c>
    </row>
    <row r="102" spans="47:71" x14ac:dyDescent="0.2">
      <c r="BH102">
        <f t="shared" si="18"/>
        <v>0</v>
      </c>
      <c r="BI102">
        <v>0</v>
      </c>
      <c r="BJ102">
        <v>1415142</v>
      </c>
      <c r="BK102">
        <v>0</v>
      </c>
      <c r="BL102">
        <v>0</v>
      </c>
      <c r="BM102">
        <v>0</v>
      </c>
      <c r="BN102">
        <v>0</v>
      </c>
      <c r="BO102">
        <v>167445</v>
      </c>
      <c r="BP102">
        <v>1204</v>
      </c>
      <c r="BQ102">
        <v>0</v>
      </c>
      <c r="BR102">
        <v>0</v>
      </c>
      <c r="BS102">
        <v>1583791</v>
      </c>
    </row>
    <row r="103" spans="47:71" x14ac:dyDescent="0.2">
      <c r="BH103">
        <f t="shared" si="18"/>
        <v>0</v>
      </c>
      <c r="BI103">
        <v>0</v>
      </c>
      <c r="BJ103">
        <v>1443469</v>
      </c>
      <c r="BK103">
        <v>0</v>
      </c>
      <c r="BL103">
        <v>0</v>
      </c>
      <c r="BM103">
        <v>0</v>
      </c>
      <c r="BN103">
        <v>0</v>
      </c>
      <c r="BO103">
        <v>170794</v>
      </c>
      <c r="BP103">
        <v>1204</v>
      </c>
      <c r="BQ103">
        <v>0</v>
      </c>
      <c r="BR103">
        <v>0</v>
      </c>
      <c r="BS103">
        <v>1615467</v>
      </c>
    </row>
  </sheetData>
  <pageMargins left="0.7" right="0.7" top="0.75" bottom="0.75" header="0.3" footer="0.3"/>
  <pageSetup paperSize="0"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X141"/>
  <sheetViews>
    <sheetView workbookViewId="0"/>
  </sheetViews>
  <sheetFormatPr defaultRowHeight="12.75" x14ac:dyDescent="0.2"/>
  <cols>
    <col min="1" max="1" width="81.42578125" bestFit="1" customWidth="1"/>
    <col min="2" max="2" width="5.5703125" customWidth="1"/>
    <col min="3" max="3" width="20.5703125" customWidth="1"/>
    <col min="4" max="4" width="29.7109375" bestFit="1" customWidth="1"/>
    <col min="5" max="5" width="39.85546875" customWidth="1"/>
    <col min="6" max="6" width="60.85546875" bestFit="1" customWidth="1"/>
    <col min="7" max="7" width="11" customWidth="1"/>
    <col min="8" max="8" width="21.42578125" bestFit="1" customWidth="1"/>
    <col min="9" max="9" width="12.5703125" bestFit="1" customWidth="1"/>
    <col min="10" max="10" width="11" bestFit="1" customWidth="1"/>
    <col min="11" max="11" width="14.85546875" bestFit="1" customWidth="1"/>
    <col min="12" max="12" width="11.42578125" bestFit="1" customWidth="1"/>
    <col min="14" max="14" width="11.42578125" bestFit="1" customWidth="1"/>
  </cols>
  <sheetData>
    <row r="1" spans="1:7" ht="15" x14ac:dyDescent="0.25">
      <c r="A1" s="772" t="s">
        <v>2875</v>
      </c>
      <c r="B1" s="669"/>
      <c r="C1" s="772" t="s">
        <v>51</v>
      </c>
      <c r="D1" s="52"/>
      <c r="E1" s="52"/>
      <c r="F1" s="764"/>
    </row>
    <row r="2" spans="1:7" ht="15" x14ac:dyDescent="0.25">
      <c r="A2" s="664" t="s">
        <v>2876</v>
      </c>
      <c r="C2" s="772" t="s">
        <v>2990</v>
      </c>
      <c r="D2" s="52"/>
      <c r="E2" s="52"/>
      <c r="F2" s="764"/>
    </row>
    <row r="3" spans="1:7" ht="15" x14ac:dyDescent="0.25">
      <c r="A3" s="664" t="s">
        <v>2877</v>
      </c>
      <c r="C3" s="664" t="s">
        <v>2991</v>
      </c>
      <c r="D3" s="52"/>
      <c r="E3" s="52"/>
      <c r="F3" s="764"/>
    </row>
    <row r="4" spans="1:7" ht="15" x14ac:dyDescent="0.25">
      <c r="A4" s="664" t="s">
        <v>2878</v>
      </c>
      <c r="C4" s="771" t="s">
        <v>2989</v>
      </c>
      <c r="D4" s="52"/>
      <c r="E4" s="52"/>
      <c r="F4" s="764"/>
    </row>
    <row r="5" spans="1:7" ht="15" x14ac:dyDescent="0.25">
      <c r="A5" s="664" t="s">
        <v>2923</v>
      </c>
      <c r="C5" s="791" t="s">
        <v>2960</v>
      </c>
      <c r="D5" s="792"/>
      <c r="E5" s="792"/>
      <c r="F5" s="793"/>
      <c r="G5" s="794"/>
    </row>
    <row r="6" spans="1:7" ht="15" x14ac:dyDescent="0.25">
      <c r="A6" s="664" t="s">
        <v>2956</v>
      </c>
      <c r="C6" s="791" t="s">
        <v>2988</v>
      </c>
      <c r="D6" s="792"/>
      <c r="E6" s="792"/>
      <c r="F6" s="793"/>
      <c r="G6" s="794"/>
    </row>
    <row r="7" spans="1:7" ht="15" x14ac:dyDescent="0.25">
      <c r="A7" s="664" t="s">
        <v>2955</v>
      </c>
      <c r="C7" s="791" t="s">
        <v>2958</v>
      </c>
      <c r="D7" s="792"/>
      <c r="E7" s="792"/>
      <c r="F7" s="793"/>
      <c r="G7" s="794"/>
    </row>
    <row r="8" spans="1:7" ht="15" x14ac:dyDescent="0.25">
      <c r="A8" s="664" t="s">
        <v>2772</v>
      </c>
      <c r="C8" s="791" t="s">
        <v>2959</v>
      </c>
      <c r="D8" s="792"/>
      <c r="E8" s="792"/>
      <c r="F8" s="793"/>
      <c r="G8" s="794"/>
    </row>
    <row r="9" spans="1:7" ht="15" x14ac:dyDescent="0.25">
      <c r="A9" s="664" t="s">
        <v>2980</v>
      </c>
      <c r="C9" s="664" t="s">
        <v>2992</v>
      </c>
      <c r="D9" s="52"/>
      <c r="E9" s="52"/>
      <c r="F9" s="764"/>
    </row>
    <row r="10" spans="1:7" ht="15" x14ac:dyDescent="0.25">
      <c r="A10" s="664" t="s">
        <v>2924</v>
      </c>
      <c r="B10" s="766"/>
      <c r="C10" s="664" t="s">
        <v>2993</v>
      </c>
      <c r="D10" s="52"/>
      <c r="E10" s="52"/>
      <c r="F10" s="764"/>
    </row>
    <row r="11" spans="1:7" ht="15" x14ac:dyDescent="0.25">
      <c r="A11" s="736" t="s">
        <v>2926</v>
      </c>
      <c r="B11" s="766"/>
      <c r="C11" s="664" t="s">
        <v>2994</v>
      </c>
      <c r="D11" s="52"/>
      <c r="E11" s="52"/>
      <c r="F11" s="764"/>
    </row>
    <row r="12" spans="1:7" ht="15" x14ac:dyDescent="0.25">
      <c r="A12" s="736" t="s">
        <v>3004</v>
      </c>
      <c r="B12" s="766"/>
      <c r="C12" s="664" t="s">
        <v>2995</v>
      </c>
      <c r="D12" s="52"/>
      <c r="E12" s="52"/>
      <c r="F12" s="764"/>
    </row>
    <row r="13" spans="1:7" ht="15" x14ac:dyDescent="0.25">
      <c r="A13" s="736" t="s">
        <v>2928</v>
      </c>
      <c r="B13" s="766"/>
      <c r="C13" s="664" t="s">
        <v>2996</v>
      </c>
      <c r="D13" s="52"/>
      <c r="E13" s="52"/>
      <c r="F13" s="764"/>
    </row>
    <row r="14" spans="1:7" ht="15" x14ac:dyDescent="0.25">
      <c r="A14" s="736" t="s">
        <v>2925</v>
      </c>
      <c r="B14" s="766"/>
      <c r="C14" s="664" t="s">
        <v>2997</v>
      </c>
      <c r="D14" s="52"/>
      <c r="E14" s="52"/>
      <c r="F14" s="764"/>
    </row>
    <row r="15" spans="1:7" ht="15" x14ac:dyDescent="0.25">
      <c r="A15" s="736" t="s">
        <v>2927</v>
      </c>
      <c r="C15" s="664" t="s">
        <v>2998</v>
      </c>
      <c r="D15" s="52"/>
      <c r="E15" s="52"/>
      <c r="F15" s="764"/>
    </row>
    <row r="16" spans="1:7" ht="15" x14ac:dyDescent="0.25">
      <c r="A16" s="736" t="s">
        <v>3001</v>
      </c>
      <c r="B16" s="669"/>
      <c r="C16" s="50" t="s">
        <v>3005</v>
      </c>
      <c r="D16" s="52"/>
      <c r="E16" s="52"/>
      <c r="F16" s="764"/>
    </row>
    <row r="17" spans="1:24" ht="15" x14ac:dyDescent="0.25">
      <c r="A17" s="736" t="s">
        <v>3003</v>
      </c>
      <c r="B17" s="669"/>
      <c r="D17" s="52"/>
      <c r="E17" s="52"/>
      <c r="F17" s="764"/>
    </row>
    <row r="18" spans="1:24" ht="15" x14ac:dyDescent="0.25">
      <c r="A18" s="736" t="s">
        <v>3002</v>
      </c>
      <c r="C18" s="669" t="s">
        <v>2745</v>
      </c>
      <c r="D18" s="761" t="s">
        <v>859</v>
      </c>
      <c r="E18" s="761" t="s">
        <v>2922</v>
      </c>
      <c r="F18" s="762" t="s">
        <v>2746</v>
      </c>
      <c r="G18" s="664"/>
      <c r="H18" s="664"/>
      <c r="I18" s="664"/>
      <c r="J18" s="664"/>
      <c r="K18" s="664"/>
      <c r="L18" s="664"/>
      <c r="M18" s="664"/>
      <c r="N18" s="664"/>
      <c r="O18" s="664"/>
      <c r="P18" s="664"/>
      <c r="Q18" s="664"/>
      <c r="R18" s="664"/>
      <c r="S18" s="664"/>
      <c r="T18" s="664"/>
      <c r="U18" s="664"/>
      <c r="V18" s="664"/>
      <c r="W18" s="664"/>
      <c r="X18" s="664"/>
    </row>
    <row r="19" spans="1:24" ht="15" x14ac:dyDescent="0.25">
      <c r="A19" s="664" t="s">
        <v>2986</v>
      </c>
      <c r="C19" t="s">
        <v>2758</v>
      </c>
      <c r="D19" s="664"/>
      <c r="E19" s="664" t="str">
        <f ca="1">CELL("address",H102:I4150)</f>
        <v>$H$102</v>
      </c>
      <c r="F19" s="764" t="s">
        <v>2869</v>
      </c>
      <c r="G19" s="664"/>
      <c r="H19" s="50" t="s">
        <v>3008</v>
      </c>
      <c r="J19" s="772" t="s">
        <v>2759</v>
      </c>
      <c r="K19" s="664"/>
      <c r="L19" s="664"/>
    </row>
    <row r="20" spans="1:24" x14ac:dyDescent="0.2">
      <c r="A20" s="664" t="s">
        <v>2879</v>
      </c>
      <c r="C20" s="664"/>
      <c r="D20" s="664"/>
      <c r="E20" s="664"/>
      <c r="F20" s="664"/>
      <c r="G20" s="664"/>
      <c r="H20" s="29" t="s">
        <v>3009</v>
      </c>
      <c r="J20" s="664" t="s">
        <v>2764</v>
      </c>
      <c r="K20" s="664">
        <v>5500</v>
      </c>
      <c r="L20" s="664"/>
    </row>
    <row r="21" spans="1:24" ht="15" x14ac:dyDescent="0.25">
      <c r="A21" s="736" t="s">
        <v>2999</v>
      </c>
      <c r="C21" s="763" t="s">
        <v>2870</v>
      </c>
      <c r="D21" s="52"/>
      <c r="E21" s="52"/>
      <c r="F21" s="764"/>
      <c r="G21" s="664"/>
      <c r="H21" s="29" t="s">
        <v>3010</v>
      </c>
      <c r="J21" s="664" t="s">
        <v>2770</v>
      </c>
      <c r="K21" s="664">
        <v>129.68712300500013</v>
      </c>
      <c r="L21" s="664"/>
    </row>
    <row r="22" spans="1:24" ht="15" x14ac:dyDescent="0.25">
      <c r="A22" s="736" t="s">
        <v>3000</v>
      </c>
      <c r="C22" s="773" t="s">
        <v>2886</v>
      </c>
      <c r="D22" s="52" t="b">
        <f>TRUE</f>
        <v>1</v>
      </c>
      <c r="E22" s="52"/>
      <c r="F22" s="764"/>
      <c r="G22" s="664"/>
      <c r="H22" s="29" t="s">
        <v>3011</v>
      </c>
      <c r="J22" s="664"/>
      <c r="K22" s="664"/>
      <c r="L22" s="664"/>
    </row>
    <row r="23" spans="1:24" ht="15" x14ac:dyDescent="0.25">
      <c r="A23" s="664" t="s">
        <v>2987</v>
      </c>
      <c r="B23" s="669"/>
      <c r="C23" t="s">
        <v>2762</v>
      </c>
      <c r="D23" s="52" t="b">
        <v>0</v>
      </c>
      <c r="E23" s="52"/>
      <c r="F23" s="764" t="s">
        <v>2763</v>
      </c>
      <c r="G23" s="664"/>
      <c r="H23" s="29" t="s">
        <v>3012</v>
      </c>
      <c r="J23" s="772" t="s">
        <v>2020</v>
      </c>
      <c r="K23" s="772" t="s">
        <v>859</v>
      </c>
      <c r="L23" s="772"/>
      <c r="M23" s="772" t="s">
        <v>2747</v>
      </c>
      <c r="N23" s="772" t="s">
        <v>2748</v>
      </c>
      <c r="O23" s="772" t="s">
        <v>2749</v>
      </c>
      <c r="P23" s="772" t="s">
        <v>2750</v>
      </c>
      <c r="Q23" s="772" t="s">
        <v>2751</v>
      </c>
      <c r="R23" s="772" t="s">
        <v>2752</v>
      </c>
      <c r="S23" s="772" t="s">
        <v>2753</v>
      </c>
      <c r="T23" s="772" t="s">
        <v>2754</v>
      </c>
      <c r="U23" s="772" t="s">
        <v>2755</v>
      </c>
      <c r="V23" s="772" t="s">
        <v>2756</v>
      </c>
      <c r="W23" s="772" t="s">
        <v>2757</v>
      </c>
    </row>
    <row r="24" spans="1:24" ht="15" x14ac:dyDescent="0.25">
      <c r="A24" s="664" t="s">
        <v>2982</v>
      </c>
      <c r="C24" t="s">
        <v>2758</v>
      </c>
      <c r="D24" s="52"/>
      <c r="E24" s="52" t="e">
        <f ca="1">_xll.BTRCellAddress(resulttable)</f>
        <v>#NAME?</v>
      </c>
      <c r="F24" s="764" t="s">
        <v>2767</v>
      </c>
      <c r="G24" s="664"/>
      <c r="J24" s="664" t="s">
        <v>2884</v>
      </c>
      <c r="K24" s="664">
        <f>K20</f>
        <v>5500</v>
      </c>
      <c r="L24" s="664"/>
      <c r="M24" s="664" t="s">
        <v>2760</v>
      </c>
      <c r="N24">
        <v>500</v>
      </c>
      <c r="O24">
        <v>1000</v>
      </c>
      <c r="P24">
        <v>1500</v>
      </c>
      <c r="Q24">
        <v>2000</v>
      </c>
      <c r="R24">
        <v>2500</v>
      </c>
      <c r="S24">
        <v>3000</v>
      </c>
      <c r="T24">
        <v>3500</v>
      </c>
      <c r="U24">
        <v>4000</v>
      </c>
      <c r="V24">
        <v>4500</v>
      </c>
      <c r="W24">
        <v>5000</v>
      </c>
    </row>
    <row r="25" spans="1:24" ht="15" x14ac:dyDescent="0.25">
      <c r="A25" s="736" t="s">
        <v>3006</v>
      </c>
      <c r="C25" t="s">
        <v>2761</v>
      </c>
      <c r="D25" s="52">
        <v>1</v>
      </c>
      <c r="E25" s="52" t="e">
        <f ca="1">_xll.BTRCellAddress($E$37)</f>
        <v>#NAME?</v>
      </c>
      <c r="F25" s="764" t="s">
        <v>2769</v>
      </c>
      <c r="G25" s="664"/>
      <c r="J25" s="664" t="s">
        <v>2885</v>
      </c>
      <c r="K25" s="664">
        <f>K24*1.05</f>
        <v>5775</v>
      </c>
      <c r="L25" s="664"/>
      <c r="M25" s="664" t="s">
        <v>2765</v>
      </c>
      <c r="N25">
        <v>525</v>
      </c>
      <c r="O25">
        <v>1050</v>
      </c>
      <c r="P25">
        <v>1575</v>
      </c>
      <c r="Q25">
        <v>2100</v>
      </c>
      <c r="R25">
        <v>2625</v>
      </c>
      <c r="S25">
        <v>3150</v>
      </c>
      <c r="T25">
        <v>3675</v>
      </c>
      <c r="U25">
        <v>4200</v>
      </c>
      <c r="V25">
        <v>4725</v>
      </c>
      <c r="W25">
        <v>5250</v>
      </c>
    </row>
    <row r="26" spans="1:24" ht="15" x14ac:dyDescent="0.25">
      <c r="A26" s="736" t="s">
        <v>3007</v>
      </c>
      <c r="C26" t="s">
        <v>2761</v>
      </c>
      <c r="D26" s="52">
        <v>500</v>
      </c>
      <c r="E26" s="52" t="e">
        <f ca="1">_xll.BTRCellAddress($K$20)</f>
        <v>#NAME?</v>
      </c>
      <c r="F26" s="764" t="s">
        <v>2773</v>
      </c>
      <c r="G26" s="664"/>
      <c r="J26" s="664" t="s">
        <v>2887</v>
      </c>
      <c r="K26" s="664">
        <f>K25*1.05</f>
        <v>6063.75</v>
      </c>
      <c r="L26" s="664"/>
      <c r="M26" s="664" t="s">
        <v>2768</v>
      </c>
      <c r="N26">
        <v>551.25</v>
      </c>
      <c r="O26">
        <v>1102.5</v>
      </c>
      <c r="P26">
        <v>1653.75</v>
      </c>
      <c r="Q26">
        <v>2205</v>
      </c>
      <c r="R26">
        <v>2756.25</v>
      </c>
      <c r="S26">
        <v>3307.5</v>
      </c>
      <c r="T26">
        <v>3858.75</v>
      </c>
      <c r="U26">
        <v>4410</v>
      </c>
      <c r="V26">
        <v>4961.25</v>
      </c>
      <c r="W26">
        <v>5512.5</v>
      </c>
    </row>
    <row r="27" spans="1:24" ht="15" x14ac:dyDescent="0.25">
      <c r="A27" s="664" t="s">
        <v>2984</v>
      </c>
      <c r="C27" t="s">
        <v>2761</v>
      </c>
      <c r="D27" s="52">
        <v>50</v>
      </c>
      <c r="E27" s="52" t="e">
        <f ca="1">_xll.BTRCellAddress(K21)</f>
        <v>#NAME?</v>
      </c>
      <c r="F27" s="764" t="s">
        <v>2775</v>
      </c>
      <c r="G27" s="664"/>
      <c r="J27" s="664" t="s">
        <v>2888</v>
      </c>
      <c r="K27" s="664">
        <f>K21</f>
        <v>129.68712300500013</v>
      </c>
      <c r="L27" s="664"/>
      <c r="M27" s="664" t="s">
        <v>2771</v>
      </c>
      <c r="N27">
        <v>50</v>
      </c>
      <c r="O27">
        <v>55.000000000000007</v>
      </c>
      <c r="P27">
        <v>60.500000000000014</v>
      </c>
      <c r="Q27">
        <v>66.550000000000026</v>
      </c>
      <c r="R27">
        <v>73.205000000000041</v>
      </c>
      <c r="S27">
        <v>80.525500000000051</v>
      </c>
      <c r="T27">
        <v>88.578050000000061</v>
      </c>
      <c r="U27">
        <v>97.435855000000075</v>
      </c>
      <c r="V27">
        <v>107.1794405000001</v>
      </c>
      <c r="W27">
        <v>117.89738455000011</v>
      </c>
    </row>
    <row r="28" spans="1:24" ht="15" x14ac:dyDescent="0.25">
      <c r="A28" s="664" t="s">
        <v>2983</v>
      </c>
      <c r="C28" t="s">
        <v>2772</v>
      </c>
      <c r="D28" s="52"/>
      <c r="E28" s="52"/>
      <c r="F28" s="764" t="s">
        <v>2777</v>
      </c>
      <c r="G28" s="664"/>
      <c r="J28" s="664" t="s">
        <v>2889</v>
      </c>
      <c r="K28" s="664">
        <f>K27*1.05</f>
        <v>136.17147915525015</v>
      </c>
      <c r="L28" s="664"/>
      <c r="M28" s="664" t="s">
        <v>2774</v>
      </c>
      <c r="N28">
        <v>52.5</v>
      </c>
      <c r="O28">
        <v>57.750000000000007</v>
      </c>
      <c r="P28">
        <v>63.52500000000002</v>
      </c>
      <c r="Q28">
        <v>69.877500000000026</v>
      </c>
      <c r="R28">
        <v>76.865250000000046</v>
      </c>
      <c r="S28">
        <v>84.551775000000063</v>
      </c>
      <c r="T28">
        <v>93.006952500000068</v>
      </c>
      <c r="U28">
        <v>102.30764775000009</v>
      </c>
      <c r="V28">
        <v>112.53841252500011</v>
      </c>
      <c r="W28">
        <v>123.79225377750012</v>
      </c>
    </row>
    <row r="29" spans="1:24" x14ac:dyDescent="0.2">
      <c r="A29" s="664"/>
      <c r="C29" t="s">
        <v>2779</v>
      </c>
      <c r="E29" s="664"/>
      <c r="F29" s="664"/>
      <c r="G29" s="664"/>
      <c r="J29" s="664" t="s">
        <v>1729</v>
      </c>
      <c r="K29" s="664">
        <f>K28*1.05</f>
        <v>142.98005311301267</v>
      </c>
      <c r="L29" s="664"/>
      <c r="M29" s="664" t="s">
        <v>2776</v>
      </c>
      <c r="N29">
        <v>55.125</v>
      </c>
      <c r="O29">
        <v>60.63750000000001</v>
      </c>
      <c r="P29">
        <v>66.70125000000003</v>
      </c>
      <c r="Q29">
        <v>73.371375000000029</v>
      </c>
      <c r="R29">
        <v>80.708512500000055</v>
      </c>
      <c r="S29">
        <v>88.779363750000073</v>
      </c>
      <c r="T29">
        <v>97.657300125000077</v>
      </c>
      <c r="U29">
        <v>107.42303013750009</v>
      </c>
      <c r="V29">
        <v>118.16533315125012</v>
      </c>
      <c r="W29">
        <v>129.98186646637512</v>
      </c>
      <c r="X29" s="664"/>
    </row>
    <row r="30" spans="1:24" ht="15" x14ac:dyDescent="0.25">
      <c r="A30" s="772" t="s">
        <v>2880</v>
      </c>
      <c r="C30" s="766" t="s">
        <v>2766</v>
      </c>
      <c r="D30" s="54" t="e">
        <f ca="1">_xll.BTRCellAddress(calcresult)</f>
        <v>#NAME?</v>
      </c>
      <c r="E30" s="52" t="e">
        <f ca="1">_xll.BTRCellAddress(M23,1,E37)</f>
        <v>#NAME?</v>
      </c>
      <c r="F30" s="764" t="s">
        <v>2782</v>
      </c>
      <c r="G30" s="664"/>
      <c r="J30" s="664" t="s">
        <v>2890</v>
      </c>
      <c r="K30" s="664">
        <f>K29*1.05</f>
        <v>150.12905576866331</v>
      </c>
      <c r="L30" s="664"/>
      <c r="M30" s="664" t="s">
        <v>2778</v>
      </c>
      <c r="N30">
        <v>57.881250000000001</v>
      </c>
      <c r="O30">
        <v>63.669375000000016</v>
      </c>
      <c r="P30">
        <v>70.036312500000037</v>
      </c>
      <c r="Q30">
        <v>77.039943750000035</v>
      </c>
      <c r="R30">
        <v>84.743938125000057</v>
      </c>
      <c r="S30">
        <v>93.218331937500082</v>
      </c>
      <c r="T30">
        <v>102.54016513125009</v>
      </c>
      <c r="U30">
        <v>112.7941816443751</v>
      </c>
      <c r="V30">
        <v>124.07359980881263</v>
      </c>
      <c r="W30">
        <v>136.48095978969388</v>
      </c>
      <c r="X30" s="664"/>
    </row>
    <row r="31" spans="1:24" ht="15" x14ac:dyDescent="0.25">
      <c r="A31" s="664" t="s">
        <v>2881</v>
      </c>
      <c r="C31" s="766" t="s">
        <v>2761</v>
      </c>
      <c r="D31" s="54" t="str">
        <f>"Loop "&amp;E37&amp;" complete"</f>
        <v>Loop 11 complete</v>
      </c>
      <c r="E31" s="52" t="e">
        <f ca="1">_xll.BTRCellAddress(cStatus)</f>
        <v>#NAME?</v>
      </c>
      <c r="F31" s="764" t="s">
        <v>2864</v>
      </c>
      <c r="G31" s="664"/>
      <c r="J31" s="664" t="s">
        <v>2891</v>
      </c>
      <c r="K31" s="664">
        <f>K30*1.05</f>
        <v>157.63550855709647</v>
      </c>
      <c r="L31" s="664"/>
      <c r="M31" s="664" t="s">
        <v>2781</v>
      </c>
      <c r="N31">
        <v>60.775312500000005</v>
      </c>
      <c r="O31">
        <v>66.852843750000019</v>
      </c>
      <c r="P31">
        <v>73.538128125000043</v>
      </c>
      <c r="Q31">
        <v>80.891940937500038</v>
      </c>
      <c r="R31">
        <v>88.981135031250062</v>
      </c>
      <c r="S31">
        <v>97.879248534375094</v>
      </c>
      <c r="T31">
        <v>107.6671733878126</v>
      </c>
      <c r="U31">
        <v>118.43389072659386</v>
      </c>
      <c r="V31">
        <v>130.27727979925328</v>
      </c>
      <c r="W31">
        <v>143.3050077791786</v>
      </c>
      <c r="X31" s="664"/>
    </row>
    <row r="32" spans="1:24" ht="15" x14ac:dyDescent="0.25">
      <c r="A32" s="664" t="s">
        <v>2882</v>
      </c>
      <c r="C32" s="766" t="s">
        <v>2812</v>
      </c>
      <c r="D32" s="52" t="e">
        <f ca="1">_xll.BTRCellAddress(fnLogStatus)</f>
        <v>#NAME?</v>
      </c>
      <c r="F32" s="764" t="s">
        <v>2892</v>
      </c>
      <c r="G32" s="664"/>
      <c r="H32" s="664"/>
      <c r="I32" s="664"/>
      <c r="J32" s="664"/>
      <c r="K32" s="664"/>
      <c r="L32" s="664"/>
      <c r="M32" s="664"/>
      <c r="N32" s="664"/>
      <c r="O32" s="664"/>
      <c r="P32" s="664"/>
      <c r="Q32" s="664"/>
      <c r="R32" s="664"/>
      <c r="S32" s="664"/>
      <c r="T32" s="664"/>
      <c r="U32" s="664"/>
      <c r="V32" s="664"/>
      <c r="W32" s="664"/>
      <c r="X32" s="664"/>
    </row>
    <row r="33" spans="1:24" ht="15" x14ac:dyDescent="0.25">
      <c r="A33" s="664" t="s">
        <v>2848</v>
      </c>
      <c r="C33" s="766" t="s">
        <v>2761</v>
      </c>
      <c r="D33" s="52">
        <f>K20+500</f>
        <v>6000</v>
      </c>
      <c r="E33" s="52" t="e">
        <f ca="1">_xll.BTRCellAddress($K$20)</f>
        <v>#NAME?</v>
      </c>
      <c r="F33" s="764" t="s">
        <v>2783</v>
      </c>
      <c r="G33" s="664"/>
      <c r="H33" s="664"/>
      <c r="I33" s="664"/>
      <c r="J33" s="664"/>
      <c r="K33" s="664"/>
      <c r="L33" s="664"/>
      <c r="M33" s="664"/>
      <c r="N33" s="664"/>
      <c r="O33" s="664"/>
      <c r="P33" s="664"/>
      <c r="Q33" s="664"/>
      <c r="R33" s="664"/>
      <c r="S33" s="664"/>
      <c r="T33" s="664"/>
      <c r="U33" s="664"/>
      <c r="V33" s="664"/>
      <c r="W33" s="664"/>
      <c r="X33" s="664"/>
    </row>
    <row r="34" spans="1:24" ht="15" x14ac:dyDescent="0.25">
      <c r="A34" s="664" t="s">
        <v>2883</v>
      </c>
      <c r="C34" s="766" t="s">
        <v>2761</v>
      </c>
      <c r="D34" s="52">
        <f>K21*1.1</f>
        <v>142.65583530550015</v>
      </c>
      <c r="E34" s="52" t="e">
        <f ca="1">_xll.BTRCellAddress(K21)</f>
        <v>#NAME?</v>
      </c>
      <c r="F34" s="764" t="s">
        <v>2784</v>
      </c>
      <c r="G34" s="664"/>
      <c r="H34" s="664"/>
      <c r="I34" s="664"/>
      <c r="J34" s="664"/>
      <c r="K34" s="664"/>
      <c r="L34" s="664"/>
      <c r="M34" s="664"/>
      <c r="N34" s="664"/>
      <c r="O34" s="664"/>
      <c r="P34" s="664"/>
      <c r="Q34" s="664"/>
      <c r="R34" s="664"/>
      <c r="S34" s="664"/>
      <c r="T34" s="664"/>
      <c r="U34" s="664"/>
      <c r="V34" s="664"/>
      <c r="W34" s="664"/>
      <c r="X34" s="664"/>
    </row>
    <row r="35" spans="1:24" ht="15" x14ac:dyDescent="0.25">
      <c r="A35" s="664"/>
      <c r="C35" s="766" t="s">
        <v>2761</v>
      </c>
      <c r="D35" s="52">
        <f>E37+1</f>
        <v>12</v>
      </c>
      <c r="E35" s="52" t="e">
        <f ca="1">_xll.BTRCellAddress($E$37)</f>
        <v>#NAME?</v>
      </c>
      <c r="F35" s="764" t="s">
        <v>2785</v>
      </c>
      <c r="G35" s="664"/>
      <c r="H35" s="664"/>
      <c r="I35" s="664"/>
      <c r="J35" s="664"/>
      <c r="K35" s="664"/>
      <c r="L35" s="664"/>
      <c r="M35" s="664"/>
      <c r="N35" s="664"/>
      <c r="O35" s="664"/>
      <c r="P35" s="664"/>
      <c r="Q35" s="664"/>
      <c r="R35" s="664"/>
      <c r="S35" s="664"/>
      <c r="T35" s="664"/>
      <c r="U35" s="664"/>
      <c r="V35" s="664"/>
      <c r="W35" s="664"/>
      <c r="X35" s="664"/>
    </row>
    <row r="36" spans="1:24" ht="15" x14ac:dyDescent="0.25">
      <c r="A36" s="664" t="s">
        <v>2837</v>
      </c>
      <c r="C36" s="766" t="s">
        <v>2772</v>
      </c>
      <c r="D36" s="52"/>
      <c r="E36" s="52"/>
      <c r="F36" s="764" t="s">
        <v>2777</v>
      </c>
      <c r="G36" s="664"/>
      <c r="H36" s="664"/>
      <c r="I36" s="664"/>
      <c r="J36" s="664"/>
      <c r="K36" s="664"/>
      <c r="L36" s="664"/>
      <c r="M36" s="664"/>
      <c r="N36" s="664"/>
      <c r="O36" s="664"/>
      <c r="P36" s="664"/>
      <c r="Q36" s="664"/>
      <c r="R36" s="664"/>
      <c r="S36" s="664"/>
      <c r="T36" s="664"/>
      <c r="U36" s="664"/>
      <c r="V36" s="664"/>
      <c r="W36" s="664"/>
      <c r="X36" s="664"/>
    </row>
    <row r="37" spans="1:24" ht="15" x14ac:dyDescent="0.25">
      <c r="A37" s="664" t="s">
        <v>2985</v>
      </c>
      <c r="C37" t="s">
        <v>2786</v>
      </c>
      <c r="D37" s="52" t="b">
        <f>E37&lt;=10</f>
        <v>0</v>
      </c>
      <c r="E37" s="52">
        <v>11</v>
      </c>
      <c r="F37" s="764" t="s">
        <v>2780</v>
      </c>
      <c r="G37" s="664"/>
      <c r="H37" s="664"/>
      <c r="I37" s="664"/>
      <c r="J37" s="664"/>
      <c r="K37" s="664"/>
      <c r="L37" s="664"/>
      <c r="M37" s="664"/>
      <c r="N37" s="664"/>
      <c r="O37" s="664"/>
      <c r="P37" s="664"/>
      <c r="Q37" s="664"/>
      <c r="R37" s="664"/>
      <c r="S37" s="664"/>
      <c r="T37" s="664"/>
      <c r="U37" s="664"/>
      <c r="V37" s="664"/>
      <c r="W37" s="664"/>
      <c r="X37" s="664"/>
    </row>
    <row r="38" spans="1:24" ht="15" x14ac:dyDescent="0.25">
      <c r="A38" s="664" t="s">
        <v>2810</v>
      </c>
      <c r="C38" t="s">
        <v>2762</v>
      </c>
      <c r="D38" s="52" t="b">
        <v>1</v>
      </c>
      <c r="E38" s="52"/>
      <c r="F38" s="764" t="s">
        <v>2863</v>
      </c>
      <c r="G38" s="664"/>
      <c r="H38" s="664"/>
      <c r="I38" s="664"/>
      <c r="J38" s="664"/>
      <c r="K38" s="664"/>
      <c r="L38" s="664"/>
      <c r="M38" s="664"/>
      <c r="N38" s="664"/>
      <c r="O38" s="664"/>
      <c r="P38" s="664"/>
      <c r="Q38" s="664"/>
      <c r="R38" s="664"/>
      <c r="S38" s="664"/>
      <c r="T38" s="664"/>
      <c r="U38" s="664"/>
      <c r="V38" s="664"/>
      <c r="W38" s="664"/>
      <c r="X38" s="664"/>
    </row>
    <row r="39" spans="1:24" ht="15" x14ac:dyDescent="0.25">
      <c r="A39" s="664"/>
      <c r="D39" s="52"/>
      <c r="E39" s="52"/>
      <c r="F39" s="764"/>
      <c r="G39" s="664"/>
      <c r="H39" s="664"/>
      <c r="I39" s="664"/>
      <c r="J39" s="664"/>
      <c r="K39" s="664"/>
      <c r="L39" s="664"/>
      <c r="M39" s="664"/>
      <c r="N39" s="664"/>
      <c r="O39" s="664"/>
      <c r="P39" s="664"/>
      <c r="Q39" s="664"/>
      <c r="R39" s="664"/>
      <c r="S39" s="664"/>
      <c r="T39" s="664"/>
      <c r="U39" s="664"/>
      <c r="V39" s="664"/>
      <c r="W39" s="664"/>
      <c r="X39" s="664"/>
    </row>
    <row r="40" spans="1:24" ht="15" x14ac:dyDescent="0.25">
      <c r="A40" s="772" t="s">
        <v>2868</v>
      </c>
      <c r="C40" s="763" t="s">
        <v>2862</v>
      </c>
      <c r="E40" s="52"/>
      <c r="F40" s="764"/>
      <c r="G40" s="664"/>
      <c r="H40" s="772" t="s">
        <v>2787</v>
      </c>
      <c r="I40" s="664"/>
      <c r="J40" s="664"/>
      <c r="K40" s="664"/>
      <c r="L40" s="664"/>
      <c r="M40" s="664"/>
      <c r="N40" s="664"/>
      <c r="O40" s="664"/>
      <c r="P40" s="664"/>
      <c r="Q40" s="664"/>
      <c r="R40" s="664"/>
      <c r="S40" s="664"/>
      <c r="T40" s="664"/>
      <c r="U40" s="664"/>
      <c r="V40" s="664"/>
      <c r="W40" s="664"/>
      <c r="X40" s="664"/>
    </row>
    <row r="41" spans="1:24" ht="15" x14ac:dyDescent="0.25">
      <c r="A41" s="664" t="s">
        <v>2867</v>
      </c>
      <c r="C41" t="s">
        <v>2779</v>
      </c>
      <c r="D41" s="52" t="b">
        <f>E41="Y"</f>
        <v>1</v>
      </c>
      <c r="E41" s="52" t="s">
        <v>366</v>
      </c>
      <c r="F41" s="764" t="s">
        <v>2861</v>
      </c>
      <c r="G41" s="664"/>
      <c r="H41" s="664" t="s">
        <v>2790</v>
      </c>
      <c r="I41" s="774">
        <v>0.05</v>
      </c>
      <c r="J41" s="664"/>
      <c r="K41" s="664"/>
      <c r="L41" s="664"/>
      <c r="M41" s="664"/>
      <c r="N41" s="664"/>
      <c r="O41" s="664"/>
      <c r="P41" s="664"/>
      <c r="Q41" s="664"/>
      <c r="R41" s="664"/>
      <c r="S41" s="664"/>
      <c r="T41" s="664"/>
      <c r="U41" s="664"/>
      <c r="V41" s="664"/>
      <c r="W41" s="664"/>
      <c r="X41" s="664"/>
    </row>
    <row r="42" spans="1:24" ht="15" x14ac:dyDescent="0.25">
      <c r="A42" s="664" t="s">
        <v>2866</v>
      </c>
      <c r="C42" s="769" t="s">
        <v>2855</v>
      </c>
      <c r="D42" s="52"/>
      <c r="E42" s="52"/>
      <c r="F42" s="764" t="str">
        <f>"Find annual payment that has a future value of $"&amp;D44</f>
        <v>Find annual payment that has a future value of $0</v>
      </c>
      <c r="G42" s="664"/>
      <c r="H42" s="664" t="s">
        <v>2791</v>
      </c>
      <c r="I42" s="664">
        <v>15</v>
      </c>
      <c r="J42" s="664"/>
      <c r="K42" s="664"/>
      <c r="L42" s="664"/>
      <c r="M42" s="664"/>
      <c r="N42" s="664"/>
      <c r="O42" s="664"/>
      <c r="P42" s="664"/>
      <c r="Q42" s="664"/>
      <c r="R42" s="664"/>
      <c r="S42" s="664"/>
      <c r="T42" s="664"/>
      <c r="U42" s="664"/>
      <c r="V42" s="664"/>
      <c r="W42" s="664"/>
      <c r="X42" s="664"/>
    </row>
    <row r="43" spans="1:24" ht="15" x14ac:dyDescent="0.25">
      <c r="A43" s="664" t="s">
        <v>2865</v>
      </c>
      <c r="C43" s="766" t="s">
        <v>2761</v>
      </c>
      <c r="D43" s="52">
        <v>30000</v>
      </c>
      <c r="E43" s="52" t="e">
        <f ca="1">_xll.BTRCellAddress(I45)</f>
        <v>#NAME?</v>
      </c>
      <c r="F43" s="764" t="s">
        <v>2893</v>
      </c>
      <c r="G43" s="664"/>
      <c r="H43" s="775" t="s">
        <v>2792</v>
      </c>
      <c r="I43" s="664">
        <v>625.62088240194157</v>
      </c>
      <c r="J43" s="664" t="s">
        <v>2860</v>
      </c>
      <c r="K43" s="664"/>
      <c r="L43" s="664"/>
      <c r="M43" s="664"/>
      <c r="N43" s="664"/>
      <c r="O43" s="664"/>
      <c r="P43" s="664"/>
      <c r="Q43" s="664"/>
      <c r="R43" s="664"/>
      <c r="S43" s="664"/>
      <c r="T43" s="664"/>
      <c r="U43" s="664"/>
      <c r="V43" s="664"/>
      <c r="W43" s="664"/>
      <c r="X43" s="664"/>
    </row>
    <row r="44" spans="1:24" ht="15" x14ac:dyDescent="0.25">
      <c r="A44" s="786" t="s">
        <v>2981</v>
      </c>
      <c r="C44" s="766" t="s">
        <v>2761</v>
      </c>
      <c r="D44">
        <v>0</v>
      </c>
      <c r="E44" t="e">
        <f ca="1">_xll.BTRCellAddress(D113)</f>
        <v>#NAME?</v>
      </c>
      <c r="F44" s="764" t="s">
        <v>2894</v>
      </c>
      <c r="G44" s="664"/>
      <c r="H44" s="664" t="s">
        <v>2793</v>
      </c>
      <c r="I44" s="776">
        <f>-FV(I41,I42,I43)</f>
        <v>13499.999993033205</v>
      </c>
      <c r="J44" s="664"/>
      <c r="K44" s="664"/>
      <c r="L44" s="664"/>
      <c r="M44" s="664"/>
      <c r="N44" s="664"/>
      <c r="O44" s="664"/>
      <c r="P44" s="664"/>
      <c r="Q44" s="664"/>
      <c r="R44" s="664"/>
      <c r="S44" s="664"/>
      <c r="T44" s="664"/>
      <c r="U44" s="664"/>
      <c r="V44" s="664"/>
      <c r="W44" s="664"/>
      <c r="X44" s="664"/>
    </row>
    <row r="45" spans="1:24" ht="15" x14ac:dyDescent="0.25">
      <c r="C45" s="766" t="s">
        <v>2761</v>
      </c>
      <c r="D45" t="e">
        <f ca="1">_xll.BTRCellAddress(I46)</f>
        <v>#NAME?</v>
      </c>
      <c r="E45" t="e">
        <f ca="1">_xll.BTRCellAddress(D114)</f>
        <v>#NAME?</v>
      </c>
      <c r="F45" s="764" t="s">
        <v>2895</v>
      </c>
      <c r="G45" s="664"/>
      <c r="H45" s="664" t="s">
        <v>2896</v>
      </c>
      <c r="I45" s="777">
        <v>13500</v>
      </c>
      <c r="J45" s="664"/>
      <c r="K45" s="664"/>
      <c r="L45" s="664"/>
      <c r="M45" s="664"/>
      <c r="N45" s="664"/>
      <c r="O45" s="664"/>
      <c r="P45" s="664"/>
      <c r="Q45" s="664"/>
      <c r="R45" s="664"/>
      <c r="S45" s="664"/>
      <c r="T45" s="664"/>
      <c r="U45" s="664"/>
      <c r="V45" s="664"/>
      <c r="W45" s="664"/>
      <c r="X45" s="664"/>
    </row>
    <row r="46" spans="1:24" ht="15" x14ac:dyDescent="0.25">
      <c r="C46" s="766" t="s">
        <v>2761</v>
      </c>
      <c r="D46" t="e">
        <f ca="1">_xll.BTRCellAddress(I43)</f>
        <v>#NAME?</v>
      </c>
      <c r="E46" t="e">
        <f ca="1">_xll.BTRCellAddress(D115)</f>
        <v>#NAME?</v>
      </c>
      <c r="F46" s="764" t="s">
        <v>2830</v>
      </c>
      <c r="G46" s="664"/>
      <c r="H46" s="664" t="s">
        <v>2897</v>
      </c>
      <c r="I46" s="778">
        <f>ROUND(I45-I44,4)</f>
        <v>0</v>
      </c>
      <c r="J46" s="664"/>
      <c r="K46" s="664"/>
      <c r="L46" s="664"/>
      <c r="M46" s="664"/>
      <c r="N46" s="664"/>
      <c r="O46" s="664"/>
      <c r="P46" s="664"/>
      <c r="Q46" s="664"/>
      <c r="R46" s="664"/>
      <c r="S46" s="664"/>
      <c r="T46" s="664"/>
      <c r="U46" s="664"/>
      <c r="V46" s="664"/>
      <c r="W46" s="664"/>
      <c r="X46" s="664"/>
    </row>
    <row r="47" spans="1:24" ht="15" x14ac:dyDescent="0.25">
      <c r="C47" s="766" t="s">
        <v>2761</v>
      </c>
      <c r="D47">
        <v>1</v>
      </c>
      <c r="E47" t="e">
        <f ca="1">_xll.BTRCellAddress(D116)</f>
        <v>#NAME?</v>
      </c>
      <c r="F47" s="764" t="s">
        <v>2828</v>
      </c>
      <c r="G47" s="664"/>
      <c r="H47" s="664"/>
      <c r="I47" s="664"/>
      <c r="J47" s="664"/>
      <c r="K47" s="664"/>
      <c r="L47" s="664"/>
      <c r="M47" s="664"/>
      <c r="N47" s="664"/>
      <c r="O47" s="664"/>
      <c r="P47" s="664"/>
      <c r="Q47" s="664"/>
      <c r="R47" s="664"/>
      <c r="S47" s="664"/>
      <c r="T47" s="664"/>
      <c r="U47" s="664"/>
      <c r="V47" s="664"/>
      <c r="W47" s="664"/>
      <c r="X47" s="664"/>
    </row>
    <row r="48" spans="1:24" ht="15" x14ac:dyDescent="0.25">
      <c r="C48" s="766" t="s">
        <v>2761</v>
      </c>
      <c r="D48">
        <v>100000</v>
      </c>
      <c r="E48" t="e">
        <f ca="1">_xll.BTRCellAddress(D117)</f>
        <v>#NAME?</v>
      </c>
      <c r="F48" s="764" t="s">
        <v>2826</v>
      </c>
      <c r="G48" s="664"/>
      <c r="H48" s="664" t="s">
        <v>2898</v>
      </c>
      <c r="I48" s="664">
        <v>1390.268653180683</v>
      </c>
      <c r="J48" s="664"/>
      <c r="K48" s="664"/>
      <c r="L48" s="664"/>
      <c r="M48" s="664"/>
      <c r="N48" s="664"/>
      <c r="O48" s="664"/>
      <c r="P48" s="664"/>
      <c r="Q48" s="664"/>
      <c r="R48" s="664"/>
      <c r="S48" s="664"/>
      <c r="T48" s="664"/>
      <c r="U48" s="664"/>
      <c r="V48" s="664"/>
      <c r="W48" s="664"/>
      <c r="X48" s="664"/>
    </row>
    <row r="49" spans="3:24" ht="15" x14ac:dyDescent="0.25">
      <c r="C49" s="766" t="s">
        <v>2761</v>
      </c>
      <c r="D49" s="54" t="e">
        <f ca="1">_xll.BTRCellAddress(I48)</f>
        <v>#NAME?</v>
      </c>
      <c r="E49" t="e">
        <f ca="1">_xll.BTRCellAddress(D118)</f>
        <v>#NAME?</v>
      </c>
      <c r="F49" s="764" t="s">
        <v>2824</v>
      </c>
      <c r="G49" s="664"/>
      <c r="H49" s="664" t="s">
        <v>2899</v>
      </c>
      <c r="I49" s="779">
        <f>-FV(I41,I42,I48)</f>
        <v>30000.000537378575</v>
      </c>
      <c r="J49" s="664"/>
      <c r="K49" s="664"/>
      <c r="L49" s="664"/>
      <c r="M49" s="664"/>
      <c r="N49" s="664"/>
      <c r="O49" s="664"/>
      <c r="P49" s="664"/>
      <c r="Q49" s="664"/>
      <c r="R49" s="664"/>
      <c r="S49" s="664"/>
      <c r="T49" s="664"/>
      <c r="U49" s="664"/>
      <c r="V49" s="664"/>
      <c r="W49" s="664"/>
      <c r="X49" s="664"/>
    </row>
    <row r="50" spans="3:24" ht="15" x14ac:dyDescent="0.25">
      <c r="C50" s="766" t="s">
        <v>2812</v>
      </c>
      <c r="D50" s="52" t="e">
        <f ca="1">_xll.BTRCellAddress(fnGoalSeek)</f>
        <v>#NAME?</v>
      </c>
      <c r="F50" s="764" t="s">
        <v>2858</v>
      </c>
      <c r="G50" s="664"/>
      <c r="H50" s="664"/>
      <c r="I50" s="664"/>
      <c r="J50" s="664"/>
      <c r="K50" s="664"/>
      <c r="L50" s="664"/>
      <c r="M50" s="664"/>
      <c r="N50" s="664"/>
      <c r="O50" s="664"/>
      <c r="P50" s="664"/>
      <c r="Q50" s="664"/>
      <c r="R50" s="664"/>
      <c r="S50" s="664"/>
      <c r="T50" s="664"/>
      <c r="U50" s="664"/>
      <c r="V50" s="664"/>
      <c r="W50" s="664"/>
      <c r="X50" s="664"/>
    </row>
    <row r="51" spans="3:24" x14ac:dyDescent="0.2">
      <c r="C51" t="s">
        <v>2848</v>
      </c>
      <c r="G51" s="664"/>
      <c r="H51" s="664"/>
      <c r="I51" s="664"/>
      <c r="J51" s="664"/>
      <c r="K51" s="664"/>
      <c r="L51" s="664"/>
      <c r="M51" s="664"/>
      <c r="N51" s="664"/>
      <c r="O51" s="664"/>
      <c r="P51" s="664"/>
      <c r="Q51" s="664"/>
      <c r="R51" s="664"/>
      <c r="S51" s="664"/>
      <c r="T51" s="664"/>
      <c r="U51" s="664"/>
      <c r="V51" s="664"/>
      <c r="W51" s="664"/>
      <c r="X51" s="664"/>
    </row>
    <row r="52" spans="3:24" ht="15" x14ac:dyDescent="0.25">
      <c r="C52" s="54"/>
      <c r="D52" s="52"/>
      <c r="E52" s="52"/>
      <c r="F52" s="764"/>
      <c r="G52" s="664"/>
      <c r="H52" s="664"/>
      <c r="I52" s="664"/>
      <c r="J52" s="664"/>
      <c r="K52" s="664"/>
      <c r="L52" s="664"/>
      <c r="M52" s="664"/>
      <c r="N52" s="664"/>
      <c r="O52" s="664"/>
      <c r="P52" s="664"/>
      <c r="Q52" s="664"/>
      <c r="R52" s="664"/>
      <c r="S52" s="664"/>
      <c r="T52" s="664"/>
      <c r="U52" s="664"/>
      <c r="V52" s="664"/>
      <c r="W52" s="664"/>
      <c r="X52" s="664"/>
    </row>
    <row r="53" spans="3:24" ht="15" x14ac:dyDescent="0.25">
      <c r="C53" s="763" t="s">
        <v>2859</v>
      </c>
      <c r="E53" s="52"/>
      <c r="F53" s="764"/>
      <c r="G53" s="664"/>
      <c r="H53" s="664"/>
      <c r="I53" s="664"/>
      <c r="J53" s="664"/>
      <c r="K53" s="664"/>
      <c r="L53" s="664"/>
      <c r="M53" s="664"/>
      <c r="N53" s="664"/>
      <c r="O53" s="664"/>
      <c r="P53" s="664"/>
      <c r="Q53" s="664"/>
      <c r="R53" s="664"/>
      <c r="S53" s="664"/>
      <c r="T53" s="664"/>
      <c r="U53" s="664"/>
      <c r="V53" s="664"/>
      <c r="W53" s="664"/>
      <c r="X53" s="664"/>
    </row>
    <row r="54" spans="3:24" ht="15" x14ac:dyDescent="0.25">
      <c r="C54" s="54" t="s">
        <v>2758</v>
      </c>
      <c r="D54" s="664"/>
      <c r="E54" t="e">
        <f ca="1">_xll.BTRCellAddress(I$57:I$65)</f>
        <v>#NAME?</v>
      </c>
      <c r="F54" s="764"/>
      <c r="G54" s="664"/>
      <c r="H54" s="664"/>
      <c r="I54" s="664"/>
      <c r="J54" s="664"/>
      <c r="K54" s="664"/>
      <c r="L54" s="664"/>
      <c r="M54" s="664"/>
      <c r="N54" s="664"/>
      <c r="O54" s="664"/>
      <c r="P54" s="664"/>
      <c r="Q54" s="664"/>
      <c r="R54" s="664"/>
      <c r="S54" s="664"/>
      <c r="T54" s="664"/>
      <c r="U54" s="664"/>
      <c r="V54" s="664"/>
      <c r="W54" s="664"/>
      <c r="X54" s="664"/>
    </row>
    <row r="55" spans="3:24" ht="15" x14ac:dyDescent="0.25">
      <c r="C55" s="54" t="s">
        <v>2758</v>
      </c>
      <c r="D55" s="664"/>
      <c r="E55" t="e">
        <f ca="1">_xll.BTRCellAddress(K$57:L$65)</f>
        <v>#NAME?</v>
      </c>
      <c r="F55" s="764"/>
      <c r="G55" s="664"/>
      <c r="H55" s="664"/>
      <c r="I55" s="664" t="s">
        <v>2900</v>
      </c>
      <c r="J55" s="664"/>
      <c r="K55" s="664"/>
      <c r="L55" s="664"/>
      <c r="M55" s="664"/>
      <c r="N55" s="664"/>
      <c r="O55" s="664"/>
      <c r="P55" s="664"/>
      <c r="Q55" s="664"/>
      <c r="R55" s="664"/>
      <c r="S55" s="664"/>
      <c r="T55" s="664"/>
      <c r="U55" s="664"/>
      <c r="V55" s="664"/>
      <c r="W55" s="664"/>
      <c r="X55" s="664"/>
    </row>
    <row r="56" spans="3:24" x14ac:dyDescent="0.2">
      <c r="G56" s="664"/>
      <c r="H56" s="664" t="s">
        <v>2788</v>
      </c>
      <c r="I56" s="664" t="s">
        <v>2901</v>
      </c>
      <c r="J56" s="664" t="s">
        <v>2902</v>
      </c>
      <c r="K56" s="664" t="s">
        <v>2903</v>
      </c>
      <c r="L56" s="664" t="s">
        <v>2904</v>
      </c>
      <c r="M56" s="664" t="s">
        <v>2905</v>
      </c>
      <c r="N56" s="664"/>
      <c r="O56" s="664"/>
      <c r="P56" s="664"/>
      <c r="Q56" s="664"/>
      <c r="R56" s="664"/>
      <c r="S56" s="664"/>
      <c r="T56" s="664"/>
      <c r="U56" s="664"/>
      <c r="V56" s="664"/>
      <c r="W56" s="664"/>
      <c r="X56" s="664"/>
    </row>
    <row r="57" spans="3:24" ht="15" x14ac:dyDescent="0.25">
      <c r="C57" s="54" t="s">
        <v>2761</v>
      </c>
      <c r="D57">
        <v>1</v>
      </c>
      <c r="E57" s="52" t="e">
        <f ca="1">_xll.BTRCellAddress(E70)</f>
        <v>#NAME?</v>
      </c>
      <c r="F57" s="764" t="s">
        <v>2906</v>
      </c>
      <c r="G57" s="664"/>
      <c r="H57" s="664">
        <v>1500</v>
      </c>
      <c r="I57">
        <v>69.513432477600873</v>
      </c>
      <c r="J57" s="780">
        <f>-FV(I$41,I$42,I57)</f>
        <v>1500.0000229538591</v>
      </c>
      <c r="K57">
        <v>69.513431377993541</v>
      </c>
      <c r="M57" s="781">
        <f t="shared" ref="M57:M65" si="0">-FV(I$41,I$42,K57)</f>
        <v>1499.9999992259125</v>
      </c>
      <c r="N57" s="664"/>
      <c r="O57" s="664"/>
      <c r="P57" s="664"/>
      <c r="Q57" s="664"/>
      <c r="R57" s="664"/>
      <c r="S57" s="664"/>
      <c r="T57" s="664"/>
      <c r="U57" s="664"/>
      <c r="V57" s="664"/>
      <c r="W57" s="664"/>
      <c r="X57" s="664"/>
    </row>
    <row r="58" spans="3:24" ht="15" x14ac:dyDescent="0.25">
      <c r="C58" s="54" t="s">
        <v>2856</v>
      </c>
      <c r="D58" t="e">
        <f ca="1">_xll.BTRRowsToBottom(H56)</f>
        <v>#NAME?</v>
      </c>
      <c r="E58" s="52"/>
      <c r="F58" s="764"/>
      <c r="G58" s="664"/>
      <c r="H58" s="664">
        <f t="shared" ref="H58:H65" si="1">H57+1500</f>
        <v>3000</v>
      </c>
      <c r="I58">
        <v>139.02687058784068</v>
      </c>
      <c r="J58" s="780">
        <f t="shared" ref="J58:J65" si="2">-FV(I$41,I$42,I58)</f>
        <v>3000.0001674519758</v>
      </c>
      <c r="K58">
        <v>139.02686275598708</v>
      </c>
      <c r="M58" s="781">
        <f t="shared" si="0"/>
        <v>2999.9999984518249</v>
      </c>
      <c r="N58" s="664"/>
      <c r="O58" s="664"/>
      <c r="P58" s="664"/>
      <c r="Q58" s="664"/>
      <c r="R58" s="664"/>
      <c r="S58" s="664"/>
      <c r="T58" s="664"/>
      <c r="U58" s="664"/>
      <c r="V58" s="664"/>
      <c r="W58" s="664"/>
      <c r="X58" s="664"/>
    </row>
    <row r="59" spans="3:24" ht="15" x14ac:dyDescent="0.25">
      <c r="C59" t="s">
        <v>2779</v>
      </c>
      <c r="E59" s="664"/>
      <c r="F59" s="764"/>
      <c r="G59" s="664"/>
      <c r="H59" s="664">
        <f t="shared" si="1"/>
        <v>4500</v>
      </c>
      <c r="I59">
        <v>208.54029736761004</v>
      </c>
      <c r="J59" s="780">
        <f t="shared" si="2"/>
        <v>4500.0000674548155</v>
      </c>
      <c r="K59">
        <v>208.54029413398064</v>
      </c>
      <c r="M59" s="781">
        <f t="shared" si="0"/>
        <v>4499.9999976777381</v>
      </c>
      <c r="N59" s="664"/>
      <c r="O59" s="664"/>
      <c r="P59" s="664"/>
      <c r="Q59" s="664"/>
      <c r="R59" s="664"/>
      <c r="S59" s="664"/>
      <c r="T59" s="664"/>
      <c r="U59" s="664"/>
      <c r="V59" s="664"/>
      <c r="W59" s="664"/>
      <c r="X59" s="664"/>
    </row>
    <row r="60" spans="3:24" ht="15" x14ac:dyDescent="0.25">
      <c r="C60" s="769" t="s">
        <v>2855</v>
      </c>
      <c r="D60" s="52"/>
      <c r="E60" s="52"/>
      <c r="F60" s="764" t="str">
        <f ca="1">"Find annual payment that has a future value of $"&amp;D61</f>
        <v>Find annual payment that has a future value of $0</v>
      </c>
      <c r="G60" s="664"/>
      <c r="H60" s="664">
        <f t="shared" si="1"/>
        <v>6000</v>
      </c>
      <c r="I60">
        <v>278.05381347239017</v>
      </c>
      <c r="J60" s="780">
        <f t="shared" si="2"/>
        <v>6000.0018949630803</v>
      </c>
      <c r="K60">
        <v>278.05372551197411</v>
      </c>
      <c r="M60" s="781">
        <f t="shared" si="0"/>
        <v>5999.9999969036489</v>
      </c>
      <c r="N60" s="664"/>
      <c r="O60" s="664"/>
      <c r="P60" s="664"/>
      <c r="Q60" s="664"/>
      <c r="R60" s="664"/>
      <c r="S60" s="664"/>
      <c r="T60" s="664"/>
      <c r="U60" s="664"/>
      <c r="V60" s="664"/>
      <c r="W60" s="664"/>
      <c r="X60" s="664"/>
    </row>
    <row r="61" spans="3:24" ht="15" x14ac:dyDescent="0.25">
      <c r="C61" s="766" t="s">
        <v>2761</v>
      </c>
      <c r="D61">
        <f ca="1">OFFSET(H56,E70,0)</f>
        <v>0</v>
      </c>
      <c r="E61" s="52" t="e">
        <f ca="1">_xll.BTRCellAddress(I45)</f>
        <v>#NAME?</v>
      </c>
      <c r="F61" s="764" t="s">
        <v>2907</v>
      </c>
      <c r="G61" s="664"/>
      <c r="H61" s="664">
        <f t="shared" si="1"/>
        <v>7500</v>
      </c>
      <c r="I61">
        <v>347.56715872371569</v>
      </c>
      <c r="J61" s="780">
        <f t="shared" si="2"/>
        <v>7500.0000356992095</v>
      </c>
      <c r="K61">
        <v>347.56715688996763</v>
      </c>
      <c r="M61" s="781">
        <f t="shared" si="0"/>
        <v>7499.9999961295607</v>
      </c>
      <c r="N61" s="664"/>
      <c r="O61" s="664"/>
      <c r="P61" s="664"/>
      <c r="Q61" s="664"/>
      <c r="R61" s="664"/>
      <c r="S61" s="664"/>
      <c r="T61" s="664"/>
      <c r="U61" s="664"/>
      <c r="V61" s="664"/>
      <c r="W61" s="664"/>
      <c r="X61" s="664"/>
    </row>
    <row r="62" spans="3:24" ht="15" x14ac:dyDescent="0.25">
      <c r="C62" s="766" t="s">
        <v>2761</v>
      </c>
      <c r="D62" s="664">
        <v>0</v>
      </c>
      <c r="E62" t="e">
        <f t="shared" ref="E62:E67" ca="1" si="3">E44</f>
        <v>#NAME?</v>
      </c>
      <c r="F62" s="764" t="s">
        <v>2894</v>
      </c>
      <c r="G62" s="664"/>
      <c r="H62" s="664">
        <f t="shared" si="1"/>
        <v>9000</v>
      </c>
      <c r="I62">
        <v>417.08062212541699</v>
      </c>
      <c r="J62" s="780">
        <f t="shared" si="2"/>
        <v>9000.0007259507365</v>
      </c>
      <c r="K62">
        <v>417.0805882679611</v>
      </c>
      <c r="M62" s="781">
        <f t="shared" si="0"/>
        <v>8999.9999953554725</v>
      </c>
      <c r="N62" s="664"/>
      <c r="O62" s="664"/>
      <c r="P62" s="664"/>
      <c r="Q62" s="664"/>
      <c r="R62" s="664"/>
      <c r="S62" s="664"/>
      <c r="T62" s="664"/>
      <c r="U62" s="664"/>
      <c r="V62" s="664"/>
      <c r="W62" s="664"/>
      <c r="X62" s="664"/>
    </row>
    <row r="63" spans="3:24" ht="15" x14ac:dyDescent="0.25">
      <c r="C63" s="766" t="s">
        <v>2761</v>
      </c>
      <c r="D63" t="e">
        <f ca="1">D45</f>
        <v>#NAME?</v>
      </c>
      <c r="E63" t="e">
        <f t="shared" ca="1" si="3"/>
        <v>#NAME?</v>
      </c>
      <c r="F63" s="764" t="s">
        <v>2895</v>
      </c>
      <c r="G63" s="664"/>
      <c r="H63" s="664">
        <f t="shared" si="1"/>
        <v>10500</v>
      </c>
      <c r="I63">
        <v>486.59402453573421</v>
      </c>
      <c r="J63" s="780">
        <f t="shared" si="2"/>
        <v>10500.000100095804</v>
      </c>
      <c r="K63">
        <v>486.59401964595457</v>
      </c>
      <c r="M63" s="781">
        <f t="shared" si="0"/>
        <v>10499.999994581383</v>
      </c>
      <c r="N63" s="664"/>
      <c r="O63" s="664"/>
      <c r="P63" s="664"/>
      <c r="Q63" s="664"/>
      <c r="R63" s="664"/>
      <c r="S63" s="664"/>
      <c r="T63" s="664"/>
      <c r="U63" s="664"/>
      <c r="V63" s="664"/>
      <c r="W63" s="664"/>
      <c r="X63" s="664"/>
    </row>
    <row r="64" spans="3:24" ht="15" x14ac:dyDescent="0.25">
      <c r="C64" s="766" t="s">
        <v>2761</v>
      </c>
      <c r="D64" t="e">
        <f ca="1">D46</f>
        <v>#NAME?</v>
      </c>
      <c r="E64" t="e">
        <f t="shared" ca="1" si="3"/>
        <v>#NAME?</v>
      </c>
      <c r="F64" s="764" t="s">
        <v>2830</v>
      </c>
      <c r="G64" s="664"/>
      <c r="H64" s="664">
        <f t="shared" si="1"/>
        <v>12000</v>
      </c>
      <c r="I64">
        <v>556.10745447711088</v>
      </c>
      <c r="J64" s="780">
        <f t="shared" si="2"/>
        <v>12000.000068321588</v>
      </c>
      <c r="K64">
        <v>556.1074510239481</v>
      </c>
      <c r="M64" s="781">
        <f t="shared" si="0"/>
        <v>11999.999993807294</v>
      </c>
      <c r="N64" s="664"/>
      <c r="O64" s="664"/>
      <c r="P64" s="664"/>
      <c r="Q64" s="664"/>
      <c r="R64" s="664"/>
      <c r="S64" s="664"/>
      <c r="T64" s="664"/>
      <c r="U64" s="664"/>
      <c r="V64" s="664"/>
      <c r="W64" s="664"/>
      <c r="X64" s="664"/>
    </row>
    <row r="65" spans="3:24" ht="15" x14ac:dyDescent="0.25">
      <c r="C65" s="766" t="s">
        <v>2761</v>
      </c>
      <c r="D65">
        <v>1</v>
      </c>
      <c r="E65" t="e">
        <f t="shared" ca="1" si="3"/>
        <v>#NAME?</v>
      </c>
      <c r="F65" s="764" t="s">
        <v>2828</v>
      </c>
      <c r="G65" s="664"/>
      <c r="H65" s="664">
        <f t="shared" si="1"/>
        <v>13500</v>
      </c>
      <c r="I65">
        <v>625.62088397343177</v>
      </c>
      <c r="J65" s="780">
        <f t="shared" si="2"/>
        <v>13500.000026943708</v>
      </c>
      <c r="K65">
        <v>625.62088240194157</v>
      </c>
      <c r="M65" s="781">
        <f t="shared" si="0"/>
        <v>13499.999993033205</v>
      </c>
      <c r="N65" s="664"/>
      <c r="O65" s="664"/>
      <c r="P65" s="664"/>
      <c r="Q65" s="664"/>
      <c r="R65" s="664"/>
      <c r="S65" s="664"/>
      <c r="T65" s="664"/>
      <c r="U65" s="664"/>
      <c r="V65" s="664"/>
      <c r="W65" s="664"/>
      <c r="X65" s="664"/>
    </row>
    <row r="66" spans="3:24" ht="15" x14ac:dyDescent="0.25">
      <c r="C66" s="766" t="s">
        <v>2761</v>
      </c>
      <c r="D66">
        <f ca="1">D61</f>
        <v>0</v>
      </c>
      <c r="E66" t="e">
        <f t="shared" ca="1" si="3"/>
        <v>#NAME?</v>
      </c>
      <c r="F66" s="764" t="s">
        <v>2826</v>
      </c>
      <c r="G66" s="664"/>
      <c r="H66" s="664"/>
      <c r="I66" s="664"/>
      <c r="J66" s="664"/>
      <c r="K66" s="664"/>
      <c r="L66" s="664"/>
      <c r="M66" s="664"/>
      <c r="N66" s="664"/>
      <c r="O66" s="664"/>
      <c r="P66" s="664"/>
      <c r="Q66" s="664"/>
      <c r="R66" s="664"/>
      <c r="S66" s="664"/>
      <c r="T66" s="664"/>
      <c r="U66" s="664"/>
      <c r="V66" s="664"/>
      <c r="W66" s="664"/>
      <c r="X66" s="664"/>
    </row>
    <row r="67" spans="3:24" ht="15" x14ac:dyDescent="0.25">
      <c r="C67" s="766" t="s">
        <v>2761</v>
      </c>
      <c r="D67" s="52" t="e">
        <f ca="1">_xll.BTRCellAddress(I56,E70)</f>
        <v>#NAME?</v>
      </c>
      <c r="E67" t="e">
        <f t="shared" ca="1" si="3"/>
        <v>#NAME?</v>
      </c>
      <c r="F67" s="764" t="s">
        <v>2824</v>
      </c>
      <c r="G67" s="664"/>
      <c r="H67" s="664"/>
      <c r="I67" s="664"/>
      <c r="K67" s="664"/>
      <c r="L67" s="664"/>
      <c r="M67" s="664"/>
      <c r="N67" s="664"/>
      <c r="O67" s="664"/>
      <c r="P67" s="664"/>
      <c r="Q67" s="664"/>
      <c r="R67" s="664"/>
      <c r="S67" s="664"/>
      <c r="T67" s="664"/>
      <c r="U67" s="664"/>
      <c r="V67" s="664"/>
      <c r="W67" s="664"/>
      <c r="X67" s="664"/>
    </row>
    <row r="68" spans="3:24" ht="15" x14ac:dyDescent="0.25">
      <c r="C68" s="766" t="s">
        <v>2812</v>
      </c>
      <c r="D68" s="52" t="e">
        <f ca="1">_xll.BTRCellAddress(fnGoalSeek)</f>
        <v>#NAME?</v>
      </c>
      <c r="F68" s="764" t="s">
        <v>2908</v>
      </c>
      <c r="G68" s="664"/>
      <c r="H68" s="664"/>
      <c r="I68" s="664"/>
      <c r="J68" s="664"/>
      <c r="K68" s="664"/>
      <c r="L68" s="664"/>
      <c r="M68" s="664"/>
      <c r="N68" s="664"/>
      <c r="O68" s="664"/>
      <c r="P68" s="664"/>
      <c r="Q68" s="664"/>
      <c r="R68" s="664"/>
      <c r="S68" s="664"/>
      <c r="T68" s="664"/>
      <c r="U68" s="664"/>
      <c r="V68" s="664"/>
      <c r="W68" s="664"/>
      <c r="X68" s="664"/>
    </row>
    <row r="69" spans="3:24" ht="15" x14ac:dyDescent="0.25">
      <c r="C69" s="766" t="s">
        <v>2761</v>
      </c>
      <c r="D69">
        <f>1+E70</f>
        <v>11</v>
      </c>
      <c r="E69" t="e">
        <f ca="1">_xll.BTRCellAddress(E70)</f>
        <v>#NAME?</v>
      </c>
      <c r="F69" s="764" t="s">
        <v>2847</v>
      </c>
      <c r="G69" s="664"/>
      <c r="H69" s="664"/>
      <c r="I69" s="664"/>
      <c r="J69" s="664"/>
      <c r="K69" s="664"/>
      <c r="L69" s="664"/>
      <c r="M69" s="664"/>
      <c r="N69" s="664"/>
      <c r="O69" s="664"/>
      <c r="P69" s="664"/>
      <c r="Q69" s="664"/>
      <c r="R69" s="664"/>
      <c r="S69" s="664"/>
      <c r="T69" s="664"/>
      <c r="U69" s="664"/>
      <c r="V69" s="664"/>
      <c r="W69" s="664"/>
      <c r="X69" s="664"/>
    </row>
    <row r="70" spans="3:24" x14ac:dyDescent="0.2">
      <c r="C70" t="s">
        <v>2786</v>
      </c>
      <c r="D70" s="52" t="e">
        <f ca="1">E70&lt;=D58</f>
        <v>#NAME?</v>
      </c>
      <c r="E70" s="52">
        <v>10</v>
      </c>
      <c r="G70" s="664"/>
      <c r="H70" s="664"/>
      <c r="I70" s="664"/>
      <c r="J70" s="664"/>
      <c r="K70" s="664"/>
      <c r="L70" s="664"/>
      <c r="M70" s="664"/>
      <c r="N70" s="664"/>
      <c r="O70" s="664"/>
      <c r="P70" s="664"/>
      <c r="Q70" s="664"/>
      <c r="R70" s="664"/>
      <c r="S70" s="664"/>
      <c r="T70" s="664"/>
      <c r="U70" s="664"/>
      <c r="V70" s="664"/>
      <c r="W70" s="664"/>
      <c r="X70" s="664"/>
    </row>
    <row r="71" spans="3:24" ht="15" x14ac:dyDescent="0.25">
      <c r="D71" s="52"/>
      <c r="E71" s="52"/>
      <c r="F71" s="764"/>
      <c r="G71" s="664"/>
      <c r="H71" s="664"/>
      <c r="I71" s="664"/>
      <c r="J71" s="664"/>
      <c r="K71" s="664"/>
      <c r="L71" s="664"/>
      <c r="M71" s="664"/>
      <c r="N71" s="664"/>
      <c r="O71" s="664"/>
      <c r="P71" s="664"/>
      <c r="Q71" s="664"/>
      <c r="R71" s="664"/>
      <c r="S71" s="664"/>
      <c r="T71" s="664"/>
      <c r="U71" s="664"/>
      <c r="V71" s="664"/>
      <c r="W71" s="664"/>
      <c r="X71" s="664"/>
    </row>
    <row r="72" spans="3:24" ht="15" x14ac:dyDescent="0.25">
      <c r="C72" s="763" t="s">
        <v>2857</v>
      </c>
      <c r="E72" s="52"/>
      <c r="F72" s="764" t="s">
        <v>2909</v>
      </c>
      <c r="G72" s="664"/>
      <c r="H72" s="664"/>
      <c r="I72" s="664"/>
      <c r="J72" s="664"/>
      <c r="K72" s="664"/>
      <c r="L72" s="664"/>
      <c r="M72" s="664"/>
      <c r="N72" s="664"/>
      <c r="O72" s="664"/>
      <c r="P72" s="664"/>
      <c r="Q72" s="664"/>
      <c r="R72" s="664"/>
      <c r="S72" s="664"/>
      <c r="T72" s="664"/>
      <c r="U72" s="664"/>
      <c r="V72" s="664"/>
      <c r="W72" s="664"/>
      <c r="X72" s="664"/>
    </row>
    <row r="73" spans="3:24" ht="15" x14ac:dyDescent="0.25">
      <c r="C73" s="54" t="s">
        <v>2761</v>
      </c>
      <c r="D73">
        <v>1</v>
      </c>
      <c r="E73" s="52" t="e">
        <f ca="1">_xll.BTRCellAddress(E87)</f>
        <v>#NAME?</v>
      </c>
      <c r="F73" s="764"/>
      <c r="G73" s="664"/>
      <c r="H73" s="664"/>
      <c r="I73" s="664"/>
      <c r="J73" s="664"/>
      <c r="K73" s="664"/>
      <c r="L73" s="664"/>
      <c r="M73" s="664"/>
      <c r="N73" s="664"/>
      <c r="O73" s="664"/>
      <c r="P73" s="664"/>
      <c r="Q73" s="664"/>
      <c r="R73" s="664"/>
      <c r="S73" s="664"/>
      <c r="T73" s="664"/>
      <c r="U73" s="664"/>
      <c r="V73" s="664"/>
      <c r="W73" s="664"/>
      <c r="X73" s="664"/>
    </row>
    <row r="74" spans="3:24" ht="15" x14ac:dyDescent="0.25">
      <c r="C74" s="770" t="s">
        <v>2856</v>
      </c>
      <c r="D74" t="e">
        <f ca="1">_xll.BTRRowsToBottom(H56)</f>
        <v>#NAME?</v>
      </c>
      <c r="E74" s="52"/>
      <c r="F74" s="764"/>
      <c r="G74" s="664"/>
      <c r="H74" s="664"/>
      <c r="I74" s="664"/>
      <c r="J74" s="664"/>
      <c r="K74" s="664"/>
      <c r="L74" s="664"/>
      <c r="M74" s="664"/>
      <c r="N74" s="664"/>
      <c r="O74" s="664"/>
      <c r="P74" s="664"/>
      <c r="Q74" s="664"/>
      <c r="R74" s="664"/>
      <c r="S74" s="664"/>
      <c r="T74" s="664"/>
      <c r="U74" s="664"/>
      <c r="V74" s="664"/>
      <c r="W74" s="664"/>
      <c r="X74" s="664"/>
    </row>
    <row r="75" spans="3:24" ht="15" x14ac:dyDescent="0.25">
      <c r="C75" t="s">
        <v>2779</v>
      </c>
      <c r="D75" s="664"/>
      <c r="E75" s="664"/>
      <c r="F75" s="764"/>
      <c r="G75" s="664"/>
      <c r="H75" s="664"/>
      <c r="I75" s="664"/>
      <c r="J75" s="664"/>
      <c r="K75" s="664"/>
      <c r="L75" s="664"/>
      <c r="M75" s="664"/>
      <c r="N75" s="664"/>
      <c r="O75" s="664"/>
      <c r="P75" s="664"/>
      <c r="Q75" s="664"/>
      <c r="R75" s="664"/>
      <c r="S75" s="664"/>
      <c r="T75" s="664"/>
      <c r="U75" s="664"/>
      <c r="V75" s="664"/>
      <c r="W75" s="664"/>
      <c r="X75" s="664"/>
    </row>
    <row r="76" spans="3:24" ht="15" x14ac:dyDescent="0.25">
      <c r="C76" s="769" t="s">
        <v>2855</v>
      </c>
      <c r="D76" s="52"/>
      <c r="E76" s="52"/>
      <c r="G76" s="664"/>
      <c r="H76" s="664"/>
      <c r="I76" s="664"/>
      <c r="J76" s="664"/>
      <c r="K76" s="664"/>
      <c r="L76" s="664"/>
      <c r="M76" s="664"/>
      <c r="N76" s="664"/>
      <c r="O76" s="664"/>
      <c r="P76" s="664"/>
      <c r="Q76" s="664"/>
      <c r="R76" s="664"/>
      <c r="S76" s="664"/>
      <c r="T76" s="664"/>
      <c r="U76" s="664"/>
      <c r="V76" s="664"/>
      <c r="W76" s="664"/>
      <c r="X76" s="664"/>
    </row>
    <row r="77" spans="3:24" ht="15" x14ac:dyDescent="0.25">
      <c r="C77" s="766" t="s">
        <v>2761</v>
      </c>
      <c r="D77" s="52">
        <f ca="1">OFFSET(H56,E87,0)</f>
        <v>0</v>
      </c>
      <c r="E77" s="52" t="e">
        <f ca="1">E61</f>
        <v>#NAME?</v>
      </c>
      <c r="F77" s="764" t="s">
        <v>2907</v>
      </c>
      <c r="G77" s="664"/>
      <c r="H77" s="664"/>
      <c r="I77" s="664"/>
      <c r="J77" s="664"/>
      <c r="K77" s="664"/>
      <c r="L77" s="664"/>
      <c r="M77" s="664"/>
      <c r="N77" s="664"/>
      <c r="O77" s="664"/>
      <c r="P77" s="664"/>
      <c r="Q77" s="664"/>
      <c r="R77" s="664"/>
      <c r="S77" s="664"/>
      <c r="T77" s="664"/>
      <c r="U77" s="664"/>
      <c r="V77" s="664"/>
      <c r="W77" s="664"/>
      <c r="X77" s="664"/>
    </row>
    <row r="78" spans="3:24" ht="15" x14ac:dyDescent="0.25">
      <c r="C78" s="766" t="s">
        <v>2854</v>
      </c>
      <c r="D78">
        <v>0</v>
      </c>
      <c r="E78" t="s">
        <v>2874</v>
      </c>
      <c r="F78" s="764" t="s">
        <v>2910</v>
      </c>
      <c r="G78" s="664"/>
      <c r="H78" s="664"/>
      <c r="I78" s="664"/>
      <c r="J78" s="664"/>
      <c r="K78" s="664"/>
      <c r="L78" s="664"/>
      <c r="M78" s="664"/>
      <c r="N78" s="664"/>
      <c r="O78" s="664"/>
      <c r="P78" s="664"/>
      <c r="Q78" s="664"/>
      <c r="R78" s="664"/>
      <c r="S78" s="664"/>
      <c r="T78" s="664"/>
      <c r="U78" s="664"/>
      <c r="V78" s="664"/>
      <c r="W78" s="664"/>
      <c r="X78" s="664"/>
    </row>
    <row r="79" spans="3:24" ht="15" x14ac:dyDescent="0.25">
      <c r="C79" s="766" t="s">
        <v>2854</v>
      </c>
      <c r="D79" t="e">
        <f ca="1">_xll.BTRCellAddress(I46)</f>
        <v>#NAME?</v>
      </c>
      <c r="E79" t="s">
        <v>2872</v>
      </c>
      <c r="F79" s="764" t="s">
        <v>2911</v>
      </c>
      <c r="G79" s="664"/>
      <c r="H79" s="664"/>
      <c r="I79" s="664"/>
      <c r="J79" s="664"/>
      <c r="K79" s="664"/>
      <c r="L79" s="664"/>
      <c r="M79" s="664"/>
      <c r="N79" s="664"/>
      <c r="O79" s="664"/>
      <c r="P79" s="664"/>
      <c r="Q79" s="664"/>
      <c r="R79" s="664"/>
      <c r="S79" s="664"/>
      <c r="T79" s="664"/>
      <c r="U79" s="664"/>
      <c r="V79" s="664"/>
      <c r="W79" s="664"/>
      <c r="X79" s="664"/>
    </row>
    <row r="80" spans="3:24" ht="15" x14ac:dyDescent="0.25">
      <c r="C80" s="766" t="s">
        <v>2854</v>
      </c>
      <c r="D80" t="e">
        <f ca="1">_xll.BTRCellAddress(I43)</f>
        <v>#NAME?</v>
      </c>
      <c r="E80" t="s">
        <v>2873</v>
      </c>
      <c r="F80" s="764" t="s">
        <v>2853</v>
      </c>
      <c r="G80" s="664"/>
      <c r="H80" s="664"/>
      <c r="I80" s="664"/>
      <c r="J80" s="664"/>
      <c r="K80" s="664"/>
      <c r="L80" s="664"/>
      <c r="M80" s="664"/>
      <c r="N80" s="664"/>
      <c r="O80" s="664"/>
      <c r="P80" s="664"/>
      <c r="Q80" s="664"/>
      <c r="R80" s="664"/>
      <c r="S80" s="664"/>
      <c r="T80" s="664"/>
      <c r="U80" s="664"/>
      <c r="V80" s="664"/>
      <c r="W80" s="664"/>
      <c r="X80" s="664"/>
    </row>
    <row r="81" spans="3:24" ht="15" x14ac:dyDescent="0.25">
      <c r="C81" s="766" t="s">
        <v>2852</v>
      </c>
      <c r="D81" t="s">
        <v>2851</v>
      </c>
      <c r="F81" s="764" t="s">
        <v>2912</v>
      </c>
      <c r="G81" s="664"/>
      <c r="H81" s="664"/>
      <c r="I81" s="664"/>
      <c r="J81" s="664"/>
      <c r="K81" s="664"/>
      <c r="L81" s="664"/>
      <c r="M81" s="664"/>
      <c r="N81" s="664"/>
      <c r="O81" s="664"/>
      <c r="P81" s="664"/>
      <c r="Q81" s="664"/>
      <c r="R81" s="664"/>
      <c r="S81" s="664"/>
      <c r="T81" s="664"/>
      <c r="U81" s="664"/>
      <c r="V81" s="664"/>
      <c r="W81" s="664"/>
      <c r="X81" s="664"/>
    </row>
    <row r="82" spans="3:24" ht="15" x14ac:dyDescent="0.25">
      <c r="C82" s="766" t="s">
        <v>2766</v>
      </c>
      <c r="D82" s="52" t="e">
        <f ca="1">D80</f>
        <v>#NAME?</v>
      </c>
      <c r="E82" s="52" t="e">
        <f ca="1">_xll.BTRCellAddress(I56,E87,2)</f>
        <v>#NAME?</v>
      </c>
      <c r="F82" s="764" t="s">
        <v>2913</v>
      </c>
      <c r="G82" s="664"/>
      <c r="H82" s="664"/>
      <c r="I82" s="664"/>
      <c r="J82" s="664"/>
      <c r="K82" s="664"/>
      <c r="L82" s="664"/>
      <c r="M82" s="664"/>
      <c r="N82" s="664"/>
      <c r="O82" s="664"/>
      <c r="P82" s="664"/>
      <c r="Q82" s="664"/>
      <c r="R82" s="664"/>
      <c r="S82" s="664"/>
      <c r="T82" s="664"/>
      <c r="U82" s="664"/>
      <c r="V82" s="664"/>
      <c r="W82" s="664"/>
      <c r="X82" s="664"/>
    </row>
    <row r="83" spans="3:24" ht="15" x14ac:dyDescent="0.25">
      <c r="C83" s="766" t="s">
        <v>2779</v>
      </c>
      <c r="D83" s="52" t="b">
        <f>ROUND(I46,3)&lt;&gt;0</f>
        <v>0</v>
      </c>
      <c r="F83" s="764" t="s">
        <v>2850</v>
      </c>
      <c r="G83" s="664"/>
      <c r="H83" s="664"/>
      <c r="I83" s="664"/>
      <c r="J83" s="664"/>
      <c r="K83" s="664"/>
      <c r="L83" s="664"/>
      <c r="M83" s="664"/>
      <c r="N83" s="664"/>
      <c r="O83" s="664"/>
      <c r="P83" s="664"/>
      <c r="Q83" s="664"/>
      <c r="R83" s="664"/>
      <c r="S83" s="664"/>
      <c r="T83" s="664"/>
      <c r="U83" s="664"/>
      <c r="V83" s="664"/>
      <c r="W83" s="664"/>
      <c r="X83" s="664"/>
    </row>
    <row r="84" spans="3:24" ht="15" x14ac:dyDescent="0.25">
      <c r="C84" s="767" t="s">
        <v>2761</v>
      </c>
      <c r="D84" s="52" t="s">
        <v>2849</v>
      </c>
      <c r="E84" s="52" t="e">
        <f ca="1">_xll.BTRCellAddress(I56,E87,3)</f>
        <v>#NAME?</v>
      </c>
      <c r="F84" s="764"/>
      <c r="G84" s="664"/>
      <c r="H84" s="772" t="s">
        <v>2795</v>
      </c>
      <c r="I84" s="664"/>
      <c r="J84" s="664"/>
      <c r="K84" s="664"/>
      <c r="L84" s="664"/>
      <c r="M84" s="664"/>
      <c r="N84" s="664"/>
      <c r="O84" s="664"/>
      <c r="P84" s="664"/>
      <c r="Q84" s="664"/>
      <c r="R84" s="664"/>
      <c r="S84" s="664"/>
      <c r="T84" s="664"/>
      <c r="U84" s="664"/>
      <c r="V84" s="664"/>
      <c r="W84" s="664"/>
      <c r="X84" s="664"/>
    </row>
    <row r="85" spans="3:24" ht="15" x14ac:dyDescent="0.25">
      <c r="C85" s="766" t="s">
        <v>2848</v>
      </c>
      <c r="D85" s="52"/>
      <c r="E85" s="52"/>
      <c r="F85" s="764"/>
      <c r="G85" s="664"/>
      <c r="H85" s="664" t="s">
        <v>393</v>
      </c>
      <c r="I85" s="664" t="s">
        <v>2020</v>
      </c>
      <c r="J85" s="664" t="s">
        <v>203</v>
      </c>
      <c r="K85" s="664" t="s">
        <v>2797</v>
      </c>
      <c r="L85" s="664" t="s">
        <v>1712</v>
      </c>
      <c r="M85" s="664" t="s">
        <v>2798</v>
      </c>
      <c r="N85" s="664"/>
      <c r="O85" s="664"/>
      <c r="P85" s="664"/>
      <c r="Q85" s="664"/>
      <c r="R85" s="664"/>
      <c r="S85" s="664"/>
      <c r="T85" s="664"/>
      <c r="U85" s="664"/>
      <c r="V85" s="664"/>
      <c r="W85" s="664"/>
      <c r="X85" s="664"/>
    </row>
    <row r="86" spans="3:24" ht="15" x14ac:dyDescent="0.25">
      <c r="C86" s="766" t="s">
        <v>2761</v>
      </c>
      <c r="D86">
        <f>1+E87</f>
        <v>11</v>
      </c>
      <c r="E86" t="e">
        <f ca="1">_xll.BTRCellAddress(E87)</f>
        <v>#NAME?</v>
      </c>
      <c r="F86" s="764" t="s">
        <v>2847</v>
      </c>
      <c r="G86" s="664"/>
      <c r="H86" s="664">
        <v>1</v>
      </c>
      <c r="I86" s="664" t="s">
        <v>1844</v>
      </c>
      <c r="J86" s="664">
        <v>50000</v>
      </c>
      <c r="K86" s="664">
        <v>5</v>
      </c>
      <c r="L86">
        <v>4329.476670630821</v>
      </c>
      <c r="M86">
        <v>360.78972255256843</v>
      </c>
      <c r="N86" s="664"/>
      <c r="O86" s="664"/>
      <c r="P86" s="664"/>
      <c r="Q86" s="664"/>
      <c r="R86" s="664"/>
      <c r="S86" s="664"/>
      <c r="T86" s="664"/>
      <c r="U86" s="664"/>
      <c r="V86" s="664"/>
      <c r="W86" s="664"/>
      <c r="X86" s="664"/>
    </row>
    <row r="87" spans="3:24" x14ac:dyDescent="0.2">
      <c r="C87" t="s">
        <v>2786</v>
      </c>
      <c r="D87" s="52" t="e">
        <f ca="1">E87&lt;=D74</f>
        <v>#NAME?</v>
      </c>
      <c r="E87" s="52">
        <v>10</v>
      </c>
      <c r="G87" s="664"/>
      <c r="H87" s="664">
        <v>2</v>
      </c>
      <c r="I87" s="664" t="s">
        <v>1914</v>
      </c>
      <c r="J87" s="664">
        <v>60000</v>
      </c>
      <c r="K87" s="664">
        <v>6</v>
      </c>
      <c r="L87">
        <v>6234.4464057083824</v>
      </c>
      <c r="M87">
        <v>519.53720047569857</v>
      </c>
      <c r="N87" s="664"/>
      <c r="O87" s="664"/>
      <c r="P87" s="664"/>
      <c r="Q87" s="664"/>
      <c r="R87" s="664"/>
      <c r="S87" s="664"/>
      <c r="T87" s="664"/>
      <c r="U87" s="664"/>
      <c r="V87" s="664"/>
      <c r="W87" s="664"/>
      <c r="X87" s="664"/>
    </row>
    <row r="88" spans="3:24" ht="15" x14ac:dyDescent="0.25">
      <c r="D88" s="52"/>
      <c r="E88" s="52"/>
      <c r="F88" s="764"/>
      <c r="G88" s="664"/>
      <c r="H88" s="664">
        <v>3</v>
      </c>
      <c r="I88" s="664" t="s">
        <v>2802</v>
      </c>
      <c r="J88" s="664">
        <v>70000</v>
      </c>
      <c r="K88" s="664">
        <v>7</v>
      </c>
      <c r="L88">
        <v>8485.7742744364077</v>
      </c>
      <c r="M88">
        <v>707.14785620303394</v>
      </c>
      <c r="N88" s="664"/>
      <c r="O88" s="664"/>
      <c r="P88" s="664"/>
      <c r="Q88" s="664"/>
      <c r="R88" s="664"/>
      <c r="S88" s="664"/>
      <c r="T88" s="664"/>
      <c r="U88" s="664"/>
      <c r="V88" s="664"/>
      <c r="W88" s="664"/>
      <c r="X88" s="664"/>
    </row>
    <row r="89" spans="3:24" ht="15" x14ac:dyDescent="0.25">
      <c r="C89" s="763" t="s">
        <v>2846</v>
      </c>
      <c r="D89" s="52"/>
      <c r="E89" s="52"/>
      <c r="F89" s="764"/>
      <c r="G89" s="664"/>
      <c r="H89" s="664">
        <v>4</v>
      </c>
      <c r="I89" s="664" t="s">
        <v>2804</v>
      </c>
      <c r="J89" s="664">
        <v>80000</v>
      </c>
      <c r="K89" s="664">
        <v>8</v>
      </c>
      <c r="L89">
        <v>11083.460276814902</v>
      </c>
      <c r="M89">
        <v>923.62168973457517</v>
      </c>
      <c r="N89" s="664"/>
      <c r="O89" s="664"/>
      <c r="P89" s="664"/>
      <c r="Q89" s="664"/>
      <c r="R89" s="664"/>
      <c r="S89" s="664"/>
      <c r="T89" s="664"/>
      <c r="U89" s="664"/>
      <c r="V89" s="664"/>
      <c r="W89" s="664"/>
      <c r="X89" s="664"/>
    </row>
    <row r="90" spans="3:24" ht="15" x14ac:dyDescent="0.25">
      <c r="C90" t="s">
        <v>2758</v>
      </c>
      <c r="D90" s="664"/>
      <c r="E90" s="52" t="e">
        <f ca="1">_xll.BTRCellAddress(L86:M89)</f>
        <v>#NAME?</v>
      </c>
      <c r="F90" s="764"/>
      <c r="G90" s="664"/>
      <c r="H90" s="664"/>
      <c r="I90" s="664"/>
      <c r="J90" s="664"/>
      <c r="K90" s="664"/>
      <c r="N90" s="664"/>
      <c r="O90" s="664"/>
      <c r="P90" s="664"/>
      <c r="Q90" s="664"/>
      <c r="R90" s="664"/>
      <c r="S90" s="664"/>
      <c r="T90" s="664"/>
      <c r="U90" s="664"/>
      <c r="V90" s="664"/>
      <c r="W90" s="664"/>
      <c r="X90" s="664"/>
    </row>
    <row r="91" spans="3:24" ht="15" x14ac:dyDescent="0.25">
      <c r="C91" t="s">
        <v>2761</v>
      </c>
      <c r="D91" s="52">
        <v>1</v>
      </c>
      <c r="E91" s="52" t="e">
        <f ca="1">_xll.BTRCellAddress(E96)</f>
        <v>#NAME?</v>
      </c>
      <c r="F91" s="764" t="s">
        <v>2796</v>
      </c>
      <c r="G91" s="664"/>
      <c r="H91" s="782" t="s">
        <v>2805</v>
      </c>
      <c r="I91" s="664"/>
      <c r="J91" s="664"/>
      <c r="K91" s="664"/>
      <c r="L91" s="664"/>
      <c r="M91" s="664"/>
      <c r="N91" s="664"/>
      <c r="O91" s="664"/>
      <c r="P91" s="664"/>
      <c r="Q91" s="664"/>
      <c r="R91" s="664"/>
      <c r="S91" s="664"/>
      <c r="T91" s="664"/>
      <c r="U91" s="664"/>
      <c r="V91" s="664"/>
      <c r="W91" s="664"/>
      <c r="X91" s="664"/>
    </row>
    <row r="92" spans="3:24" x14ac:dyDescent="0.2">
      <c r="C92" t="s">
        <v>2779</v>
      </c>
      <c r="D92" s="664"/>
      <c r="E92" s="664"/>
      <c r="F92" s="664"/>
      <c r="G92" s="664"/>
      <c r="H92" s="664" t="s">
        <v>2806</v>
      </c>
      <c r="I92" s="664">
        <f>E96</f>
        <v>5</v>
      </c>
      <c r="J92" s="664"/>
      <c r="K92" s="664"/>
      <c r="L92" s="664"/>
      <c r="M92" s="664"/>
      <c r="N92" s="664"/>
      <c r="O92" s="664"/>
      <c r="P92" s="664"/>
      <c r="Q92" s="664"/>
      <c r="R92" s="664"/>
      <c r="S92" s="664"/>
      <c r="T92" s="664"/>
      <c r="U92" s="664"/>
      <c r="V92" s="664"/>
      <c r="W92" s="664"/>
      <c r="X92" s="664"/>
    </row>
    <row r="93" spans="3:24" ht="15" x14ac:dyDescent="0.25">
      <c r="C93" s="766" t="s">
        <v>2761</v>
      </c>
      <c r="D93" s="765">
        <f ca="1">I97</f>
        <v>0</v>
      </c>
      <c r="E93" s="52" t="e">
        <f ca="1">_xll.BTRCellAddress(L85,E96,0)</f>
        <v>#NAME?</v>
      </c>
      <c r="F93" s="764" t="s">
        <v>2800</v>
      </c>
      <c r="G93" s="664"/>
      <c r="H93" s="664" t="s">
        <v>2020</v>
      </c>
      <c r="I93" s="664">
        <f ca="1">OFFSET($I$85,$I$92,0)</f>
        <v>0</v>
      </c>
      <c r="J93" s="664"/>
      <c r="K93" s="664"/>
      <c r="L93" s="664"/>
      <c r="M93" s="664"/>
      <c r="N93" s="664"/>
      <c r="O93" s="664"/>
      <c r="P93" s="664"/>
      <c r="Q93" s="664"/>
      <c r="R93" s="664"/>
      <c r="S93" s="664"/>
      <c r="T93" s="664"/>
      <c r="U93" s="664"/>
      <c r="V93" s="664"/>
      <c r="W93" s="664"/>
      <c r="X93" s="664"/>
    </row>
    <row r="94" spans="3:24" ht="15" x14ac:dyDescent="0.25">
      <c r="C94" s="766" t="s">
        <v>2766</v>
      </c>
      <c r="D94" s="783" t="e">
        <f ca="1">_xll.BTRCellAddress(I98)</f>
        <v>#NAME?</v>
      </c>
      <c r="E94" s="52" t="e">
        <f ca="1">_xll.BTRCellAddress(L85,E96,1)</f>
        <v>#NAME?</v>
      </c>
      <c r="F94" s="764" t="s">
        <v>2801</v>
      </c>
      <c r="G94" s="664"/>
      <c r="H94" s="664" t="s">
        <v>203</v>
      </c>
      <c r="I94" s="664">
        <f ca="1">OFFSET($I$85,$I$92,1)</f>
        <v>0</v>
      </c>
      <c r="J94" s="664"/>
      <c r="K94" s="664"/>
      <c r="L94" s="664"/>
      <c r="M94" s="664"/>
      <c r="N94" s="664"/>
      <c r="O94" s="664"/>
      <c r="P94" s="664"/>
      <c r="Q94" s="664"/>
      <c r="R94" s="664"/>
      <c r="S94" s="664"/>
      <c r="T94" s="664"/>
      <c r="U94" s="664"/>
      <c r="V94" s="664"/>
      <c r="W94" s="664"/>
      <c r="X94" s="664"/>
    </row>
    <row r="95" spans="3:24" ht="15" x14ac:dyDescent="0.25">
      <c r="C95" s="766" t="s">
        <v>2761</v>
      </c>
      <c r="D95" s="52">
        <f>E96+1</f>
        <v>6</v>
      </c>
      <c r="E95" s="52" t="e">
        <f ca="1">_xll.BTRCellAddress(E96)</f>
        <v>#NAME?</v>
      </c>
      <c r="F95" s="764" t="s">
        <v>2803</v>
      </c>
      <c r="G95" s="664"/>
      <c r="H95" s="664" t="s">
        <v>2807</v>
      </c>
      <c r="I95" s="664">
        <f ca="1">OFFSET($I$85,$I$92,2)</f>
        <v>0</v>
      </c>
      <c r="J95" s="664"/>
      <c r="K95" s="664"/>
      <c r="L95" s="664"/>
      <c r="M95" s="664"/>
      <c r="N95" s="664"/>
      <c r="O95" s="664"/>
      <c r="P95" s="664"/>
      <c r="Q95" s="664"/>
      <c r="R95" s="664"/>
      <c r="S95" s="664"/>
      <c r="T95" s="664"/>
      <c r="U95" s="664"/>
      <c r="V95" s="664"/>
      <c r="W95" s="664"/>
      <c r="X95" s="664"/>
    </row>
    <row r="96" spans="3:24" ht="15" x14ac:dyDescent="0.25">
      <c r="C96" t="s">
        <v>2786</v>
      </c>
      <c r="D96" s="52" t="b">
        <f ca="1">LEN(I93)&gt;1</f>
        <v>0</v>
      </c>
      <c r="E96" s="52">
        <v>5</v>
      </c>
      <c r="F96" s="764" t="s">
        <v>2799</v>
      </c>
      <c r="G96" s="664"/>
      <c r="H96" s="664"/>
      <c r="I96" s="664"/>
      <c r="J96" s="664"/>
      <c r="K96" s="664"/>
      <c r="L96" s="664"/>
      <c r="M96" s="664"/>
      <c r="N96" s="664"/>
      <c r="O96" s="664"/>
      <c r="P96" s="664"/>
      <c r="Q96" s="664"/>
      <c r="R96" s="664"/>
      <c r="S96" s="664"/>
      <c r="T96" s="664"/>
      <c r="U96" s="664"/>
      <c r="V96" s="664"/>
      <c r="W96" s="664"/>
      <c r="X96" s="664"/>
    </row>
    <row r="97" spans="3:24" x14ac:dyDescent="0.2">
      <c r="C97" s="664"/>
      <c r="D97" s="664"/>
      <c r="E97" s="664"/>
      <c r="F97" s="664"/>
      <c r="G97" s="664"/>
      <c r="H97" s="664" t="s">
        <v>1712</v>
      </c>
      <c r="I97" s="784">
        <f ca="1">0.02*PV(0.05,5,-I94)/5*I95</f>
        <v>0</v>
      </c>
      <c r="J97" s="664"/>
      <c r="K97" s="664"/>
      <c r="L97" s="664"/>
      <c r="M97" s="664"/>
      <c r="N97" s="664"/>
      <c r="O97" s="664"/>
      <c r="P97" s="664"/>
      <c r="Q97" s="664"/>
      <c r="R97" s="664"/>
      <c r="S97" s="664"/>
      <c r="T97" s="664"/>
      <c r="U97" s="664"/>
      <c r="V97" s="664"/>
      <c r="W97" s="664"/>
      <c r="X97" s="664"/>
    </row>
    <row r="98" spans="3:24" ht="15" x14ac:dyDescent="0.25">
      <c r="C98" s="762" t="s">
        <v>2845</v>
      </c>
      <c r="D98" s="52"/>
      <c r="E98" s="52"/>
      <c r="F98" s="764"/>
      <c r="G98" s="664"/>
      <c r="H98" s="664" t="s">
        <v>2798</v>
      </c>
      <c r="I98" s="785">
        <f ca="1">I97/12</f>
        <v>0</v>
      </c>
      <c r="J98" s="664"/>
      <c r="K98" s="664"/>
      <c r="L98" s="664"/>
      <c r="M98" s="664"/>
      <c r="N98" s="664"/>
      <c r="O98" s="664"/>
      <c r="P98" s="664"/>
      <c r="Q98" s="664"/>
      <c r="R98" s="664"/>
      <c r="S98" s="664"/>
      <c r="T98" s="664"/>
      <c r="U98" s="664"/>
      <c r="V98" s="664"/>
      <c r="W98" s="664"/>
      <c r="X98" s="664"/>
    </row>
    <row r="99" spans="3:24" ht="15" x14ac:dyDescent="0.25">
      <c r="C99" t="s">
        <v>2837</v>
      </c>
      <c r="D99" s="52"/>
      <c r="E99" s="52" t="s">
        <v>2914</v>
      </c>
      <c r="F99" s="764" t="s">
        <v>2043</v>
      </c>
      <c r="G99" s="664"/>
      <c r="H99" s="664"/>
      <c r="I99" s="664"/>
      <c r="J99" s="664"/>
      <c r="K99" s="664"/>
      <c r="L99" s="664"/>
      <c r="M99" s="664"/>
      <c r="N99" s="664"/>
      <c r="O99" s="664"/>
      <c r="P99" s="664"/>
      <c r="Q99" s="664"/>
      <c r="R99" s="664"/>
      <c r="S99" s="664"/>
      <c r="T99" s="664"/>
      <c r="U99" s="664"/>
      <c r="V99" s="664"/>
      <c r="W99" s="664"/>
      <c r="X99" s="664"/>
    </row>
    <row r="100" spans="3:24" ht="15" x14ac:dyDescent="0.25">
      <c r="C100" s="766" t="s">
        <v>2844</v>
      </c>
      <c r="D100" s="52">
        <f>COUNTA(H101:H2111)</f>
        <v>1</v>
      </c>
      <c r="E100" s="52"/>
      <c r="F100" s="764"/>
      <c r="G100" s="664"/>
      <c r="H100" s="664"/>
      <c r="I100" s="664"/>
      <c r="J100" s="664"/>
      <c r="K100" s="664"/>
      <c r="L100" s="664"/>
      <c r="M100" s="664"/>
      <c r="N100" s="664"/>
      <c r="O100" s="664"/>
      <c r="P100" s="664"/>
      <c r="Q100" s="664"/>
      <c r="R100" s="664"/>
      <c r="S100" s="664"/>
      <c r="T100" s="664"/>
      <c r="U100" s="664"/>
      <c r="V100" s="664"/>
      <c r="W100" s="664"/>
      <c r="X100" s="664"/>
    </row>
    <row r="101" spans="3:24" ht="15" x14ac:dyDescent="0.25">
      <c r="C101" s="766" t="s">
        <v>2766</v>
      </c>
      <c r="D101" s="52" t="e">
        <f ca="1">_xll.BTRCellAddress(cStatus)</f>
        <v>#NAME?</v>
      </c>
      <c r="E101" s="52" t="e">
        <f ca="1">_xll.BTRCellAddress(cExecutionLog,D$100,1)</f>
        <v>#NAME?</v>
      </c>
      <c r="F101" s="764" t="s">
        <v>2842</v>
      </c>
      <c r="G101" s="664"/>
      <c r="H101" s="772" t="s">
        <v>2839</v>
      </c>
      <c r="I101" s="664"/>
      <c r="J101" s="664"/>
      <c r="K101" s="664"/>
      <c r="L101" s="664"/>
      <c r="M101" s="664"/>
      <c r="N101" s="664"/>
      <c r="O101" s="664"/>
      <c r="P101" s="664"/>
      <c r="Q101" s="664"/>
      <c r="R101" s="664"/>
      <c r="S101" s="664"/>
      <c r="T101" s="664"/>
      <c r="U101" s="664"/>
      <c r="V101" s="664"/>
      <c r="W101" s="664"/>
      <c r="X101" s="664"/>
    </row>
    <row r="102" spans="3:24" ht="15" x14ac:dyDescent="0.25">
      <c r="C102" s="766" t="s">
        <v>2761</v>
      </c>
      <c r="D102" s="768">
        <f ca="1">NOW()</f>
        <v>42583.932755555557</v>
      </c>
      <c r="E102" s="52" t="e">
        <f ca="1">_xll.BTRCellAddress(cExecutionLog,D$100,0)</f>
        <v>#NAME?</v>
      </c>
      <c r="F102" s="764" t="s">
        <v>2843</v>
      </c>
      <c r="G102" s="664"/>
      <c r="K102" s="664"/>
      <c r="L102" s="664"/>
      <c r="M102" s="664"/>
      <c r="N102" s="664"/>
      <c r="O102" s="664"/>
      <c r="P102" s="664"/>
      <c r="Q102" s="664"/>
      <c r="R102" s="664"/>
      <c r="S102" s="664"/>
      <c r="T102" s="664"/>
      <c r="U102" s="664"/>
      <c r="V102" s="664"/>
      <c r="W102" s="664"/>
      <c r="X102" s="664"/>
    </row>
    <row r="103" spans="3:24" ht="15" x14ac:dyDescent="0.25">
      <c r="C103" t="s">
        <v>2810</v>
      </c>
      <c r="D103" s="52"/>
      <c r="E103" s="52"/>
      <c r="F103" s="764"/>
      <c r="G103" s="664"/>
      <c r="K103" s="664"/>
      <c r="L103" s="664"/>
      <c r="M103" s="664"/>
      <c r="N103" s="664"/>
      <c r="O103" s="664"/>
      <c r="P103" s="664"/>
      <c r="Q103" s="664"/>
      <c r="R103" s="664"/>
      <c r="S103" s="664"/>
      <c r="T103" s="664"/>
      <c r="U103" s="664"/>
      <c r="V103" s="664"/>
      <c r="W103" s="664"/>
      <c r="X103" s="664"/>
    </row>
    <row r="104" spans="3:24" ht="15" x14ac:dyDescent="0.25">
      <c r="D104" s="52"/>
      <c r="E104" s="52"/>
      <c r="F104" s="764"/>
      <c r="G104" s="664"/>
      <c r="K104" s="664"/>
      <c r="L104" s="664"/>
      <c r="M104" s="664"/>
      <c r="N104" s="664"/>
      <c r="O104" s="664"/>
      <c r="P104" s="664"/>
      <c r="Q104" s="664"/>
      <c r="R104" s="664"/>
      <c r="S104" s="664"/>
      <c r="T104" s="664"/>
      <c r="U104" s="664"/>
      <c r="V104" s="664"/>
      <c r="W104" s="664"/>
      <c r="X104" s="664"/>
    </row>
    <row r="105" spans="3:24" ht="15" x14ac:dyDescent="0.25">
      <c r="C105" s="762" t="s">
        <v>2841</v>
      </c>
      <c r="D105" s="52"/>
      <c r="E105" s="52"/>
      <c r="F105" s="764"/>
      <c r="G105" s="664"/>
      <c r="K105" s="664"/>
      <c r="L105" s="664"/>
      <c r="M105" s="664"/>
      <c r="N105" s="664"/>
      <c r="O105" s="664"/>
      <c r="P105" s="664"/>
      <c r="Q105" s="664"/>
      <c r="R105" s="664"/>
      <c r="S105" s="664"/>
      <c r="T105" s="664"/>
      <c r="U105" s="664"/>
      <c r="V105" s="664"/>
      <c r="W105" s="664"/>
      <c r="X105" s="664"/>
    </row>
    <row r="106" spans="3:24" ht="15" x14ac:dyDescent="0.25">
      <c r="C106" t="s">
        <v>2837</v>
      </c>
      <c r="D106" s="52"/>
      <c r="E106" s="52"/>
      <c r="F106" s="764"/>
      <c r="G106" s="664"/>
      <c r="J106" s="664"/>
      <c r="K106" s="664"/>
      <c r="L106" s="664"/>
      <c r="M106" s="664"/>
      <c r="N106" s="664"/>
      <c r="O106" s="664"/>
      <c r="P106" s="664"/>
      <c r="Q106" s="664"/>
      <c r="R106" s="664"/>
      <c r="S106" s="664"/>
      <c r="T106" s="664"/>
      <c r="U106" s="664"/>
      <c r="V106" s="664"/>
      <c r="W106" s="664"/>
      <c r="X106" s="664"/>
    </row>
    <row r="107" spans="3:24" ht="15" x14ac:dyDescent="0.25">
      <c r="C107" s="736" t="s">
        <v>2921</v>
      </c>
      <c r="D107" s="53" t="e">
        <f ca="1">_xll.BTRRowsToBottom(cExecutionLog)</f>
        <v>#NAME?</v>
      </c>
      <c r="E107" s="52"/>
      <c r="F107" s="764"/>
      <c r="G107" s="664"/>
      <c r="J107" s="664"/>
      <c r="K107" s="664"/>
      <c r="L107" s="664"/>
      <c r="M107" s="664"/>
      <c r="N107" s="664"/>
      <c r="O107" s="664"/>
      <c r="P107" s="664"/>
      <c r="Q107" s="664"/>
      <c r="R107" s="664"/>
      <c r="S107" s="664"/>
      <c r="T107" s="664"/>
      <c r="U107" s="664"/>
      <c r="V107" s="664"/>
      <c r="W107" s="664"/>
      <c r="X107" s="664"/>
    </row>
    <row r="108" spans="3:24" ht="15" x14ac:dyDescent="0.25">
      <c r="C108" s="766" t="s">
        <v>2758</v>
      </c>
      <c r="E108" t="e">
        <f ca="1">_xll.BTRCellAddress(cExecutionLog,1,0,D107,2)</f>
        <v>#NAME?</v>
      </c>
      <c r="F108" s="764" t="s">
        <v>2840</v>
      </c>
      <c r="G108" s="664"/>
      <c r="J108" s="664"/>
      <c r="K108" s="664"/>
      <c r="L108" s="664"/>
      <c r="M108" s="664"/>
      <c r="N108" s="664"/>
      <c r="O108" s="664"/>
      <c r="P108" s="664"/>
      <c r="Q108" s="664"/>
      <c r="R108" s="664"/>
      <c r="S108" s="664"/>
      <c r="T108" s="664"/>
      <c r="U108" s="664"/>
      <c r="V108" s="664"/>
      <c r="W108" s="664"/>
      <c r="X108" s="664"/>
    </row>
    <row r="109" spans="3:24" ht="15" x14ac:dyDescent="0.25">
      <c r="C109" t="s">
        <v>2810</v>
      </c>
      <c r="D109" s="52"/>
      <c r="F109" s="764"/>
      <c r="G109" s="664"/>
      <c r="J109" s="664"/>
      <c r="K109" s="664"/>
      <c r="L109" s="664"/>
      <c r="M109" s="664"/>
      <c r="N109" s="664"/>
      <c r="O109" s="664"/>
      <c r="P109" s="664"/>
      <c r="Q109" s="664"/>
      <c r="R109" s="664"/>
      <c r="S109" s="664"/>
      <c r="T109" s="664"/>
      <c r="U109" s="664"/>
      <c r="V109" s="664"/>
      <c r="W109" s="664"/>
      <c r="X109" s="664"/>
    </row>
    <row r="110" spans="3:24" ht="15" x14ac:dyDescent="0.25">
      <c r="D110" s="52"/>
      <c r="E110" s="52"/>
      <c r="F110" s="764"/>
      <c r="G110" s="664"/>
      <c r="J110" s="664"/>
      <c r="K110" s="664"/>
      <c r="L110" s="664"/>
      <c r="M110" s="664"/>
      <c r="N110" s="664"/>
      <c r="O110" s="664"/>
      <c r="P110" s="664"/>
      <c r="Q110" s="664"/>
      <c r="R110" s="664"/>
      <c r="S110" s="664"/>
      <c r="T110" s="664"/>
      <c r="U110" s="664"/>
      <c r="V110" s="664"/>
      <c r="W110" s="664"/>
      <c r="X110" s="664"/>
    </row>
    <row r="111" spans="3:24" ht="15" x14ac:dyDescent="0.25">
      <c r="C111" s="763" t="s">
        <v>2838</v>
      </c>
      <c r="E111" s="52"/>
      <c r="F111" s="764"/>
      <c r="G111" s="664"/>
      <c r="J111" s="664"/>
      <c r="K111" s="664"/>
      <c r="L111" s="664"/>
      <c r="M111" s="664"/>
      <c r="N111" s="664"/>
      <c r="O111" s="664"/>
      <c r="P111" s="664"/>
      <c r="Q111" s="664"/>
      <c r="R111" s="664"/>
      <c r="S111" s="664"/>
      <c r="T111" s="664"/>
      <c r="U111" s="664"/>
      <c r="V111" s="664"/>
      <c r="W111" s="664"/>
      <c r="X111" s="664"/>
    </row>
    <row r="112" spans="3:24" ht="15" x14ac:dyDescent="0.25">
      <c r="C112" t="s">
        <v>2837</v>
      </c>
      <c r="D112" s="52"/>
      <c r="E112" s="52"/>
      <c r="F112" s="764" t="s">
        <v>2836</v>
      </c>
      <c r="G112" s="664"/>
      <c r="J112" s="664"/>
      <c r="K112" s="664"/>
      <c r="L112" s="664"/>
      <c r="M112" s="664"/>
      <c r="N112" s="664"/>
      <c r="O112" s="664"/>
      <c r="P112" s="664"/>
      <c r="Q112" s="664"/>
      <c r="R112" s="664"/>
      <c r="S112" s="664"/>
      <c r="T112" s="664"/>
      <c r="U112" s="664"/>
      <c r="V112" s="664"/>
      <c r="W112" s="664"/>
      <c r="X112" s="664"/>
    </row>
    <row r="113" spans="3:24" ht="15" x14ac:dyDescent="0.25">
      <c r="C113" s="766" t="s">
        <v>2835</v>
      </c>
      <c r="D113" s="52">
        <v>0</v>
      </c>
      <c r="E113" s="52"/>
      <c r="F113" s="764" t="s">
        <v>2834</v>
      </c>
      <c r="G113" s="664"/>
      <c r="J113" s="664"/>
      <c r="K113" s="664"/>
      <c r="L113" s="664"/>
      <c r="M113" s="664"/>
      <c r="N113" s="664"/>
      <c r="O113" s="664"/>
      <c r="P113" s="664"/>
      <c r="Q113" s="664"/>
      <c r="R113" s="664"/>
      <c r="S113" s="664"/>
      <c r="T113" s="664"/>
      <c r="U113" s="664"/>
      <c r="V113" s="664"/>
      <c r="W113" s="664"/>
      <c r="X113" s="664"/>
    </row>
    <row r="114" spans="3:24" ht="15" x14ac:dyDescent="0.25">
      <c r="C114" s="766" t="s">
        <v>2833</v>
      </c>
      <c r="D114" s="52" t="s">
        <v>2915</v>
      </c>
      <c r="E114" s="52"/>
      <c r="F114" s="764" t="s">
        <v>2832</v>
      </c>
      <c r="G114" s="664"/>
      <c r="J114" s="664"/>
      <c r="K114" s="664"/>
      <c r="L114" s="664"/>
      <c r="M114" s="664"/>
      <c r="N114" s="664"/>
      <c r="O114" s="664"/>
      <c r="P114" s="664"/>
      <c r="Q114" s="664"/>
      <c r="R114" s="664"/>
      <c r="S114" s="664"/>
      <c r="T114" s="664"/>
      <c r="U114" s="664"/>
      <c r="V114" s="664"/>
      <c r="W114" s="664"/>
      <c r="X114" s="664"/>
    </row>
    <row r="115" spans="3:24" ht="15" x14ac:dyDescent="0.25">
      <c r="C115" s="766" t="s">
        <v>2831</v>
      </c>
      <c r="D115" s="52" t="s">
        <v>2916</v>
      </c>
      <c r="E115" s="52"/>
      <c r="F115" s="764" t="s">
        <v>2830</v>
      </c>
      <c r="G115" s="664"/>
      <c r="J115" s="664"/>
      <c r="K115" s="664"/>
      <c r="L115" s="664"/>
      <c r="M115" s="664"/>
      <c r="N115" s="664"/>
      <c r="O115" s="664"/>
      <c r="P115" s="664"/>
      <c r="Q115" s="664"/>
      <c r="R115" s="664"/>
      <c r="S115" s="664"/>
      <c r="T115" s="664"/>
      <c r="U115" s="664"/>
      <c r="V115" s="664"/>
      <c r="W115" s="664"/>
      <c r="X115" s="664"/>
    </row>
    <row r="116" spans="3:24" ht="15" x14ac:dyDescent="0.25">
      <c r="C116" s="766" t="s">
        <v>2829</v>
      </c>
      <c r="D116" s="52">
        <v>625.62088240194134</v>
      </c>
      <c r="E116" s="52"/>
      <c r="F116" s="764" t="s">
        <v>2828</v>
      </c>
      <c r="G116" s="664"/>
      <c r="J116" s="664"/>
      <c r="K116" s="664"/>
      <c r="L116" s="664"/>
      <c r="M116" s="664"/>
      <c r="N116" s="664"/>
      <c r="O116" s="664"/>
      <c r="P116" s="664"/>
      <c r="Q116" s="664"/>
      <c r="R116" s="664"/>
      <c r="S116" s="664"/>
      <c r="T116" s="664"/>
      <c r="U116" s="664"/>
      <c r="V116" s="664"/>
      <c r="W116" s="664"/>
      <c r="X116" s="664"/>
    </row>
    <row r="117" spans="3:24" ht="15" x14ac:dyDescent="0.25">
      <c r="C117" s="766" t="s">
        <v>2827</v>
      </c>
      <c r="D117" s="52">
        <v>625.6208855449222</v>
      </c>
      <c r="E117" s="52"/>
      <c r="F117" s="764" t="s">
        <v>2826</v>
      </c>
      <c r="G117" s="664"/>
      <c r="J117" s="664"/>
      <c r="K117" s="664"/>
      <c r="L117" s="664"/>
      <c r="M117" s="664"/>
      <c r="N117" s="664"/>
      <c r="O117" s="664"/>
      <c r="P117" s="664"/>
      <c r="Q117" s="664"/>
      <c r="R117" s="664"/>
      <c r="S117" s="664"/>
      <c r="T117" s="664"/>
      <c r="U117" s="664"/>
      <c r="V117" s="664"/>
      <c r="W117" s="664"/>
      <c r="X117" s="664"/>
    </row>
    <row r="118" spans="3:24" ht="15" x14ac:dyDescent="0.25">
      <c r="C118" s="766" t="s">
        <v>2825</v>
      </c>
      <c r="D118" s="52" t="s">
        <v>2917</v>
      </c>
      <c r="E118" s="52"/>
      <c r="F118" s="764" t="s">
        <v>2824</v>
      </c>
      <c r="G118" s="664"/>
      <c r="J118" s="664"/>
      <c r="K118" s="664"/>
      <c r="L118" s="664"/>
      <c r="M118" s="664"/>
      <c r="N118" s="664"/>
      <c r="O118" s="664"/>
      <c r="P118" s="664"/>
      <c r="Q118" s="664"/>
      <c r="R118" s="664"/>
      <c r="S118" s="664"/>
      <c r="T118" s="664"/>
      <c r="U118" s="664"/>
      <c r="V118" s="664"/>
      <c r="W118" s="664"/>
      <c r="X118" s="664"/>
    </row>
    <row r="119" spans="3:24" ht="15" x14ac:dyDescent="0.25">
      <c r="C119" s="766" t="s">
        <v>2918</v>
      </c>
      <c r="D119" s="52">
        <v>35</v>
      </c>
      <c r="E119" s="52"/>
      <c r="F119" s="764"/>
      <c r="G119" s="664"/>
      <c r="J119" s="664"/>
      <c r="K119" s="664"/>
      <c r="L119" s="664"/>
      <c r="M119" s="664"/>
      <c r="N119" s="664"/>
      <c r="O119" s="664"/>
      <c r="P119" s="664"/>
      <c r="Q119" s="664"/>
      <c r="R119" s="664"/>
      <c r="S119" s="664"/>
      <c r="T119" s="664"/>
      <c r="U119" s="664"/>
      <c r="V119" s="664"/>
      <c r="W119" s="664"/>
      <c r="X119" s="664"/>
    </row>
    <row r="120" spans="3:24" ht="15" x14ac:dyDescent="0.25">
      <c r="C120" s="766" t="s">
        <v>2761</v>
      </c>
      <c r="D120" s="52" t="s">
        <v>2823</v>
      </c>
      <c r="E120" s="52" t="e">
        <f ca="1">_xll.BTRCellAddress( cStatus)</f>
        <v>#NAME?</v>
      </c>
      <c r="F120" s="764"/>
      <c r="G120" s="664"/>
      <c r="J120" s="664"/>
      <c r="K120" s="664"/>
      <c r="L120" s="664"/>
      <c r="M120" s="664"/>
      <c r="N120" s="664"/>
      <c r="O120" s="664"/>
      <c r="P120" s="664"/>
      <c r="Q120" s="664"/>
      <c r="R120" s="664"/>
      <c r="S120" s="664"/>
      <c r="T120" s="664"/>
      <c r="U120" s="664"/>
      <c r="V120" s="664"/>
      <c r="W120" s="664"/>
      <c r="X120" s="664"/>
    </row>
    <row r="121" spans="3:24" ht="15" x14ac:dyDescent="0.25">
      <c r="C121" s="766" t="s">
        <v>2812</v>
      </c>
      <c r="D121" s="52" t="e">
        <f ca="1">_xll.BTRCellAddress(fnLogStatus)</f>
        <v>#NAME?</v>
      </c>
      <c r="F121" s="764" t="s">
        <v>2892</v>
      </c>
      <c r="J121" s="664"/>
      <c r="K121" s="664"/>
      <c r="L121" s="664"/>
      <c r="M121" s="664"/>
      <c r="N121" s="664"/>
      <c r="O121" s="664"/>
      <c r="P121" s="664"/>
      <c r="Q121" s="664"/>
      <c r="R121" s="664"/>
      <c r="S121" s="664"/>
      <c r="T121" s="664"/>
      <c r="U121" s="664"/>
      <c r="V121" s="664"/>
      <c r="W121" s="664"/>
      <c r="X121" s="664"/>
    </row>
    <row r="122" spans="3:24" ht="15" x14ac:dyDescent="0.25">
      <c r="C122" s="766" t="s">
        <v>2761</v>
      </c>
      <c r="D122" s="52">
        <f>D116</f>
        <v>625.62088240194134</v>
      </c>
      <c r="E122" s="52" t="str">
        <f>D115</f>
        <v>Sheet3!$I$37</v>
      </c>
      <c r="F122" s="764" t="s">
        <v>2822</v>
      </c>
      <c r="G122" s="786"/>
      <c r="J122" s="664"/>
      <c r="K122" s="664"/>
      <c r="L122" s="664"/>
      <c r="M122" s="664"/>
      <c r="N122" s="664"/>
      <c r="O122" s="664"/>
      <c r="P122" s="664"/>
      <c r="Q122" s="664"/>
      <c r="R122" s="664"/>
      <c r="S122" s="664"/>
      <c r="T122" s="664"/>
      <c r="U122" s="664"/>
      <c r="V122" s="664"/>
      <c r="W122" s="664"/>
      <c r="X122" s="664"/>
    </row>
    <row r="123" spans="3:24" ht="15" x14ac:dyDescent="0.25">
      <c r="C123" s="766" t="s">
        <v>2766</v>
      </c>
      <c r="D123" s="52" t="str">
        <f>D114</f>
        <v>Sheet3!$I$40</v>
      </c>
      <c r="E123" s="52" t="e">
        <f ca="1">_xll.BTRCellAddress(D124)</f>
        <v>#NAME?</v>
      </c>
      <c r="F123" s="764"/>
      <c r="G123" s="786"/>
      <c r="J123" s="664"/>
      <c r="K123" s="664"/>
      <c r="L123" s="664"/>
      <c r="M123" s="664"/>
      <c r="N123" s="664"/>
      <c r="O123" s="664"/>
      <c r="P123" s="664"/>
      <c r="Q123" s="664"/>
      <c r="R123" s="664"/>
      <c r="S123" s="664"/>
      <c r="T123" s="664"/>
      <c r="U123" s="664"/>
      <c r="V123" s="664"/>
      <c r="W123" s="664"/>
      <c r="X123" s="664"/>
    </row>
    <row r="124" spans="3:24" ht="15" x14ac:dyDescent="0.25">
      <c r="C124" s="766" t="s">
        <v>2821</v>
      </c>
      <c r="D124" s="52">
        <v>13478.421399999999</v>
      </c>
      <c r="E124" s="52"/>
      <c r="F124" s="764" t="s">
        <v>2820</v>
      </c>
      <c r="G124" s="786"/>
      <c r="J124" s="664"/>
      <c r="K124" s="664"/>
      <c r="L124" s="664"/>
      <c r="M124" s="664"/>
      <c r="N124" s="664"/>
      <c r="O124" s="664"/>
      <c r="P124" s="664"/>
      <c r="Q124" s="664"/>
      <c r="R124" s="664"/>
      <c r="S124" s="664"/>
      <c r="T124" s="664"/>
      <c r="U124" s="664"/>
      <c r="V124" s="664"/>
      <c r="W124" s="664"/>
      <c r="X124" s="664"/>
    </row>
    <row r="125" spans="3:24" ht="15" x14ac:dyDescent="0.25">
      <c r="C125" s="766" t="s">
        <v>2761</v>
      </c>
      <c r="D125" s="52">
        <f>D117</f>
        <v>625.6208855449222</v>
      </c>
      <c r="E125" s="52" t="str">
        <f>E122</f>
        <v>Sheet3!$I$37</v>
      </c>
      <c r="F125" s="764"/>
      <c r="G125" s="664"/>
      <c r="J125" s="664"/>
      <c r="K125" s="664"/>
      <c r="L125" s="664"/>
      <c r="M125" s="664"/>
      <c r="N125" s="664"/>
      <c r="O125" s="664"/>
      <c r="P125" s="664"/>
      <c r="Q125" s="664"/>
      <c r="R125" s="664"/>
      <c r="S125" s="664"/>
      <c r="T125" s="664"/>
      <c r="U125" s="664"/>
      <c r="V125" s="664"/>
      <c r="W125" s="664"/>
      <c r="X125" s="664"/>
    </row>
    <row r="126" spans="3:24" ht="15" x14ac:dyDescent="0.25">
      <c r="C126" s="766" t="s">
        <v>2766</v>
      </c>
      <c r="D126" s="52" t="str">
        <f>D123</f>
        <v>Sheet3!$I$40</v>
      </c>
      <c r="E126" s="787" t="e">
        <f ca="1">_xll.BTRCellAddress(D127)</f>
        <v>#NAME?</v>
      </c>
      <c r="F126" s="788"/>
      <c r="G126" s="664"/>
      <c r="J126" s="664"/>
      <c r="K126" s="664"/>
      <c r="L126" s="664"/>
      <c r="M126" s="664"/>
      <c r="N126" s="664"/>
      <c r="O126" s="664"/>
      <c r="P126" s="664"/>
      <c r="Q126" s="664"/>
      <c r="R126" s="664"/>
      <c r="S126" s="664"/>
      <c r="T126" s="664"/>
      <c r="U126" s="664"/>
      <c r="V126" s="664"/>
      <c r="W126" s="664"/>
      <c r="X126" s="664"/>
    </row>
    <row r="127" spans="3:24" ht="15" x14ac:dyDescent="0.25">
      <c r="C127" s="766" t="s">
        <v>2819</v>
      </c>
      <c r="D127" s="52">
        <v>-277810.60840000003</v>
      </c>
      <c r="E127" s="787"/>
      <c r="F127" s="788" t="s">
        <v>2818</v>
      </c>
      <c r="G127" s="664"/>
      <c r="J127" s="664"/>
      <c r="K127" s="664"/>
      <c r="L127" s="664"/>
      <c r="M127" s="664"/>
      <c r="N127" s="664"/>
      <c r="O127" s="664"/>
      <c r="P127" s="664"/>
      <c r="Q127" s="664"/>
      <c r="R127" s="664"/>
      <c r="S127" s="664"/>
      <c r="T127" s="664"/>
      <c r="U127" s="664"/>
      <c r="V127" s="664"/>
      <c r="W127" s="664"/>
      <c r="X127" s="664"/>
    </row>
    <row r="128" spans="3:24" ht="15" x14ac:dyDescent="0.25">
      <c r="C128" s="766" t="s">
        <v>2817</v>
      </c>
      <c r="D128" s="52">
        <f>IF(D127&gt;D124,1,-1)</f>
        <v>-1</v>
      </c>
      <c r="E128" s="787"/>
      <c r="F128" s="788" t="s">
        <v>2816</v>
      </c>
      <c r="G128" s="664"/>
      <c r="J128" s="664"/>
      <c r="K128" s="664"/>
      <c r="L128" s="664"/>
      <c r="M128" s="664"/>
      <c r="N128" s="664"/>
      <c r="O128" s="664"/>
      <c r="P128" s="664"/>
      <c r="Q128" s="664"/>
      <c r="R128" s="664"/>
      <c r="S128" s="664"/>
      <c r="T128" s="664"/>
      <c r="U128" s="664"/>
      <c r="V128" s="664"/>
      <c r="W128" s="664"/>
      <c r="X128" s="664"/>
    </row>
    <row r="129" spans="3:24" ht="15" x14ac:dyDescent="0.25">
      <c r="C129" s="766" t="s">
        <v>2761</v>
      </c>
      <c r="D129" s="52">
        <v>1</v>
      </c>
      <c r="E129" s="787" t="e">
        <f ca="1">_xll.BTRCellAddress(E137)</f>
        <v>#NAME?</v>
      </c>
      <c r="F129" s="788" t="s">
        <v>2789</v>
      </c>
      <c r="G129" s="664"/>
      <c r="J129" s="664"/>
      <c r="K129" s="664"/>
      <c r="L129" s="664"/>
      <c r="M129" s="664"/>
      <c r="N129" s="664"/>
      <c r="O129" s="664"/>
      <c r="P129" s="664"/>
      <c r="Q129" s="664"/>
      <c r="R129" s="664"/>
      <c r="S129" s="664"/>
      <c r="T129" s="664"/>
      <c r="U129" s="664"/>
      <c r="V129" s="664"/>
      <c r="W129" s="664"/>
      <c r="X129" s="664"/>
    </row>
    <row r="130" spans="3:24" x14ac:dyDescent="0.2">
      <c r="C130" s="766" t="s">
        <v>2779</v>
      </c>
      <c r="E130" s="664"/>
      <c r="F130" s="664"/>
      <c r="G130" s="664"/>
      <c r="J130" s="664"/>
      <c r="K130" s="664"/>
      <c r="L130" s="664"/>
      <c r="M130" s="664"/>
      <c r="N130" s="664"/>
      <c r="O130" s="664"/>
      <c r="P130" s="664"/>
      <c r="Q130" s="664"/>
      <c r="R130" s="664"/>
      <c r="S130" s="664"/>
      <c r="T130" s="664"/>
      <c r="U130" s="664"/>
      <c r="V130" s="664"/>
      <c r="W130" s="664"/>
      <c r="X130" s="664"/>
    </row>
    <row r="131" spans="3:24" x14ac:dyDescent="0.2">
      <c r="C131" s="767" t="s">
        <v>2761</v>
      </c>
      <c r="D131" s="54" t="str">
        <f>"Goal Seek Iteration: "&amp;E137</f>
        <v>Goal Seek Iteration: 33</v>
      </c>
      <c r="E131" s="52" t="e">
        <f ca="1">_xll.BTRCellAddress(cStatus)</f>
        <v>#NAME?</v>
      </c>
      <c r="G131" s="664"/>
      <c r="J131" s="664"/>
      <c r="K131" s="664"/>
      <c r="L131" s="664"/>
      <c r="M131" s="664"/>
      <c r="N131" s="664"/>
      <c r="O131" s="664"/>
      <c r="P131" s="664"/>
      <c r="Q131" s="664"/>
      <c r="R131" s="664"/>
      <c r="S131" s="664"/>
      <c r="T131" s="664"/>
      <c r="U131" s="664"/>
      <c r="V131" s="664"/>
      <c r="W131" s="664"/>
      <c r="X131" s="664"/>
    </row>
    <row r="132" spans="3:24" ht="15" x14ac:dyDescent="0.25">
      <c r="C132" s="767" t="s">
        <v>2812</v>
      </c>
      <c r="D132" s="52" t="e">
        <f ca="1">_xll.BTRCellAddress(fnLogStatus)</f>
        <v>#NAME?</v>
      </c>
      <c r="F132" s="788" t="s">
        <v>2892</v>
      </c>
      <c r="G132" s="664"/>
      <c r="J132" s="664"/>
      <c r="K132" s="664"/>
      <c r="L132" s="664"/>
      <c r="M132" s="664"/>
      <c r="N132" s="664"/>
      <c r="O132" s="664"/>
      <c r="P132" s="664"/>
      <c r="Q132" s="664"/>
      <c r="R132" s="664"/>
      <c r="S132" s="664"/>
      <c r="T132" s="664"/>
      <c r="U132" s="664"/>
      <c r="V132" s="664"/>
      <c r="W132" s="664"/>
      <c r="X132" s="664"/>
    </row>
    <row r="133" spans="3:24" ht="15" x14ac:dyDescent="0.25">
      <c r="C133" s="767" t="s">
        <v>2761</v>
      </c>
      <c r="D133" s="52">
        <f>AVERAGE(D116:D117)</f>
        <v>625.62088397343177</v>
      </c>
      <c r="E133" s="52" t="str">
        <f>D115</f>
        <v>Sheet3!$I$37</v>
      </c>
      <c r="F133" s="764" t="s">
        <v>2815</v>
      </c>
      <c r="G133" s="664"/>
      <c r="J133" s="664"/>
      <c r="K133" s="664"/>
      <c r="L133" s="664"/>
      <c r="M133" s="664"/>
      <c r="N133" s="664"/>
      <c r="O133" s="664"/>
      <c r="P133" s="664"/>
      <c r="Q133" s="664"/>
      <c r="R133" s="664"/>
      <c r="S133" s="664"/>
      <c r="T133" s="664"/>
      <c r="U133" s="664"/>
      <c r="V133" s="664"/>
      <c r="W133" s="664"/>
      <c r="X133" s="664"/>
    </row>
    <row r="134" spans="3:24" ht="15" x14ac:dyDescent="0.25">
      <c r="C134" s="789" t="s">
        <v>2766</v>
      </c>
      <c r="D134" s="52" t="str">
        <f>D114</f>
        <v>Sheet3!$I$40</v>
      </c>
      <c r="E134" s="52" t="e">
        <f ca="1">_xll.BTRCellAddress(D135)</f>
        <v>#NAME?</v>
      </c>
      <c r="F134" s="764" t="s">
        <v>2814</v>
      </c>
      <c r="G134" s="664"/>
      <c r="J134" s="664"/>
      <c r="K134" s="664"/>
      <c r="L134" s="664"/>
      <c r="M134" s="664"/>
      <c r="N134" s="664"/>
      <c r="O134" s="664"/>
      <c r="P134" s="664"/>
      <c r="Q134" s="664"/>
      <c r="R134" s="664"/>
      <c r="S134" s="664"/>
      <c r="T134" s="664"/>
      <c r="U134" s="664"/>
      <c r="V134" s="664"/>
      <c r="W134" s="664"/>
      <c r="X134" s="664"/>
    </row>
    <row r="135" spans="3:24" ht="15" x14ac:dyDescent="0.25">
      <c r="C135" s="767" t="s">
        <v>2919</v>
      </c>
      <c r="D135" s="52">
        <v>0</v>
      </c>
      <c r="E135" s="52"/>
      <c r="F135" s="764"/>
      <c r="G135" s="664"/>
      <c r="J135" s="664"/>
      <c r="K135" s="664"/>
      <c r="L135" s="664"/>
      <c r="M135" s="664"/>
      <c r="N135" s="664"/>
      <c r="O135" s="664"/>
      <c r="P135" s="664"/>
      <c r="Q135" s="664"/>
      <c r="R135" s="664"/>
      <c r="S135" s="664"/>
      <c r="T135" s="664"/>
      <c r="U135" s="664"/>
      <c r="V135" s="664"/>
      <c r="W135" s="664"/>
      <c r="X135" s="664"/>
    </row>
    <row r="136" spans="3:24" ht="15" x14ac:dyDescent="0.25">
      <c r="C136" s="767" t="s">
        <v>2761</v>
      </c>
      <c r="D136" s="52">
        <f>D133</f>
        <v>625.62088397343177</v>
      </c>
      <c r="E136" s="52" t="e">
        <f ca="1">IF(D135*D128&gt;D113*D128,_xll.BTRCellAddress(D117),_xll.BTRCellAddress(D116))</f>
        <v>#NAME?</v>
      </c>
      <c r="F136" s="764" t="s">
        <v>2811</v>
      </c>
      <c r="G136" s="664"/>
      <c r="J136" s="664"/>
      <c r="K136" s="664"/>
      <c r="L136" s="664"/>
      <c r="M136" s="664"/>
      <c r="N136" s="664"/>
      <c r="O136" s="664"/>
      <c r="P136" s="664"/>
      <c r="Q136" s="664"/>
      <c r="R136" s="664"/>
      <c r="S136" s="664"/>
      <c r="T136" s="664"/>
      <c r="U136" s="664"/>
      <c r="V136" s="664"/>
      <c r="W136" s="664"/>
      <c r="X136" s="664"/>
    </row>
    <row r="137" spans="3:24" ht="15" x14ac:dyDescent="0.25">
      <c r="C137" s="767" t="s">
        <v>2808</v>
      </c>
      <c r="D137" s="52" t="b">
        <f>E137&gt;D119</f>
        <v>0</v>
      </c>
      <c r="E137" s="52">
        <v>33</v>
      </c>
      <c r="F137" s="764" t="str">
        <f>"Iteration Count; break if greater than "&amp;D119</f>
        <v>Iteration Count; break if greater than 35</v>
      </c>
      <c r="G137" s="664"/>
      <c r="J137" s="664"/>
      <c r="K137" s="664"/>
      <c r="L137" s="664"/>
      <c r="M137" s="664"/>
      <c r="N137" s="664"/>
      <c r="O137" s="664"/>
      <c r="P137" s="664"/>
      <c r="Q137" s="664"/>
      <c r="R137" s="664"/>
      <c r="S137" s="664"/>
      <c r="T137" s="664"/>
      <c r="U137" s="664"/>
      <c r="V137" s="664"/>
      <c r="W137" s="664"/>
      <c r="X137" s="664"/>
    </row>
    <row r="138" spans="3:24" ht="15" x14ac:dyDescent="0.25">
      <c r="C138" s="767" t="s">
        <v>2761</v>
      </c>
      <c r="D138" s="52">
        <f>E137+1</f>
        <v>34</v>
      </c>
      <c r="E138" s="52" t="e">
        <f ca="1">_xll.BTRCellAddress(E137)</f>
        <v>#NAME?</v>
      </c>
      <c r="F138" s="764" t="s">
        <v>2794</v>
      </c>
      <c r="G138" s="664"/>
      <c r="J138" s="664"/>
      <c r="K138" s="664"/>
      <c r="L138" s="664"/>
      <c r="M138" s="664"/>
      <c r="N138" s="664"/>
      <c r="O138" s="664"/>
      <c r="P138" s="664"/>
      <c r="Q138" s="664"/>
      <c r="R138" s="664"/>
      <c r="S138" s="664"/>
      <c r="T138" s="664"/>
      <c r="U138" s="664"/>
      <c r="V138" s="664"/>
      <c r="W138" s="664"/>
      <c r="X138" s="664"/>
    </row>
    <row r="139" spans="3:24" ht="15" x14ac:dyDescent="0.25">
      <c r="C139" s="766" t="s">
        <v>2786</v>
      </c>
      <c r="D139" s="52" t="b">
        <f>E139&lt;&gt;0</f>
        <v>0</v>
      </c>
      <c r="E139" s="52">
        <f>D135-D113</f>
        <v>0</v>
      </c>
      <c r="F139" s="764" t="s">
        <v>2813</v>
      </c>
      <c r="G139" s="664"/>
      <c r="J139" s="664"/>
      <c r="K139" s="664"/>
      <c r="L139" s="664"/>
      <c r="M139" s="664"/>
      <c r="N139" s="664"/>
      <c r="O139" s="664"/>
      <c r="P139" s="664"/>
      <c r="Q139" s="664"/>
      <c r="R139" s="664"/>
      <c r="S139" s="664"/>
      <c r="T139" s="664"/>
      <c r="U139" s="664"/>
      <c r="V139" s="664"/>
      <c r="W139" s="664"/>
      <c r="X139" s="664"/>
    </row>
    <row r="140" spans="3:24" ht="15" x14ac:dyDescent="0.25">
      <c r="C140" s="766" t="s">
        <v>2761</v>
      </c>
      <c r="D140" s="790">
        <f>D136</f>
        <v>625.62088397343177</v>
      </c>
      <c r="E140" s="52" t="str">
        <f>D118</f>
        <v>Sheet3!$I$59</v>
      </c>
      <c r="F140" s="764" t="s">
        <v>2920</v>
      </c>
      <c r="G140" s="664"/>
      <c r="J140" s="664"/>
      <c r="K140" s="664"/>
      <c r="L140" s="664"/>
      <c r="M140" s="664"/>
      <c r="N140" s="664"/>
      <c r="O140" s="664"/>
      <c r="P140" s="664"/>
      <c r="Q140" s="664"/>
      <c r="R140" s="664"/>
      <c r="S140" s="664"/>
      <c r="T140" s="664"/>
      <c r="U140" s="664"/>
      <c r="V140" s="664"/>
      <c r="W140" s="664"/>
      <c r="X140" s="664"/>
    </row>
    <row r="141" spans="3:24" ht="15" x14ac:dyDescent="0.25">
      <c r="C141" s="54" t="s">
        <v>2810</v>
      </c>
      <c r="D141" s="52"/>
      <c r="E141" s="52"/>
      <c r="F141" s="764"/>
    </row>
  </sheetData>
  <pageMargins left="0.7" right="0.7" top="0.75" bottom="0.75" header="0.3" footer="0.3"/>
  <pageSetup paperSize="0"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ocsExportSamples"/>
  <dimension ref="A1:J64"/>
  <sheetViews>
    <sheetView workbookViewId="0"/>
  </sheetViews>
  <sheetFormatPr defaultRowHeight="12.75" x14ac:dyDescent="0.2"/>
  <cols>
    <col min="1" max="1" width="31.28515625" customWidth="1"/>
    <col min="2" max="2" width="20.28515625" bestFit="1" customWidth="1"/>
    <col min="3" max="3" width="22.42578125" bestFit="1" customWidth="1"/>
    <col min="4" max="4" width="23.42578125" bestFit="1" customWidth="1"/>
    <col min="5" max="5" width="25.140625" bestFit="1" customWidth="1"/>
    <col min="6" max="7" width="33.140625" bestFit="1" customWidth="1"/>
    <col min="8" max="8" width="37" bestFit="1" customWidth="1"/>
    <col min="9" max="9" width="15.7109375" bestFit="1" customWidth="1"/>
    <col min="10" max="10" width="15" bestFit="1" customWidth="1"/>
    <col min="11" max="11" width="22.140625" bestFit="1" customWidth="1"/>
    <col min="12" max="12" width="30.7109375" bestFit="1" customWidth="1"/>
    <col min="13" max="13" width="17.28515625" bestFit="1" customWidth="1"/>
    <col min="14" max="14" width="30.7109375" bestFit="1" customWidth="1"/>
    <col min="15" max="15" width="34" bestFit="1" customWidth="1"/>
    <col min="16" max="16" width="20.28515625" bestFit="1" customWidth="1"/>
    <col min="17" max="17" width="22.42578125" bestFit="1" customWidth="1"/>
    <col min="18" max="18" width="23.42578125" bestFit="1" customWidth="1"/>
    <col min="19" max="19" width="25.140625" bestFit="1" customWidth="1"/>
    <col min="20" max="20" width="13.5703125" bestFit="1" customWidth="1"/>
    <col min="21" max="22" width="33.140625" bestFit="1" customWidth="1"/>
    <col min="23" max="23" width="37" bestFit="1" customWidth="1"/>
    <col min="24" max="24" width="15.7109375" bestFit="1" customWidth="1"/>
    <col min="25" max="25" width="15" bestFit="1" customWidth="1"/>
  </cols>
  <sheetData>
    <row r="1" spans="1:6" s="3" customFormat="1" x14ac:dyDescent="0.2">
      <c r="A1" s="27" t="s">
        <v>396</v>
      </c>
    </row>
    <row r="2" spans="1:6" x14ac:dyDescent="0.2">
      <c r="A2" t="s">
        <v>397</v>
      </c>
      <c r="B2" t="s">
        <v>118</v>
      </c>
      <c r="C2" t="s">
        <v>398</v>
      </c>
    </row>
    <row r="3" spans="1:6" x14ac:dyDescent="0.2">
      <c r="A3" t="s">
        <v>399</v>
      </c>
      <c r="B3" t="s">
        <v>1899</v>
      </c>
      <c r="C3" t="b">
        <v>0</v>
      </c>
    </row>
    <row r="4" spans="1:6" x14ac:dyDescent="0.2">
      <c r="A4" t="s">
        <v>399</v>
      </c>
      <c r="B4" t="s">
        <v>1900</v>
      </c>
      <c r="C4" t="b">
        <v>0</v>
      </c>
    </row>
    <row r="5" spans="1:6" x14ac:dyDescent="0.2">
      <c r="A5" t="s">
        <v>399</v>
      </c>
      <c r="B5" t="s">
        <v>1901</v>
      </c>
      <c r="C5" t="b">
        <v>0</v>
      </c>
    </row>
    <row r="6" spans="1:6" x14ac:dyDescent="0.2">
      <c r="A6" t="s">
        <v>399</v>
      </c>
      <c r="B6" t="s">
        <v>1902</v>
      </c>
      <c r="C6" t="b">
        <v>0</v>
      </c>
    </row>
    <row r="7" spans="1:6" x14ac:dyDescent="0.2">
      <c r="A7" t="s">
        <v>399</v>
      </c>
      <c r="B7" t="s">
        <v>1903</v>
      </c>
      <c r="C7" t="b">
        <v>0</v>
      </c>
    </row>
    <row r="8" spans="1:6" x14ac:dyDescent="0.2">
      <c r="A8" t="s">
        <v>399</v>
      </c>
      <c r="B8" t="s">
        <v>1904</v>
      </c>
      <c r="C8" t="b">
        <v>1</v>
      </c>
    </row>
    <row r="9" spans="1:6" x14ac:dyDescent="0.2">
      <c r="A9" t="s">
        <v>399</v>
      </c>
      <c r="B9" t="s">
        <v>1905</v>
      </c>
      <c r="C9" t="b">
        <v>1</v>
      </c>
    </row>
    <row r="10" spans="1:6" x14ac:dyDescent="0.2">
      <c r="A10" t="s">
        <v>399</v>
      </c>
      <c r="B10" s="29" t="s">
        <v>2483</v>
      </c>
      <c r="C10" t="b">
        <v>1</v>
      </c>
    </row>
    <row r="12" spans="1:6" s="3" customFormat="1" x14ac:dyDescent="0.2">
      <c r="A12" s="27" t="s">
        <v>1906</v>
      </c>
    </row>
    <row r="13" spans="1:6" x14ac:dyDescent="0.2">
      <c r="A13" t="s">
        <v>1504</v>
      </c>
      <c r="B13" t="s">
        <v>342</v>
      </c>
      <c r="C13" t="s">
        <v>344</v>
      </c>
      <c r="D13" t="s">
        <v>1907</v>
      </c>
      <c r="E13" t="s">
        <v>1908</v>
      </c>
      <c r="F13" t="s">
        <v>1909</v>
      </c>
    </row>
    <row r="14" spans="1:6" x14ac:dyDescent="0.2">
      <c r="A14">
        <v>999999991</v>
      </c>
      <c r="B14" t="s">
        <v>1843</v>
      </c>
      <c r="C14" t="s">
        <v>1910</v>
      </c>
      <c r="D14" t="s">
        <v>1911</v>
      </c>
      <c r="E14" s="234">
        <v>2000</v>
      </c>
      <c r="F14">
        <v>50000.123399999997</v>
      </c>
    </row>
    <row r="15" spans="1:6" x14ac:dyDescent="0.2">
      <c r="A15">
        <v>999999995</v>
      </c>
      <c r="B15" t="s">
        <v>1843</v>
      </c>
      <c r="C15" t="s">
        <v>1912</v>
      </c>
      <c r="D15" t="s">
        <v>1911</v>
      </c>
      <c r="E15" s="234">
        <v>1900</v>
      </c>
      <c r="F15">
        <v>60000</v>
      </c>
    </row>
    <row r="16" spans="1:6" x14ac:dyDescent="0.2">
      <c r="A16">
        <v>999999992</v>
      </c>
      <c r="B16" t="s">
        <v>1843</v>
      </c>
      <c r="C16" t="s">
        <v>1913</v>
      </c>
      <c r="D16" t="s">
        <v>1911</v>
      </c>
      <c r="E16" s="234">
        <v>1800</v>
      </c>
      <c r="F16">
        <v>70000</v>
      </c>
    </row>
    <row r="17" spans="1:8" x14ac:dyDescent="0.2">
      <c r="A17">
        <v>999999993</v>
      </c>
      <c r="B17" t="s">
        <v>1843</v>
      </c>
      <c r="C17" t="s">
        <v>1914</v>
      </c>
      <c r="D17" t="s">
        <v>1911</v>
      </c>
      <c r="E17" s="234">
        <v>1700</v>
      </c>
      <c r="F17">
        <v>80000</v>
      </c>
    </row>
    <row r="18" spans="1:8" x14ac:dyDescent="0.2">
      <c r="A18">
        <v>999999994</v>
      </c>
      <c r="B18" t="s">
        <v>1843</v>
      </c>
      <c r="C18" t="s">
        <v>1915</v>
      </c>
      <c r="D18" t="s">
        <v>1911</v>
      </c>
      <c r="E18" s="234">
        <v>1600</v>
      </c>
      <c r="F18">
        <v>90000</v>
      </c>
    </row>
    <row r="20" spans="1:8" s="3" customFormat="1" x14ac:dyDescent="0.2">
      <c r="A20" s="27" t="s">
        <v>1916</v>
      </c>
    </row>
    <row r="21" spans="1:8" x14ac:dyDescent="0.2">
      <c r="A21" t="s">
        <v>1504</v>
      </c>
      <c r="B21" t="s">
        <v>1917</v>
      </c>
      <c r="C21" t="s">
        <v>1918</v>
      </c>
      <c r="D21" t="s">
        <v>1919</v>
      </c>
      <c r="E21" t="s">
        <v>1920</v>
      </c>
      <c r="F21" t="s">
        <v>601</v>
      </c>
      <c r="G21" t="s">
        <v>602</v>
      </c>
      <c r="H21" t="s">
        <v>603</v>
      </c>
    </row>
    <row r="22" spans="1:8" x14ac:dyDescent="0.2">
      <c r="A22">
        <v>999999991</v>
      </c>
      <c r="B22">
        <v>2009</v>
      </c>
      <c r="C22" s="234">
        <v>1900</v>
      </c>
      <c r="D22" s="234">
        <v>40000</v>
      </c>
      <c r="E22">
        <v>2010</v>
      </c>
      <c r="F22" s="234">
        <v>2000</v>
      </c>
      <c r="G22">
        <v>50000</v>
      </c>
      <c r="H22">
        <v>1</v>
      </c>
    </row>
    <row r="23" spans="1:8" x14ac:dyDescent="0.2">
      <c r="A23">
        <v>999999995</v>
      </c>
      <c r="B23">
        <v>2009</v>
      </c>
      <c r="C23" s="234">
        <v>1800</v>
      </c>
      <c r="D23" s="234">
        <v>50000</v>
      </c>
      <c r="E23">
        <v>2010</v>
      </c>
      <c r="F23" s="234">
        <v>1900</v>
      </c>
      <c r="G23">
        <v>60000</v>
      </c>
      <c r="H23">
        <v>1</v>
      </c>
    </row>
    <row r="24" spans="1:8" x14ac:dyDescent="0.2">
      <c r="A24">
        <v>999999992</v>
      </c>
      <c r="B24">
        <v>2009</v>
      </c>
      <c r="C24" s="234">
        <v>1700</v>
      </c>
      <c r="D24" s="234">
        <v>60000</v>
      </c>
      <c r="E24">
        <v>2010</v>
      </c>
      <c r="F24" s="234">
        <v>1800</v>
      </c>
      <c r="G24">
        <v>70000</v>
      </c>
      <c r="H24">
        <v>1</v>
      </c>
    </row>
    <row r="25" spans="1:8" x14ac:dyDescent="0.2">
      <c r="A25">
        <v>999999993</v>
      </c>
      <c r="B25">
        <v>2009</v>
      </c>
      <c r="C25" s="234">
        <v>1600</v>
      </c>
      <c r="D25" s="234">
        <v>70000</v>
      </c>
      <c r="E25">
        <v>2010</v>
      </c>
      <c r="F25" s="234">
        <v>1700</v>
      </c>
      <c r="G25">
        <v>80000</v>
      </c>
      <c r="H25">
        <v>1</v>
      </c>
    </row>
    <row r="26" spans="1:8" x14ac:dyDescent="0.2">
      <c r="A26">
        <v>999999994</v>
      </c>
      <c r="B26">
        <v>2009</v>
      </c>
      <c r="C26" s="234">
        <v>1500</v>
      </c>
      <c r="D26" s="234">
        <v>80000</v>
      </c>
      <c r="E26">
        <v>2010</v>
      </c>
      <c r="F26" s="234">
        <v>1600</v>
      </c>
      <c r="G26">
        <v>90000</v>
      </c>
      <c r="H26">
        <v>0</v>
      </c>
    </row>
    <row r="28" spans="1:8" s="3" customFormat="1" x14ac:dyDescent="0.2">
      <c r="A28" s="27" t="s">
        <v>604</v>
      </c>
    </row>
    <row r="29" spans="1:8" x14ac:dyDescent="0.2">
      <c r="A29" t="s">
        <v>1504</v>
      </c>
      <c r="B29" t="s">
        <v>400</v>
      </c>
      <c r="C29" t="s">
        <v>401</v>
      </c>
      <c r="D29" t="s">
        <v>402</v>
      </c>
      <c r="E29" t="s">
        <v>403</v>
      </c>
      <c r="F29" t="s">
        <v>1793</v>
      </c>
      <c r="G29" t="s">
        <v>1794</v>
      </c>
    </row>
    <row r="30" spans="1:8" x14ac:dyDescent="0.2">
      <c r="A30">
        <v>999999991</v>
      </c>
      <c r="B30">
        <v>1</v>
      </c>
      <c r="C30">
        <v>42000</v>
      </c>
      <c r="D30">
        <v>4000</v>
      </c>
      <c r="E30">
        <v>39000</v>
      </c>
      <c r="F30">
        <v>45862.21</v>
      </c>
      <c r="G30">
        <v>45862.21</v>
      </c>
    </row>
    <row r="31" spans="1:8" x14ac:dyDescent="0.2">
      <c r="A31">
        <v>999999995</v>
      </c>
    </row>
    <row r="32" spans="1:8" x14ac:dyDescent="0.2">
      <c r="A32">
        <v>999999992</v>
      </c>
      <c r="C32">
        <v>54000</v>
      </c>
      <c r="D32">
        <v>5000</v>
      </c>
      <c r="E32">
        <v>51000</v>
      </c>
      <c r="F32">
        <v>28456.94</v>
      </c>
      <c r="G32">
        <v>28456.94</v>
      </c>
    </row>
    <row r="33" spans="1:10" x14ac:dyDescent="0.2">
      <c r="A33">
        <v>999999993</v>
      </c>
    </row>
    <row r="34" spans="1:10" x14ac:dyDescent="0.2">
      <c r="A34">
        <v>999999994</v>
      </c>
    </row>
    <row r="36" spans="1:10" s="3" customFormat="1" x14ac:dyDescent="0.2">
      <c r="A36" s="27" t="s">
        <v>605</v>
      </c>
    </row>
    <row r="37" spans="1:10" x14ac:dyDescent="0.2">
      <c r="A37" t="s">
        <v>1504</v>
      </c>
      <c r="B37" t="s">
        <v>606</v>
      </c>
      <c r="C37" t="s">
        <v>607</v>
      </c>
      <c r="D37" t="s">
        <v>608</v>
      </c>
      <c r="E37" t="s">
        <v>609</v>
      </c>
      <c r="F37" t="s">
        <v>610</v>
      </c>
    </row>
    <row r="38" spans="1:10" x14ac:dyDescent="0.2">
      <c r="A38">
        <v>999999991</v>
      </c>
      <c r="C38" t="s">
        <v>1795</v>
      </c>
      <c r="D38" s="234">
        <v>1</v>
      </c>
      <c r="E38" s="234">
        <v>1</v>
      </c>
      <c r="F38" s="44">
        <v>130</v>
      </c>
      <c r="G38" s="44"/>
      <c r="J38" s="44"/>
    </row>
    <row r="39" spans="1:10" x14ac:dyDescent="0.2">
      <c r="A39">
        <v>111111111</v>
      </c>
      <c r="B39">
        <v>1</v>
      </c>
    </row>
    <row r="41" spans="1:10" s="3" customFormat="1" x14ac:dyDescent="0.2">
      <c r="A41" s="27" t="s">
        <v>1923</v>
      </c>
    </row>
    <row r="42" spans="1:10" x14ac:dyDescent="0.2">
      <c r="A42" t="s">
        <v>1504</v>
      </c>
      <c r="B42" t="s">
        <v>1924</v>
      </c>
      <c r="C42" t="s">
        <v>1925</v>
      </c>
    </row>
    <row r="43" spans="1:10" x14ac:dyDescent="0.2">
      <c r="A43">
        <v>999999991</v>
      </c>
      <c r="B43" s="44">
        <v>36289</v>
      </c>
      <c r="C43">
        <v>1</v>
      </c>
      <c r="E43" s="44"/>
    </row>
    <row r="45" spans="1:10" s="3" customFormat="1" x14ac:dyDescent="0.2">
      <c r="A45" s="27" t="s">
        <v>1926</v>
      </c>
    </row>
    <row r="46" spans="1:10" x14ac:dyDescent="0.2">
      <c r="A46" t="s">
        <v>1927</v>
      </c>
      <c r="B46" t="s">
        <v>267</v>
      </c>
      <c r="C46" t="s">
        <v>1796</v>
      </c>
      <c r="D46" t="s">
        <v>1797</v>
      </c>
    </row>
    <row r="47" spans="1:10" x14ac:dyDescent="0.2">
      <c r="A47">
        <v>999999991</v>
      </c>
      <c r="B47" s="44">
        <v>38481</v>
      </c>
      <c r="C47" s="44">
        <v>37750</v>
      </c>
      <c r="D47">
        <v>231</v>
      </c>
      <c r="F47" s="56"/>
      <c r="G47" s="44"/>
    </row>
    <row r="48" spans="1:10" x14ac:dyDescent="0.2">
      <c r="A48">
        <v>999999995</v>
      </c>
      <c r="B48" s="44">
        <v>38846</v>
      </c>
      <c r="C48" s="44"/>
      <c r="F48" s="56"/>
      <c r="G48" s="44"/>
    </row>
    <row r="49" spans="1:10" x14ac:dyDescent="0.2">
      <c r="A49">
        <v>999999992</v>
      </c>
      <c r="B49" s="44">
        <v>38481</v>
      </c>
      <c r="C49" s="44">
        <v>38119</v>
      </c>
      <c r="D49">
        <v>4003</v>
      </c>
      <c r="F49" s="56"/>
      <c r="G49" s="44"/>
    </row>
    <row r="50" spans="1:10" x14ac:dyDescent="0.2">
      <c r="A50">
        <v>999999993</v>
      </c>
      <c r="B50" s="44">
        <v>38482</v>
      </c>
      <c r="C50" s="44">
        <v>38131</v>
      </c>
      <c r="D50">
        <v>5434</v>
      </c>
      <c r="F50" s="56"/>
      <c r="G50" s="44"/>
    </row>
    <row r="51" spans="1:10" x14ac:dyDescent="0.2">
      <c r="A51" s="56"/>
      <c r="B51" s="44"/>
      <c r="C51" s="44"/>
      <c r="I51" s="56"/>
      <c r="J51" s="44"/>
    </row>
    <row r="52" spans="1:10" s="3" customFormat="1" x14ac:dyDescent="0.2">
      <c r="A52" s="27" t="s">
        <v>1928</v>
      </c>
    </row>
    <row r="53" spans="1:10" x14ac:dyDescent="0.2">
      <c r="A53" s="29" t="s">
        <v>2478</v>
      </c>
      <c r="B53" t="s">
        <v>267</v>
      </c>
      <c r="C53" t="s">
        <v>1796</v>
      </c>
      <c r="D53" t="s">
        <v>1797</v>
      </c>
      <c r="E53" t="s">
        <v>1785</v>
      </c>
      <c r="F53" t="s">
        <v>1786</v>
      </c>
      <c r="G53" t="s">
        <v>1787</v>
      </c>
    </row>
    <row r="54" spans="1:10" x14ac:dyDescent="0.2">
      <c r="A54">
        <v>999999991</v>
      </c>
      <c r="B54" s="44">
        <v>38481</v>
      </c>
      <c r="C54" s="44">
        <v>37750</v>
      </c>
      <c r="D54">
        <v>231</v>
      </c>
      <c r="E54">
        <v>0</v>
      </c>
      <c r="F54">
        <v>1</v>
      </c>
      <c r="G54">
        <v>1</v>
      </c>
      <c r="I54" s="56"/>
      <c r="J54" s="44"/>
    </row>
    <row r="55" spans="1:10" x14ac:dyDescent="0.2">
      <c r="A55">
        <v>999999995</v>
      </c>
      <c r="B55" s="44">
        <v>38846</v>
      </c>
      <c r="C55" s="44"/>
      <c r="F55">
        <v>1</v>
      </c>
      <c r="G55">
        <v>0</v>
      </c>
      <c r="I55" s="56"/>
      <c r="J55" s="44"/>
    </row>
    <row r="56" spans="1:10" x14ac:dyDescent="0.2">
      <c r="A56">
        <v>999999992</v>
      </c>
      <c r="B56" s="44">
        <v>38481</v>
      </c>
      <c r="C56" s="44">
        <v>38119</v>
      </c>
      <c r="D56">
        <v>4003</v>
      </c>
      <c r="E56">
        <v>1</v>
      </c>
      <c r="F56">
        <v>0</v>
      </c>
      <c r="G56">
        <v>1</v>
      </c>
      <c r="I56" s="56"/>
      <c r="J56" s="44"/>
    </row>
    <row r="57" spans="1:10" x14ac:dyDescent="0.2">
      <c r="A57">
        <v>999999993</v>
      </c>
      <c r="B57" s="44">
        <v>38482</v>
      </c>
      <c r="C57" s="44">
        <v>38131</v>
      </c>
      <c r="D57">
        <v>5434</v>
      </c>
      <c r="E57">
        <v>0</v>
      </c>
      <c r="F57">
        <v>1</v>
      </c>
      <c r="G57">
        <v>1</v>
      </c>
      <c r="I57" s="56"/>
      <c r="J57" s="44"/>
    </row>
    <row r="59" spans="1:10" s="3" customFormat="1" x14ac:dyDescent="0.2">
      <c r="A59" s="27" t="s">
        <v>2479</v>
      </c>
    </row>
    <row r="60" spans="1:10" x14ac:dyDescent="0.2">
      <c r="A60" s="29" t="s">
        <v>2480</v>
      </c>
      <c r="B60" t="s">
        <v>267</v>
      </c>
      <c r="C60" t="s">
        <v>1796</v>
      </c>
      <c r="D60" t="s">
        <v>1797</v>
      </c>
    </row>
    <row r="61" spans="1:10" x14ac:dyDescent="0.2">
      <c r="A61">
        <v>999999991</v>
      </c>
      <c r="B61" s="55" t="s">
        <v>2481</v>
      </c>
      <c r="C61" s="44">
        <v>37750</v>
      </c>
      <c r="D61">
        <v>231</v>
      </c>
      <c r="I61" s="56"/>
      <c r="J61" s="44"/>
    </row>
    <row r="62" spans="1:10" x14ac:dyDescent="0.2">
      <c r="A62">
        <v>999999991</v>
      </c>
      <c r="B62" s="55" t="s">
        <v>2482</v>
      </c>
      <c r="C62" s="44">
        <v>38116</v>
      </c>
      <c r="D62">
        <v>231</v>
      </c>
      <c r="I62" s="56"/>
      <c r="J62" s="44"/>
    </row>
    <row r="63" spans="1:10" x14ac:dyDescent="0.2">
      <c r="A63">
        <v>999999992</v>
      </c>
      <c r="B63" s="55" t="s">
        <v>2481</v>
      </c>
      <c r="C63" s="44">
        <v>38119</v>
      </c>
      <c r="D63">
        <v>4003</v>
      </c>
      <c r="I63" s="56"/>
      <c r="J63" s="44"/>
    </row>
    <row r="64" spans="1:10" x14ac:dyDescent="0.2">
      <c r="A64">
        <v>999999993</v>
      </c>
      <c r="B64" s="55" t="s">
        <v>2481</v>
      </c>
      <c r="C64" s="44">
        <v>38131</v>
      </c>
      <c r="D64">
        <v>5434</v>
      </c>
      <c r="I64" s="56"/>
      <c r="J64" s="44"/>
    </row>
  </sheetData>
  <phoneticPr fontId="26" type="noConversion"/>
  <pageMargins left="0.75" right="0.75" top="1" bottom="1" header="0.5" footer="0.5"/>
  <pageSetup orientation="portrait" horizontalDpi="4294967293" verticalDpi="4294967293" r:id="rId1"/>
  <headerFooter alignWithMargins="0"/>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45"/>
  <sheetViews>
    <sheetView workbookViewId="0">
      <pane ySplit="8" topLeftCell="A9" activePane="bottomLeft" state="frozen"/>
      <selection pane="bottomLeft" sqref="A1:H4"/>
    </sheetView>
  </sheetViews>
  <sheetFormatPr defaultRowHeight="15" x14ac:dyDescent="0.25"/>
  <cols>
    <col min="1" max="2" width="20.85546875" style="802" customWidth="1"/>
    <col min="3" max="3" width="20.85546875" style="802" bestFit="1" customWidth="1"/>
    <col min="4" max="5" width="20.85546875" style="802" customWidth="1"/>
    <col min="6" max="6" width="26.140625" style="802" bestFit="1" customWidth="1"/>
    <col min="7" max="7" width="10.140625" style="802" bestFit="1" customWidth="1"/>
    <col min="8" max="8" width="13.28515625" style="802" bestFit="1" customWidth="1"/>
    <col min="9" max="9" width="7" style="802" bestFit="1" customWidth="1"/>
    <col min="10" max="10" width="16.7109375" style="802" bestFit="1" customWidth="1"/>
    <col min="11" max="11" width="16.7109375" style="802" customWidth="1"/>
    <col min="12" max="12" width="42.140625" style="802" customWidth="1"/>
    <col min="13" max="13" width="16.7109375" style="802" customWidth="1"/>
    <col min="14" max="16384" width="9.140625" style="802"/>
  </cols>
  <sheetData>
    <row r="1" spans="1:14" x14ac:dyDescent="0.25">
      <c r="A1" s="739" t="s">
        <v>1151</v>
      </c>
      <c r="B1" s="638" t="s">
        <v>3111</v>
      </c>
      <c r="C1" s="639"/>
      <c r="D1" s="639"/>
      <c r="E1" s="639"/>
      <c r="F1" s="639"/>
      <c r="G1" s="639"/>
      <c r="H1" s="640"/>
      <c r="J1" s="801" t="s">
        <v>3032</v>
      </c>
    </row>
    <row r="2" spans="1:14" x14ac:dyDescent="0.25">
      <c r="A2" s="740"/>
      <c r="B2" s="812" t="s">
        <v>3112</v>
      </c>
      <c r="C2" s="642"/>
      <c r="D2" s="642"/>
      <c r="E2" s="642"/>
      <c r="F2" s="642"/>
      <c r="G2" s="642"/>
      <c r="H2" s="643"/>
      <c r="J2" s="809" t="s">
        <v>3033</v>
      </c>
    </row>
    <row r="3" spans="1:14" x14ac:dyDescent="0.25">
      <c r="A3" s="740" t="s">
        <v>209</v>
      </c>
      <c r="B3" s="641">
        <v>6.01</v>
      </c>
      <c r="C3" s="741" t="s">
        <v>2666</v>
      </c>
      <c r="D3" s="642"/>
      <c r="E3" s="642"/>
      <c r="F3" s="642"/>
      <c r="G3" s="642"/>
      <c r="H3" s="643"/>
      <c r="J3" s="810" t="s">
        <v>3034</v>
      </c>
    </row>
    <row r="4" spans="1:14" ht="15.75" thickBot="1" x14ac:dyDescent="0.3">
      <c r="A4" s="744"/>
      <c r="B4" s="745"/>
      <c r="C4" s="650"/>
      <c r="D4" s="650"/>
      <c r="E4" s="650"/>
      <c r="F4" s="650"/>
      <c r="G4" s="650"/>
      <c r="H4" s="651"/>
      <c r="J4" s="811" t="s">
        <v>3035</v>
      </c>
    </row>
    <row r="5" spans="1:14" x14ac:dyDescent="0.25">
      <c r="J5" s="794" t="s">
        <v>3036</v>
      </c>
    </row>
    <row r="6" spans="1:14" x14ac:dyDescent="0.25">
      <c r="E6" s="803" t="s">
        <v>3110</v>
      </c>
    </row>
    <row r="8" spans="1:14" x14ac:dyDescent="0.25">
      <c r="A8" s="801" t="s">
        <v>3037</v>
      </c>
      <c r="B8" s="801" t="s">
        <v>3038</v>
      </c>
      <c r="C8" s="801" t="s">
        <v>3039</v>
      </c>
      <c r="D8" s="801" t="s">
        <v>2508</v>
      </c>
      <c r="E8" s="801" t="s">
        <v>3040</v>
      </c>
      <c r="F8" s="801" t="s">
        <v>3041</v>
      </c>
      <c r="G8" s="801" t="s">
        <v>3042</v>
      </c>
      <c r="H8" s="801" t="s">
        <v>3043</v>
      </c>
      <c r="I8" s="801" t="s">
        <v>2512</v>
      </c>
      <c r="J8" s="801" t="s">
        <v>3044</v>
      </c>
      <c r="K8" s="801" t="s">
        <v>3045</v>
      </c>
      <c r="L8" s="801" t="s">
        <v>1561</v>
      </c>
      <c r="M8" s="801" t="s">
        <v>3046</v>
      </c>
    </row>
    <row r="9" spans="1:14" x14ac:dyDescent="0.25">
      <c r="A9" s="802">
        <v>98</v>
      </c>
      <c r="B9" s="802" t="b">
        <f>FALSE</f>
        <v>0</v>
      </c>
      <c r="C9" s="802" t="s">
        <v>3047</v>
      </c>
      <c r="F9" s="804" t="s">
        <v>1504</v>
      </c>
      <c r="G9" s="804"/>
      <c r="H9" s="804"/>
      <c r="I9" s="804"/>
      <c r="J9" s="804"/>
      <c r="K9" s="804"/>
      <c r="M9" s="804" t="str">
        <f>"new  { WS = """&amp;C9&amp;""", WSPlan = """&amp;A9&amp;""", WSIsDateIndex = "&amp;IF(B9,"true","false")&amp;", xDS = """&amp;F9&amp;""", xDSHistory = """&amp;IF(NOT(ISBLANK(D9)),D9&amp;"|"&amp;E9,"")&amp;""", ValuePart = (int?)"&amp;IF(NOT(ISBLANK(G9)),G9,"null")&amp;", IsDate = "&amp;IF(I9,"true","false")&amp;", ValueSplitBy = "&amp;IF(NOT(ISBLANK(H9)),""""&amp;H9&amp;"""", "(string)null")&amp;", RemoveCurrency = "&amp;IF(J9,"true","false")&amp;", MultiplyBy = (double?)"&amp;IF(NOT(ISBLANK(K9)),K9,"null")&amp;" }, "</f>
        <v xml:space="preserve">new  { WS = "AccessID", WSPlan = "98", WSIsDateIndex = false, xDS = "ssn", xDSHistory = "", ValuePart = (int?)null, IsDate = false, ValueSplitBy = (string)null, RemoveCurrency = false, MultiplyBy = (double?)null }, </v>
      </c>
      <c r="N9" s="805"/>
    </row>
    <row r="10" spans="1:14" x14ac:dyDescent="0.25">
      <c r="A10" s="802">
        <v>98</v>
      </c>
      <c r="B10" s="802" t="b">
        <f>FALSE</f>
        <v>0</v>
      </c>
      <c r="C10" s="802" t="s">
        <v>3048</v>
      </c>
      <c r="F10" s="804" t="s">
        <v>2042</v>
      </c>
      <c r="G10" s="804"/>
      <c r="H10" s="804"/>
      <c r="I10" s="804" t="b">
        <f>TRUE</f>
        <v>1</v>
      </c>
      <c r="J10" s="804"/>
      <c r="K10" s="804"/>
      <c r="M10" s="804" t="str">
        <f t="shared" ref="M10:M44" si="0">"new  { WS = """&amp;C10&amp;""", WSPlan = """&amp;A10&amp;""", WSIsDateIndex = "&amp;IF(B10,"true","false")&amp;", xDS = """&amp;F10&amp;""", xDSHistory = """&amp;IF(NOT(ISBLANK(D10)),D10&amp;"|"&amp;E10,"")&amp;""", ValuePart = (int?)"&amp;IF(NOT(ISBLANK(G10)),G10,"null")&amp;", IsDate = "&amp;IF(I10,"true","false")&amp;", ValueSplitBy = "&amp;IF(NOT(ISBLANK(H10)),""""&amp;H10&amp;"""", "(string)null")&amp;", RemoveCurrency = "&amp;IF(J10,"true","false")&amp;", MultiplyBy = (double?)"&amp;IF(NOT(ISBLANK(K10)),K10,"null")&amp;" }, "</f>
        <v xml:space="preserve">new  { WS = "BirthDate", WSPlan = "98", WSIsDateIndex = false, xDS = "date-birth", xDSHistory = "", ValuePart = (int?)null, IsDate = true, ValueSplitBy = (string)null, RemoveCurrency = false, MultiplyBy = (double?)null }, </v>
      </c>
    </row>
    <row r="11" spans="1:14" x14ac:dyDescent="0.25">
      <c r="A11" s="802">
        <v>98</v>
      </c>
      <c r="B11" s="802" t="b">
        <f>FALSE</f>
        <v>0</v>
      </c>
      <c r="C11" s="802" t="s">
        <v>3049</v>
      </c>
      <c r="F11" s="802" t="s">
        <v>2515</v>
      </c>
      <c r="M11" s="804" t="str">
        <f t="shared" si="0"/>
        <v xml:space="preserve">new  { WS = "EmployeeID", WSPlan = "98", WSIsDateIndex = false, xDS = "eeid", xDSHistory = "", ValuePart = (int?)null, IsDate = false, ValueSplitBy = (string)null, RemoveCurrency = false, MultiplyBy = (double?)null }, </v>
      </c>
    </row>
    <row r="12" spans="1:14" x14ac:dyDescent="0.25">
      <c r="A12" s="802">
        <v>98</v>
      </c>
      <c r="B12" s="802" t="b">
        <f>FALSE</f>
        <v>0</v>
      </c>
      <c r="C12" s="802" t="s">
        <v>3050</v>
      </c>
      <c r="F12" s="802" t="s">
        <v>3051</v>
      </c>
      <c r="I12" s="802" t="b">
        <f>TRUE</f>
        <v>1</v>
      </c>
      <c r="M12" s="804" t="str">
        <f t="shared" si="0"/>
        <v xml:space="preserve">new  { WS = "MostRecentHireDate", WSPlan = "98", WSIsDateIndex = false, xDS = "date-hire-last", xDSHistory = "", ValuePart = (int?)null, IsDate = true, ValueSplitBy = (string)null, RemoveCurrency = false, MultiplyBy = (double?)null }, </v>
      </c>
    </row>
    <row r="13" spans="1:14" x14ac:dyDescent="0.25">
      <c r="A13" s="802">
        <v>98</v>
      </c>
      <c r="B13" s="802" t="b">
        <f>FALSE</f>
        <v>0</v>
      </c>
      <c r="C13" s="804" t="s">
        <v>3052</v>
      </c>
      <c r="D13" s="804"/>
      <c r="E13" s="804"/>
      <c r="F13" s="802" t="s">
        <v>3053</v>
      </c>
      <c r="I13" s="802" t="b">
        <f>TRUE</f>
        <v>1</v>
      </c>
      <c r="M13" s="804" t="str">
        <f t="shared" si="0"/>
        <v xml:space="preserve">new  { WS = "OriginalHireDate", WSPlan = "98", WSIsDateIndex = false, xDS = "date-hire-orig", xDSHistory = "", ValuePart = (int?)null, IsDate = true, ValueSplitBy = (string)null, RemoveCurrency = false, MultiplyBy = (double?)null }, </v>
      </c>
    </row>
    <row r="14" spans="1:14" x14ac:dyDescent="0.25">
      <c r="A14" s="802">
        <v>98</v>
      </c>
      <c r="B14" s="802" t="b">
        <f>FALSE</f>
        <v>0</v>
      </c>
      <c r="C14" s="804" t="s">
        <v>3054</v>
      </c>
      <c r="D14" s="804"/>
      <c r="E14" s="804"/>
      <c r="F14" s="802" t="s">
        <v>3055</v>
      </c>
      <c r="M14" s="804" t="str">
        <f t="shared" si="0"/>
        <v xml:space="preserve">new  { WS = "ParticipantName", WSPlan = "98", WSIsDateIndex = false, xDS = "name-first-last", xDSHistory = "", ValuePart = (int?)null, IsDate = false, ValueSplitBy = (string)null, RemoveCurrency = false, MultiplyBy = (double?)null }, </v>
      </c>
    </row>
    <row r="15" spans="1:14" x14ac:dyDescent="0.25">
      <c r="A15" s="802">
        <v>98</v>
      </c>
      <c r="B15" s="802" t="b">
        <f>FALSE</f>
        <v>0</v>
      </c>
      <c r="C15" s="806" t="s">
        <v>3054</v>
      </c>
      <c r="D15" s="806"/>
      <c r="E15" s="806"/>
      <c r="F15" s="806" t="s">
        <v>344</v>
      </c>
      <c r="G15" s="806">
        <v>2</v>
      </c>
      <c r="H15" s="806"/>
      <c r="I15" s="806"/>
      <c r="J15" s="806"/>
      <c r="K15" s="806"/>
      <c r="M15" s="804" t="str">
        <f t="shared" si="0"/>
        <v xml:space="preserve">new  { WS = "ParticipantName", WSPlan = "98", WSIsDateIndex = false, xDS = "name-first", xDSHistory = "", ValuePart = (int?)2, IsDate = false, ValueSplitBy = (string)null, RemoveCurrency = false, MultiplyBy = (double?)null }, </v>
      </c>
    </row>
    <row r="16" spans="1:14" x14ac:dyDescent="0.25">
      <c r="A16" s="802">
        <v>98</v>
      </c>
      <c r="B16" s="802" t="b">
        <f>FALSE</f>
        <v>0</v>
      </c>
      <c r="C16" s="806" t="s">
        <v>3054</v>
      </c>
      <c r="D16" s="806"/>
      <c r="E16" s="806"/>
      <c r="F16" s="806" t="s">
        <v>342</v>
      </c>
      <c r="G16" s="806">
        <v>1</v>
      </c>
      <c r="H16" s="806"/>
      <c r="I16" s="806"/>
      <c r="J16" s="806"/>
      <c r="K16" s="806"/>
      <c r="M16" s="804" t="str">
        <f t="shared" si="0"/>
        <v xml:space="preserve">new  { WS = "ParticipantName", WSPlan = "98", WSIsDateIndex = false, xDS = "name-last", xDSHistory = "", ValuePart = (int?)1, IsDate = false, ValueSplitBy = (string)null, RemoveCurrency = false, MultiplyBy = (double?)null }, </v>
      </c>
    </row>
    <row r="17" spans="1:13" x14ac:dyDescent="0.25">
      <c r="A17" s="802">
        <v>98</v>
      </c>
      <c r="B17" s="802" t="b">
        <f>FALSE</f>
        <v>0</v>
      </c>
      <c r="C17" s="806" t="s">
        <v>3056</v>
      </c>
      <c r="D17" s="806"/>
      <c r="E17" s="806"/>
      <c r="F17" s="806" t="s">
        <v>3056</v>
      </c>
      <c r="G17" s="806"/>
      <c r="H17" s="806"/>
      <c r="I17" s="806"/>
      <c r="J17" s="806" t="b">
        <f>TRUE</f>
        <v>1</v>
      </c>
      <c r="K17" s="806"/>
      <c r="M17" s="804" t="str">
        <f t="shared" si="0"/>
        <v xml:space="preserve">new  { WS = "balance-401k", WSPlan = "98", WSIsDateIndex = false, xDS = "balance-401k", xDSHistory = "", ValuePart = (int?)null, IsDate = false, ValueSplitBy = (string)null, RemoveCurrency = true, MultiplyBy = (double?)null }, </v>
      </c>
    </row>
    <row r="18" spans="1:13" x14ac:dyDescent="0.25">
      <c r="A18" s="802">
        <v>98</v>
      </c>
      <c r="B18" s="802" t="b">
        <f>FALSE</f>
        <v>0</v>
      </c>
      <c r="C18" s="806" t="s">
        <v>3057</v>
      </c>
      <c r="D18" s="806"/>
      <c r="E18" s="806"/>
      <c r="F18" s="806" t="s">
        <v>3057</v>
      </c>
      <c r="G18" s="806"/>
      <c r="H18" s="806"/>
      <c r="I18" s="806"/>
      <c r="J18" s="806"/>
      <c r="K18" s="806">
        <v>100</v>
      </c>
      <c r="M18" s="804" t="str">
        <f t="shared" si="0"/>
        <v xml:space="preserve">new  { WS = "rate-pt", WSPlan = "98", WSIsDateIndex = false, xDS = "rate-pt", xDSHistory = "", ValuePart = (int?)null, IsDate = false, ValueSplitBy = (string)null, RemoveCurrency = false, MultiplyBy = (double?)100 }, </v>
      </c>
    </row>
    <row r="19" spans="1:13" x14ac:dyDescent="0.25">
      <c r="A19" s="802">
        <v>98</v>
      </c>
      <c r="B19" s="802" t="b">
        <f>FALSE</f>
        <v>0</v>
      </c>
      <c r="C19" s="802" t="s">
        <v>3058</v>
      </c>
      <c r="F19" s="804" t="s">
        <v>1504</v>
      </c>
      <c r="G19" s="804"/>
      <c r="H19" s="804"/>
      <c r="I19" s="804"/>
      <c r="J19" s="804"/>
      <c r="K19" s="804"/>
      <c r="M19" s="804" t="str">
        <f t="shared" si="0"/>
        <v xml:space="preserve">new  { WS = "SocialSecurityNumber", WSPlan = "98", WSIsDateIndex = false, xDS = "ssn", xDSHistory = "", ValuePart = (int?)null, IsDate = false, ValueSplitBy = (string)null, RemoveCurrency = false, MultiplyBy = (double?)null }, </v>
      </c>
    </row>
    <row r="20" spans="1:13" x14ac:dyDescent="0.25">
      <c r="A20" s="802">
        <v>98</v>
      </c>
      <c r="B20" s="802" t="b">
        <f>FALSE</f>
        <v>0</v>
      </c>
      <c r="C20" s="802" t="s">
        <v>2045</v>
      </c>
      <c r="F20" s="802" t="s">
        <v>2044</v>
      </c>
      <c r="M20" s="804" t="str">
        <f t="shared" si="0"/>
        <v xml:space="preserve">new  { WS = "Status", WSPlan = "98", WSIsDateIndex = false, xDS = "status", xDSHistory = "", ValuePart = (int?)null, IsDate = false, ValueSplitBy = (string)null, RemoveCurrency = false, MultiplyBy = (double?)null }, </v>
      </c>
    </row>
    <row r="21" spans="1:13" x14ac:dyDescent="0.25">
      <c r="A21" s="802">
        <v>98</v>
      </c>
      <c r="B21" s="802" t="b">
        <f>FALSE</f>
        <v>0</v>
      </c>
      <c r="C21" s="802" t="s">
        <v>3059</v>
      </c>
      <c r="F21" s="802" t="s">
        <v>2532</v>
      </c>
      <c r="M21" s="804" t="str">
        <f t="shared" si="0"/>
        <v xml:space="preserve">new  { WS = "DIV", WSPlan = "98", WSIsDateIndex = false, xDS = "division", xDSHistory = "", ValuePart = (int?)null, IsDate = false, ValueSplitBy = (string)null, RemoveCurrency = false, MultiplyBy = (double?)null }, </v>
      </c>
    </row>
    <row r="22" spans="1:13" x14ac:dyDescent="0.25">
      <c r="A22" s="802">
        <v>98</v>
      </c>
      <c r="B22" s="802" t="b">
        <f>FALSE</f>
        <v>0</v>
      </c>
      <c r="C22" s="802" t="s">
        <v>3060</v>
      </c>
      <c r="F22" s="802" t="s">
        <v>3061</v>
      </c>
      <c r="M22" s="804" t="str">
        <f t="shared" si="0"/>
        <v xml:space="preserve">new  { WS = "Station", WSPlan = "98", WSIsDateIndex = false, xDS = "station", xDSHistory = "", ValuePart = (int?)null, IsDate = false, ValueSplitBy = (string)null, RemoveCurrency = false, MultiplyBy = (double?)null }, </v>
      </c>
    </row>
    <row r="23" spans="1:13" x14ac:dyDescent="0.25">
      <c r="A23" s="802">
        <v>98</v>
      </c>
      <c r="B23" s="802" t="b">
        <f>FALSE</f>
        <v>0</v>
      </c>
      <c r="C23" s="802" t="s">
        <v>3062</v>
      </c>
      <c r="F23" s="802" t="s">
        <v>3063</v>
      </c>
      <c r="M23" s="804" t="str">
        <f t="shared" si="0"/>
        <v xml:space="preserve">new  { WS = "Dept", WSPlan = "98", WSIsDateIndex = false, xDS = "dept", xDSHistory = "", ValuePart = (int?)null, IsDate = false, ValueSplitBy = (string)null, RemoveCurrency = false, MultiplyBy = (double?)null }, </v>
      </c>
    </row>
    <row r="24" spans="1:13" x14ac:dyDescent="0.25">
      <c r="A24" s="802">
        <v>98</v>
      </c>
      <c r="B24" s="802" t="b">
        <f>FALSE</f>
        <v>0</v>
      </c>
      <c r="C24" s="802" t="s">
        <v>3064</v>
      </c>
      <c r="F24" s="802" t="s">
        <v>3065</v>
      </c>
      <c r="M24" s="804" t="str">
        <f t="shared" si="0"/>
        <v xml:space="preserve">new  { WS = "EmpCC", WSPlan = "98", WSIsDateIndex = false, xDS = "emp-cc", xDSHistory = "", ValuePart = (int?)null, IsDate = false, ValueSplitBy = (string)null, RemoveCurrency = false, MultiplyBy = (double?)null }, </v>
      </c>
    </row>
    <row r="25" spans="1:13" x14ac:dyDescent="0.25">
      <c r="A25" s="802">
        <v>98</v>
      </c>
      <c r="B25" s="802" t="b">
        <f>FALSE</f>
        <v>0</v>
      </c>
      <c r="C25" s="802" t="s">
        <v>3066</v>
      </c>
      <c r="F25" s="802" t="s">
        <v>3067</v>
      </c>
      <c r="M25" s="804" t="str">
        <f t="shared" si="0"/>
        <v xml:space="preserve">new  { WS = "HSAContEE", WSPlan = "98", WSIsDateIndex = false, xDS = "hsa-cont-ee", xDSHistory = "", ValuePart = (int?)null, IsDate = false, ValueSplitBy = (string)null, RemoveCurrency = false, MultiplyBy = (double?)null }, </v>
      </c>
    </row>
    <row r="26" spans="1:13" x14ac:dyDescent="0.25">
      <c r="A26" s="802">
        <v>98</v>
      </c>
      <c r="B26" s="802" t="b">
        <f>FALSE</f>
        <v>0</v>
      </c>
      <c r="C26" s="802" t="s">
        <v>3068</v>
      </c>
      <c r="F26" s="802" t="s">
        <v>3069</v>
      </c>
      <c r="M26" s="804" t="str">
        <f t="shared" si="0"/>
        <v xml:space="preserve">new  { WS = "HSAContER", WSPlan = "98", WSIsDateIndex = false, xDS = "hsa-cont-er", xDSHistory = "", ValuePart = (int?)null, IsDate = false, ValueSplitBy = (string)null, RemoveCurrency = false, MultiplyBy = (double?)null }, </v>
      </c>
    </row>
    <row r="27" spans="1:13" x14ac:dyDescent="0.25">
      <c r="A27" s="802">
        <v>98</v>
      </c>
      <c r="B27" s="802" t="b">
        <f>FALSE</f>
        <v>0</v>
      </c>
      <c r="C27" s="802" t="s">
        <v>3070</v>
      </c>
      <c r="F27" s="802" t="s">
        <v>3071</v>
      </c>
      <c r="M27" s="804" t="str">
        <f t="shared" si="0"/>
        <v xml:space="preserve">new  { WS = "HSACvgCd", WSPlan = "98", WSIsDateIndex = false, xDS = "hsa-cov-code", xDSHistory = "", ValuePart = (int?)null, IsDate = false, ValueSplitBy = (string)null, RemoveCurrency = false, MultiplyBy = (double?)null }, </v>
      </c>
    </row>
    <row r="28" spans="1:13" x14ac:dyDescent="0.25">
      <c r="A28" s="802">
        <v>32</v>
      </c>
      <c r="B28" s="802" t="b">
        <f>FALSE</f>
        <v>0</v>
      </c>
      <c r="C28" s="802" t="s">
        <v>3072</v>
      </c>
      <c r="D28" s="802" t="s">
        <v>3073</v>
      </c>
      <c r="E28" s="802" t="s">
        <v>3072</v>
      </c>
      <c r="F28" s="807" t="s">
        <v>3074</v>
      </c>
      <c r="M28" s="804" t="str">
        <f t="shared" si="0"/>
        <v xml:space="preserve">new  { WS = "PCNO", WSPlan = "32", WSIsDateIndex = false, xDS = "plan-code-number", xDSHistory = "DBPlan|PCNO", ValuePart = (int?)null, IsDate = false, ValueSplitBy = (string)null, RemoveCurrency = false, MultiplyBy = (double?)null }, </v>
      </c>
    </row>
    <row r="29" spans="1:13" x14ac:dyDescent="0.25">
      <c r="A29" s="802">
        <v>32</v>
      </c>
      <c r="B29" s="802" t="b">
        <f>FALSE</f>
        <v>0</v>
      </c>
      <c r="C29" s="802" t="s">
        <v>3075</v>
      </c>
      <c r="D29" s="802" t="s">
        <v>3073</v>
      </c>
      <c r="E29" s="802" t="s">
        <v>3072</v>
      </c>
      <c r="F29" s="802" t="s">
        <v>3076</v>
      </c>
      <c r="I29" s="804" t="b">
        <f>TRUE</f>
        <v>1</v>
      </c>
      <c r="M29" s="804" t="str">
        <f t="shared" si="0"/>
        <v xml:space="preserve">new  { WS = "NRD", WSPlan = "32", WSIsDateIndex = false, xDS = "date-normal-ret", xDSHistory = "DBPlan|PCNO", ValuePart = (int?)null, IsDate = true, ValueSplitBy = (string)null, RemoveCurrency = false, MultiplyBy = (double?)null }, </v>
      </c>
    </row>
    <row r="30" spans="1:13" x14ac:dyDescent="0.25">
      <c r="A30" s="802">
        <v>32</v>
      </c>
      <c r="B30" s="802" t="b">
        <f>FALSE</f>
        <v>0</v>
      </c>
      <c r="C30" s="802" t="s">
        <v>3077</v>
      </c>
      <c r="D30" s="802" t="s">
        <v>3073</v>
      </c>
      <c r="E30" s="802" t="s">
        <v>3072</v>
      </c>
      <c r="F30" s="802" t="s">
        <v>3078</v>
      </c>
      <c r="I30" s="804" t="b">
        <f>TRUE</f>
        <v>1</v>
      </c>
      <c r="M30" s="804" t="str">
        <f t="shared" si="0"/>
        <v xml:space="preserve">new  { WS = "ERD", WSPlan = "32", WSIsDateIndex = false, xDS = "date-early-ret", xDSHistory = "DBPlan|PCNO", ValuePart = (int?)null, IsDate = true, ValueSplitBy = (string)null, RemoveCurrency = false, MultiplyBy = (double?)null }, </v>
      </c>
    </row>
    <row r="31" spans="1:13" x14ac:dyDescent="0.25">
      <c r="A31" s="802">
        <v>32</v>
      </c>
      <c r="B31" s="802" t="b">
        <f>FALSE</f>
        <v>0</v>
      </c>
      <c r="C31" s="802" t="s">
        <v>3079</v>
      </c>
      <c r="D31" s="802" t="s">
        <v>3073</v>
      </c>
      <c r="E31" s="802" t="s">
        <v>3072</v>
      </c>
      <c r="F31" s="802" t="s">
        <v>3080</v>
      </c>
      <c r="M31" s="804" t="str">
        <f t="shared" si="0"/>
        <v xml:space="preserve">new  { WS = "DB_ELIG_IND", WSPlan = "32", WSIsDateIndex = false, xDS = "flag-db-elig", xDSHistory = "DBPlan|PCNO", ValuePart = (int?)null, IsDate = false, ValueSplitBy = (string)null, RemoveCurrency = false, MultiplyBy = (double?)null }, </v>
      </c>
    </row>
    <row r="32" spans="1:13" x14ac:dyDescent="0.25">
      <c r="A32" s="802">
        <v>32</v>
      </c>
      <c r="B32" s="802" t="b">
        <f>FALSE</f>
        <v>0</v>
      </c>
      <c r="C32" s="802" t="s">
        <v>3081</v>
      </c>
      <c r="D32" s="802" t="s">
        <v>3073</v>
      </c>
      <c r="E32" s="802" t="s">
        <v>3072</v>
      </c>
      <c r="F32" s="802" t="s">
        <v>3082</v>
      </c>
      <c r="M32" s="804" t="str">
        <f t="shared" si="0"/>
        <v xml:space="preserve">new  { WS = "DB_PROJ_ERROR_IND", WSPlan = "32", WSIsDateIndex = false, xDS = "flag-projection-error", xDSHistory = "DBPlan|PCNO", ValuePart = (int?)null, IsDate = false, ValueSplitBy = (string)null, RemoveCurrency = false, MultiplyBy = (double?)null }, </v>
      </c>
    </row>
    <row r="33" spans="1:13" x14ac:dyDescent="0.25">
      <c r="A33" s="802">
        <v>32</v>
      </c>
      <c r="B33" s="802" t="b">
        <f>FALSE</f>
        <v>0</v>
      </c>
      <c r="C33" s="802" t="s">
        <v>3083</v>
      </c>
      <c r="D33" s="802" t="s">
        <v>3073</v>
      </c>
      <c r="E33" s="802" t="s">
        <v>3072</v>
      </c>
      <c r="F33" s="802" t="s">
        <v>3084</v>
      </c>
      <c r="M33" s="804" t="str">
        <f t="shared" si="0"/>
        <v xml:space="preserve">new  { WS = "DB_PROJ_ERROR_MSG", WSPlan = "32", WSIsDateIndex = false, xDS = "msg-projection-error", xDSHistory = "DBPlan|PCNO", ValuePart = (int?)null, IsDate = false, ValueSplitBy = (string)null, RemoveCurrency = false, MultiplyBy = (double?)null }, </v>
      </c>
    </row>
    <row r="34" spans="1:13" x14ac:dyDescent="0.25">
      <c r="A34" s="802" t="s">
        <v>3085</v>
      </c>
      <c r="B34" s="802" t="b">
        <f>TRUE</f>
        <v>1</v>
      </c>
      <c r="C34" s="802" t="s">
        <v>3086</v>
      </c>
      <c r="D34" s="802" t="s">
        <v>3087</v>
      </c>
      <c r="E34" s="808" t="s">
        <v>3088</v>
      </c>
      <c r="F34" s="802" t="s">
        <v>3089</v>
      </c>
      <c r="M34" s="804" t="str">
        <f t="shared" si="0"/>
        <v xml:space="preserve">new  { WS = "SFAGE", WSPlan = "32-*", WSIsDateIndex = true, xDS = "age", xDSHistory = "DBBenefit|@Plan|SFAGE", ValuePart = (int?)null, IsDate = false, ValueSplitBy = (string)null, RemoveCurrency = false, MultiplyBy = (double?)null }, </v>
      </c>
    </row>
    <row r="35" spans="1:13" x14ac:dyDescent="0.25">
      <c r="A35" s="802" t="s">
        <v>3085</v>
      </c>
      <c r="B35" s="802" t="b">
        <f>TRUE</f>
        <v>1</v>
      </c>
      <c r="C35" s="802" t="s">
        <v>3090</v>
      </c>
      <c r="D35" s="802" t="s">
        <v>3087</v>
      </c>
      <c r="E35" s="808" t="s">
        <v>3088</v>
      </c>
      <c r="F35" s="802" t="s">
        <v>3091</v>
      </c>
      <c r="M35" s="804" t="str">
        <f t="shared" si="0"/>
        <v xml:space="preserve">new  { WS = "SFQPRELI", WSPlan = "32-*", WSIsDateIndex = true, xDS = "qualified-annuity-pre-ss", xDSHistory = "DBBenefit|@Plan|SFAGE", ValuePart = (int?)null, IsDate = false, ValueSplitBy = (string)null, RemoveCurrency = false, MultiplyBy = (double?)null }, </v>
      </c>
    </row>
    <row r="36" spans="1:13" x14ac:dyDescent="0.25">
      <c r="A36" s="802" t="s">
        <v>3085</v>
      </c>
      <c r="B36" s="802" t="b">
        <f>TRUE</f>
        <v>1</v>
      </c>
      <c r="C36" s="802" t="s">
        <v>3092</v>
      </c>
      <c r="D36" s="802" t="s">
        <v>3087</v>
      </c>
      <c r="E36" s="808" t="s">
        <v>3088</v>
      </c>
      <c r="F36" s="802" t="s">
        <v>3093</v>
      </c>
      <c r="M36" s="804" t="str">
        <f t="shared" si="0"/>
        <v xml:space="preserve">new  { WS = "SFQPOSTLI", WSPlan = "32-*", WSIsDateIndex = true, xDS = "qualified-annuity-post-ss", xDSHistory = "DBBenefit|@Plan|SFAGE", ValuePart = (int?)null, IsDate = false, ValueSplitBy = (string)null, RemoveCurrency = false, MultiplyBy = (double?)null }, </v>
      </c>
    </row>
    <row r="37" spans="1:13" x14ac:dyDescent="0.25">
      <c r="A37" s="802" t="s">
        <v>3085</v>
      </c>
      <c r="B37" s="802" t="b">
        <f>TRUE</f>
        <v>1</v>
      </c>
      <c r="C37" s="802" t="s">
        <v>3094</v>
      </c>
      <c r="D37" s="802" t="s">
        <v>3087</v>
      </c>
      <c r="E37" s="808" t="s">
        <v>3088</v>
      </c>
      <c r="F37" s="802" t="s">
        <v>3095</v>
      </c>
      <c r="M37" s="804" t="str">
        <f t="shared" si="0"/>
        <v xml:space="preserve">new  { WS = "SFQSLA", WSPlan = "32-*", WSIsDateIndex = true, xDS = "qualified-annuity", xDSHistory = "DBBenefit|@Plan|SFAGE", ValuePart = (int?)null, IsDate = false, ValueSplitBy = (string)null, RemoveCurrency = false, MultiplyBy = (double?)null }, </v>
      </c>
    </row>
    <row r="38" spans="1:13" x14ac:dyDescent="0.25">
      <c r="A38" s="802" t="s">
        <v>3085</v>
      </c>
      <c r="B38" s="802" t="b">
        <f>TRUE</f>
        <v>1</v>
      </c>
      <c r="C38" s="802" t="s">
        <v>3096</v>
      </c>
      <c r="D38" s="802" t="s">
        <v>3087</v>
      </c>
      <c r="E38" s="808" t="s">
        <v>3088</v>
      </c>
      <c r="F38" s="802" t="s">
        <v>3097</v>
      </c>
      <c r="M38" s="804" t="str">
        <f t="shared" si="0"/>
        <v xml:space="preserve">new  { WS = "SFQLS", WSPlan = "32-*", WSIsDateIndex = true, xDS = "qualified-lumpsum", xDSHistory = "DBBenefit|@Plan|SFAGE", ValuePart = (int?)null, IsDate = false, ValueSplitBy = (string)null, RemoveCurrency = false, MultiplyBy = (double?)null }, </v>
      </c>
    </row>
    <row r="39" spans="1:13" x14ac:dyDescent="0.25">
      <c r="A39" s="802" t="s">
        <v>3085</v>
      </c>
      <c r="B39" s="802" t="b">
        <f>TRUE</f>
        <v>1</v>
      </c>
      <c r="C39" s="802" t="s">
        <v>3098</v>
      </c>
      <c r="D39" s="802" t="s">
        <v>3087</v>
      </c>
      <c r="E39" s="808" t="s">
        <v>3088</v>
      </c>
      <c r="F39" s="802" t="s">
        <v>3099</v>
      </c>
      <c r="M39" s="804" t="str">
        <f t="shared" si="0"/>
        <v xml:space="preserve">new  { WS = "SFNQSLA", WSPlan = "32-*", WSIsDateIndex = true, xDS = "non-qualified-annuity", xDSHistory = "DBBenefit|@Plan|SFAGE", ValuePart = (int?)null, IsDate = false, ValueSplitBy = (string)null, RemoveCurrency = false, MultiplyBy = (double?)null }, </v>
      </c>
    </row>
    <row r="40" spans="1:13" x14ac:dyDescent="0.25">
      <c r="A40" s="802" t="s">
        <v>3085</v>
      </c>
      <c r="B40" s="802" t="b">
        <f>TRUE</f>
        <v>1</v>
      </c>
      <c r="C40" s="802" t="s">
        <v>3100</v>
      </c>
      <c r="D40" s="802" t="s">
        <v>3087</v>
      </c>
      <c r="E40" s="808" t="s">
        <v>3088</v>
      </c>
      <c r="F40" s="802" t="s">
        <v>3101</v>
      </c>
      <c r="M40" s="804" t="str">
        <f t="shared" si="0"/>
        <v xml:space="preserve">new  { WS = "SFNQLS", WSPlan = "32-*", WSIsDateIndex = true, xDS = "non-qualified-lumpsum", xDSHistory = "DBBenefit|@Plan|SFAGE", ValuePart = (int?)null, IsDate = false, ValueSplitBy = (string)null, RemoveCurrency = false, MultiplyBy = (double?)null }, </v>
      </c>
    </row>
    <row r="41" spans="1:13" x14ac:dyDescent="0.25">
      <c r="A41" s="802" t="s">
        <v>3085</v>
      </c>
      <c r="B41" s="802" t="b">
        <f>TRUE</f>
        <v>1</v>
      </c>
      <c r="C41" s="802" t="s">
        <v>3102</v>
      </c>
      <c r="D41" s="802" t="s">
        <v>3087</v>
      </c>
      <c r="E41" s="808" t="s">
        <v>3088</v>
      </c>
      <c r="F41" s="802" t="s">
        <v>3103</v>
      </c>
      <c r="M41" s="804" t="str">
        <f t="shared" si="0"/>
        <v xml:space="preserve">new  { WS = "SFFLAG1", WSPlan = "32-*", WSIsDateIndex = true, xDS = "flag-qdro1", xDSHistory = "DBBenefit|@Plan|SFAGE", ValuePart = (int?)null, IsDate = false, ValueSplitBy = (string)null, RemoveCurrency = false, MultiplyBy = (double?)null }, </v>
      </c>
    </row>
    <row r="42" spans="1:13" x14ac:dyDescent="0.25">
      <c r="A42" s="802" t="s">
        <v>3085</v>
      </c>
      <c r="B42" s="802" t="b">
        <f>TRUE</f>
        <v>1</v>
      </c>
      <c r="C42" s="802" t="s">
        <v>3104</v>
      </c>
      <c r="D42" s="802" t="s">
        <v>3087</v>
      </c>
      <c r="E42" s="808" t="s">
        <v>3088</v>
      </c>
      <c r="F42" s="802" t="s">
        <v>3105</v>
      </c>
      <c r="M42" s="804" t="str">
        <f t="shared" si="0"/>
        <v xml:space="preserve">new  { WS = "SFFLAG2", WSPlan = "32-*", WSIsDateIndex = true, xDS = "flag-qdro2", xDSHistory = "DBBenefit|@Plan|SFAGE", ValuePart = (int?)null, IsDate = false, ValueSplitBy = (string)null, RemoveCurrency = false, MultiplyBy = (double?)null }, </v>
      </c>
    </row>
    <row r="43" spans="1:13" x14ac:dyDescent="0.25">
      <c r="A43" s="802" t="s">
        <v>3085</v>
      </c>
      <c r="B43" s="802" t="b">
        <f>TRUE</f>
        <v>1</v>
      </c>
      <c r="C43" s="802" t="s">
        <v>3106</v>
      </c>
      <c r="D43" s="802" t="s">
        <v>3087</v>
      </c>
      <c r="E43" s="808" t="s">
        <v>3088</v>
      </c>
      <c r="F43" s="802" t="s">
        <v>3107</v>
      </c>
      <c r="M43" s="804" t="str">
        <f t="shared" si="0"/>
        <v xml:space="preserve">new  { WS = "SFFLAG3", WSPlan = "32-*", WSIsDateIndex = true, xDS = "flag-partial-ls", xDSHistory = "DBBenefit|@Plan|SFAGE", ValuePart = (int?)null, IsDate = false, ValueSplitBy = (string)null, RemoveCurrency = false, MultiplyBy = (double?)null }, </v>
      </c>
    </row>
    <row r="44" spans="1:13" x14ac:dyDescent="0.25">
      <c r="A44" s="802" t="s">
        <v>3085</v>
      </c>
      <c r="B44" s="802" t="b">
        <f>TRUE</f>
        <v>1</v>
      </c>
      <c r="C44" s="808" t="s">
        <v>2575</v>
      </c>
      <c r="D44" s="802" t="s">
        <v>3087</v>
      </c>
      <c r="E44" s="808" t="s">
        <v>3088</v>
      </c>
      <c r="F44" s="807" t="s">
        <v>3108</v>
      </c>
      <c r="G44" s="807">
        <v>2</v>
      </c>
      <c r="H44" s="807" t="s">
        <v>3109</v>
      </c>
      <c r="I44" s="807"/>
      <c r="J44" s="807"/>
      <c r="K44" s="807"/>
      <c r="M44" s="804" t="str">
        <f t="shared" si="0"/>
        <v xml:space="preserve">new  { WS = "@Plan", WSPlan = "32-*", WSIsDateIndex = true, xDS = "plan-code", xDSHistory = "DBBenefit|@Plan|SFAGE", ValuePart = (int?)2, IsDate = false, ValueSplitBy = "-", RemoveCurrency = false, MultiplyBy = (double?)null }, </v>
      </c>
    </row>
    <row r="45" spans="1:13" x14ac:dyDescent="0.25">
      <c r="M45" s="807"/>
    </row>
  </sheetData>
  <dataValidations count="1">
    <dataValidation type="list" showInputMessage="1" showErrorMessage="1" sqref="B4">
      <formula1>"Input"</formula1>
    </dataValidation>
  </dataValidations>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DocsXmlDataMapping"/>
  <dimension ref="A1:H87"/>
  <sheetViews>
    <sheetView workbookViewId="0">
      <selection activeCell="B3" sqref="B3"/>
    </sheetView>
  </sheetViews>
  <sheetFormatPr defaultRowHeight="12.75" x14ac:dyDescent="0.2"/>
  <cols>
    <col min="1" max="1" width="23.5703125" bestFit="1" customWidth="1"/>
    <col min="2" max="2" width="31.28515625" bestFit="1" customWidth="1"/>
    <col min="3" max="3" width="7" bestFit="1" customWidth="1"/>
    <col min="4" max="4" width="24.28515625" customWidth="1"/>
    <col min="5" max="5" width="14.140625" bestFit="1" customWidth="1"/>
    <col min="6" max="6" width="24.42578125" bestFit="1" customWidth="1"/>
    <col min="7" max="7" width="14.140625" bestFit="1" customWidth="1"/>
    <col min="8" max="8" width="19.7109375" bestFit="1" customWidth="1"/>
    <col min="11" max="11" width="34" bestFit="1" customWidth="1"/>
  </cols>
  <sheetData>
    <row r="1" spans="1:8" x14ac:dyDescent="0.2">
      <c r="A1" s="739" t="s">
        <v>1151</v>
      </c>
      <c r="B1" s="638" t="s">
        <v>3113</v>
      </c>
      <c r="C1" s="639"/>
      <c r="D1" s="639"/>
      <c r="E1" s="639"/>
      <c r="F1" s="639"/>
      <c r="G1" s="639"/>
      <c r="H1" s="640"/>
    </row>
    <row r="2" spans="1:8" x14ac:dyDescent="0.2">
      <c r="A2" s="740"/>
      <c r="B2" s="812" t="s">
        <v>3114</v>
      </c>
      <c r="C2" s="642"/>
      <c r="D2" s="642"/>
      <c r="E2" s="642"/>
      <c r="F2" s="642"/>
      <c r="G2" s="642"/>
      <c r="H2" s="643"/>
    </row>
    <row r="3" spans="1:8" x14ac:dyDescent="0.2">
      <c r="A3" s="740" t="s">
        <v>209</v>
      </c>
      <c r="B3" s="641">
        <v>6.01</v>
      </c>
      <c r="C3" s="741" t="s">
        <v>2666</v>
      </c>
      <c r="D3" s="642"/>
      <c r="E3" s="642"/>
      <c r="F3" s="642"/>
      <c r="G3" s="642"/>
      <c r="H3" s="643"/>
    </row>
    <row r="4" spans="1:8" ht="13.5" thickBot="1" x14ac:dyDescent="0.25">
      <c r="A4" s="744"/>
      <c r="B4" s="745"/>
      <c r="C4" s="650"/>
      <c r="D4" s="650"/>
      <c r="E4" s="650"/>
      <c r="F4" s="650"/>
      <c r="G4" s="650"/>
      <c r="H4" s="651"/>
    </row>
    <row r="6" spans="1:8" x14ac:dyDescent="0.2">
      <c r="A6" s="97" t="s">
        <v>2505</v>
      </c>
      <c r="B6" s="97" t="s">
        <v>340</v>
      </c>
      <c r="C6" s="97"/>
      <c r="D6" s="97"/>
      <c r="E6" s="97"/>
      <c r="F6" s="97"/>
      <c r="G6" s="97"/>
      <c r="H6" s="97"/>
    </row>
    <row r="7" spans="1:8" x14ac:dyDescent="0.2">
      <c r="A7" s="97" t="s">
        <v>2506</v>
      </c>
      <c r="B7" s="97" t="s">
        <v>2507</v>
      </c>
      <c r="C7" s="97"/>
      <c r="D7" s="97"/>
      <c r="E7" s="97"/>
      <c r="F7" s="97"/>
      <c r="G7" s="97"/>
      <c r="H7" s="97"/>
    </row>
    <row r="8" spans="1:8" x14ac:dyDescent="0.2">
      <c r="A8" s="97"/>
      <c r="B8" s="97"/>
      <c r="C8" s="97"/>
      <c r="D8" s="97"/>
      <c r="E8" s="97"/>
      <c r="F8" s="97"/>
      <c r="G8" s="97"/>
      <c r="H8" s="97"/>
    </row>
    <row r="9" spans="1:8" x14ac:dyDescent="0.2">
      <c r="A9" s="97" t="s">
        <v>2508</v>
      </c>
      <c r="B9" s="97" t="s">
        <v>1768</v>
      </c>
      <c r="C9" s="97"/>
      <c r="D9" s="97"/>
      <c r="E9" s="97"/>
      <c r="F9" s="97"/>
      <c r="G9" s="97"/>
      <c r="H9" s="97"/>
    </row>
    <row r="10" spans="1:8" x14ac:dyDescent="0.2">
      <c r="A10" s="97" t="s">
        <v>2509</v>
      </c>
      <c r="B10" s="97"/>
      <c r="C10" s="97"/>
      <c r="D10" s="97"/>
      <c r="E10" s="97"/>
      <c r="F10" s="97"/>
      <c r="G10" s="97"/>
      <c r="H10" s="97"/>
    </row>
    <row r="11" spans="1:8" ht="15.75" thickBot="1" x14ac:dyDescent="0.3">
      <c r="A11" s="668" t="s">
        <v>2510</v>
      </c>
      <c r="B11" s="668" t="s">
        <v>2511</v>
      </c>
      <c r="C11" s="668" t="s">
        <v>2512</v>
      </c>
      <c r="D11" s="668" t="s">
        <v>2514</v>
      </c>
      <c r="E11" s="668" t="s">
        <v>2513</v>
      </c>
      <c r="H11" s="669"/>
    </row>
    <row r="12" spans="1:8" x14ac:dyDescent="0.2">
      <c r="A12" s="97" t="s">
        <v>1504</v>
      </c>
      <c r="B12" s="462" t="s">
        <v>2550</v>
      </c>
      <c r="C12" s="97"/>
      <c r="D12" s="97"/>
      <c r="E12" s="97"/>
    </row>
    <row r="13" spans="1:8" x14ac:dyDescent="0.2">
      <c r="A13" s="97" t="s">
        <v>344</v>
      </c>
      <c r="B13" s="462" t="s">
        <v>2551</v>
      </c>
      <c r="C13" s="97"/>
      <c r="D13" s="97"/>
      <c r="E13" s="97"/>
    </row>
    <row r="14" spans="1:8" x14ac:dyDescent="0.2">
      <c r="A14" s="97" t="s">
        <v>369</v>
      </c>
      <c r="B14" s="462" t="s">
        <v>2552</v>
      </c>
      <c r="C14" s="97"/>
      <c r="D14" s="97"/>
      <c r="E14" s="97"/>
    </row>
    <row r="15" spans="1:8" x14ac:dyDescent="0.2">
      <c r="A15" s="97" t="s">
        <v>342</v>
      </c>
      <c r="B15" s="462" t="s">
        <v>2553</v>
      </c>
      <c r="C15" s="97"/>
      <c r="D15" s="97"/>
      <c r="E15" s="97"/>
    </row>
    <row r="16" spans="1:8" x14ac:dyDescent="0.2">
      <c r="A16" s="97" t="s">
        <v>2042</v>
      </c>
      <c r="B16" s="462" t="s">
        <v>2554</v>
      </c>
      <c r="C16" s="97" t="s">
        <v>366</v>
      </c>
      <c r="D16" s="97"/>
      <c r="E16" s="97"/>
    </row>
    <row r="17" spans="1:5" x14ac:dyDescent="0.2">
      <c r="A17" s="97" t="s">
        <v>2515</v>
      </c>
      <c r="B17" s="462" t="s">
        <v>2555</v>
      </c>
      <c r="C17" s="97"/>
      <c r="D17" s="97"/>
      <c r="E17" s="97"/>
    </row>
    <row r="18" spans="1:5" x14ac:dyDescent="0.2">
      <c r="A18" s="97" t="s">
        <v>2516</v>
      </c>
      <c r="B18" s="462" t="s">
        <v>2556</v>
      </c>
      <c r="C18" s="97"/>
      <c r="D18" s="97"/>
      <c r="E18" s="97"/>
    </row>
    <row r="19" spans="1:5" x14ac:dyDescent="0.2">
      <c r="A19" s="97" t="s">
        <v>371</v>
      </c>
      <c r="B19" s="97"/>
      <c r="C19" s="97"/>
      <c r="D19" s="97" t="str">
        <f>IF([2]!GetMappingValue("@Gender")=2079,"M",IF([2]!GetMappingValue("@Gender")=2082,"F",""))</f>
        <v/>
      </c>
      <c r="E19" s="97"/>
    </row>
    <row r="20" spans="1:5" x14ac:dyDescent="0.2">
      <c r="A20" s="97" t="s">
        <v>1003</v>
      </c>
      <c r="B20" s="671" t="s">
        <v>2557</v>
      </c>
      <c r="C20" s="97"/>
      <c r="D20" s="97"/>
      <c r="E20" s="97"/>
    </row>
    <row r="21" spans="1:5" x14ac:dyDescent="0.2">
      <c r="A21" s="97" t="s">
        <v>1005</v>
      </c>
      <c r="B21" s="671" t="s">
        <v>2558</v>
      </c>
      <c r="C21" s="97"/>
      <c r="D21" s="97"/>
      <c r="E21" s="97" t="s">
        <v>366</v>
      </c>
    </row>
    <row r="22" spans="1:5" x14ac:dyDescent="0.2">
      <c r="A22" s="97" t="s">
        <v>1007</v>
      </c>
      <c r="B22" s="671" t="s">
        <v>2559</v>
      </c>
      <c r="C22" s="97"/>
      <c r="D22" s="97"/>
      <c r="E22" s="97"/>
    </row>
    <row r="23" spans="1:5" x14ac:dyDescent="0.2">
      <c r="A23" s="97" t="s">
        <v>1009</v>
      </c>
      <c r="B23" s="97" t="s">
        <v>2560</v>
      </c>
      <c r="C23" s="97"/>
      <c r="D23" s="97"/>
      <c r="E23" s="97"/>
    </row>
    <row r="24" spans="1:5" x14ac:dyDescent="0.2">
      <c r="A24" s="97" t="s">
        <v>1012</v>
      </c>
      <c r="B24" s="97"/>
      <c r="C24" s="97"/>
      <c r="D24" s="97" t="str">
        <f>IF([2]!Tonumber([2]!GetMappingValue("Address/@Zip"))&gt;99999,[2]!FormatValue([2]!Tonumber([2]!GetMappingValue("Address/@Zip")),"00000-0000"),[2]!FormatValue([2]!Tonumber([2]!GetMappingValue("Address/@Zip")),"00000"))</f>
        <v>[FormatValue(0, "00000")]</v>
      </c>
      <c r="E24" s="97"/>
    </row>
    <row r="25" spans="1:5" x14ac:dyDescent="0.2">
      <c r="A25" s="97" t="s">
        <v>2517</v>
      </c>
      <c r="B25" s="97" t="s">
        <v>2561</v>
      </c>
      <c r="C25" s="97"/>
      <c r="D25" s="97"/>
      <c r="E25" s="97"/>
    </row>
    <row r="26" spans="1:5" x14ac:dyDescent="0.2">
      <c r="A26" s="97" t="s">
        <v>2518</v>
      </c>
      <c r="B26" s="97" t="s">
        <v>2562</v>
      </c>
      <c r="C26" s="97"/>
      <c r="D26" s="97"/>
      <c r="E26" s="97"/>
    </row>
    <row r="27" spans="1:5" x14ac:dyDescent="0.2">
      <c r="A27" s="97" t="s">
        <v>2519</v>
      </c>
      <c r="B27" s="97" t="s">
        <v>2563</v>
      </c>
      <c r="C27" s="97"/>
      <c r="D27" s="97"/>
      <c r="E27" s="97"/>
    </row>
    <row r="28" spans="1:5" x14ac:dyDescent="0.2">
      <c r="A28" s="97" t="s">
        <v>2520</v>
      </c>
      <c r="B28" s="97" t="s">
        <v>2564</v>
      </c>
      <c r="C28" s="97"/>
      <c r="D28" s="97"/>
      <c r="E28" s="97"/>
    </row>
    <row r="29" spans="1:5" x14ac:dyDescent="0.2">
      <c r="A29" s="97" t="s">
        <v>2521</v>
      </c>
      <c r="B29" s="97" t="s">
        <v>2565</v>
      </c>
      <c r="C29" s="97"/>
      <c r="D29" s="97"/>
      <c r="E29" s="97"/>
    </row>
    <row r="30" spans="1:5" x14ac:dyDescent="0.2">
      <c r="A30" s="97" t="s">
        <v>2522</v>
      </c>
      <c r="B30" s="97" t="s">
        <v>2566</v>
      </c>
      <c r="C30" s="97"/>
      <c r="D30" s="97"/>
      <c r="E30" s="97"/>
    </row>
    <row r="31" spans="1:5" x14ac:dyDescent="0.2">
      <c r="A31" s="97" t="s">
        <v>2523</v>
      </c>
      <c r="B31" s="97" t="s">
        <v>2567</v>
      </c>
      <c r="C31" s="97"/>
      <c r="D31" s="97"/>
      <c r="E31" s="97"/>
    </row>
    <row r="32" spans="1:5" x14ac:dyDescent="0.2">
      <c r="A32" s="97" t="s">
        <v>2524</v>
      </c>
      <c r="B32" s="97" t="s">
        <v>2568</v>
      </c>
      <c r="C32" s="97"/>
      <c r="D32" s="97"/>
      <c r="E32" s="97"/>
    </row>
    <row r="33" spans="1:8" x14ac:dyDescent="0.2">
      <c r="A33" s="97"/>
      <c r="B33" s="97"/>
      <c r="C33" s="97"/>
      <c r="D33" s="97"/>
      <c r="E33" s="97"/>
      <c r="F33" s="97"/>
      <c r="G33" s="97"/>
      <c r="H33" s="97"/>
    </row>
    <row r="34" spans="1:8" x14ac:dyDescent="0.2">
      <c r="A34" s="97" t="s">
        <v>2508</v>
      </c>
      <c r="B34" s="97" t="s">
        <v>2525</v>
      </c>
      <c r="C34" s="97"/>
      <c r="D34" s="97"/>
      <c r="E34" s="97"/>
      <c r="F34" s="97"/>
      <c r="G34" s="97"/>
      <c r="H34" s="97"/>
    </row>
    <row r="35" spans="1:8" x14ac:dyDescent="0.2">
      <c r="A35" s="97" t="s">
        <v>2509</v>
      </c>
      <c r="B35" s="97" t="s">
        <v>2525</v>
      </c>
      <c r="C35" s="97"/>
      <c r="D35" s="97"/>
      <c r="E35" s="97"/>
      <c r="F35" s="97"/>
      <c r="G35" s="97"/>
      <c r="H35" s="97"/>
    </row>
    <row r="36" spans="1:8" ht="15.75" thickBot="1" x14ac:dyDescent="0.3">
      <c r="A36" s="668" t="s">
        <v>2510</v>
      </c>
      <c r="B36" s="668" t="s">
        <v>2511</v>
      </c>
      <c r="C36" s="668" t="s">
        <v>2512</v>
      </c>
      <c r="D36" s="668" t="s">
        <v>2514</v>
      </c>
      <c r="G36" s="669"/>
    </row>
    <row r="37" spans="1:8" x14ac:dyDescent="0.2">
      <c r="A37" s="97" t="s">
        <v>267</v>
      </c>
      <c r="B37" s="97"/>
      <c r="C37" s="97"/>
      <c r="D37" s="97" t="str">
        <f>[2]!FormatValue([2]!ToDate( [2]!GetMappingValue("@BeginDate")),"yyyymmdd")&amp;[2]!FormatValue([2]!GetMappingOrdinal(),"0000")</f>
        <v>[FormatValue(12/30/1899, "yyyymmdd")][FormatValue(1, "0000")]</v>
      </c>
    </row>
    <row r="38" spans="1:8" x14ac:dyDescent="0.2">
      <c r="A38" s="97" t="s">
        <v>2526</v>
      </c>
      <c r="B38" s="97" t="s">
        <v>2569</v>
      </c>
      <c r="C38" s="97" t="s">
        <v>366</v>
      </c>
      <c r="D38" s="97"/>
    </row>
    <row r="39" spans="1:8" x14ac:dyDescent="0.2">
      <c r="A39" s="97" t="s">
        <v>284</v>
      </c>
      <c r="B39" s="97" t="s">
        <v>2570</v>
      </c>
      <c r="C39" s="97" t="s">
        <v>366</v>
      </c>
      <c r="D39" s="97"/>
    </row>
    <row r="40" spans="1:8" x14ac:dyDescent="0.2">
      <c r="A40" s="97" t="s">
        <v>2527</v>
      </c>
      <c r="B40" s="97" t="s">
        <v>2571</v>
      </c>
      <c r="C40" s="97" t="s">
        <v>366</v>
      </c>
      <c r="D40" s="97"/>
    </row>
    <row r="41" spans="1:8" x14ac:dyDescent="0.2">
      <c r="A41" s="97" t="s">
        <v>2528</v>
      </c>
      <c r="B41" s="97" t="s">
        <v>2572</v>
      </c>
      <c r="C41" s="97"/>
      <c r="D41" s="97"/>
    </row>
    <row r="42" spans="1:8" x14ac:dyDescent="0.2">
      <c r="A42" s="97" t="s">
        <v>2529</v>
      </c>
      <c r="B42" s="97" t="s">
        <v>2573</v>
      </c>
      <c r="C42" s="97"/>
      <c r="D42" s="97"/>
    </row>
    <row r="43" spans="1:8" x14ac:dyDescent="0.2">
      <c r="A43" s="97" t="s">
        <v>2530</v>
      </c>
      <c r="B43" s="97" t="s">
        <v>2574</v>
      </c>
      <c r="C43" s="97"/>
      <c r="D43" s="97"/>
    </row>
    <row r="44" spans="1:8" x14ac:dyDescent="0.2">
      <c r="A44" s="97" t="s">
        <v>45</v>
      </c>
      <c r="B44" s="97" t="s">
        <v>2575</v>
      </c>
      <c r="C44" s="97"/>
      <c r="D44" s="97"/>
    </row>
    <row r="45" spans="1:8" x14ac:dyDescent="0.2">
      <c r="A45" s="97" t="s">
        <v>2531</v>
      </c>
      <c r="B45" s="97" t="s">
        <v>2576</v>
      </c>
      <c r="C45" s="97"/>
      <c r="D45" s="97"/>
    </row>
    <row r="46" spans="1:8" x14ac:dyDescent="0.2">
      <c r="A46" s="97" t="s">
        <v>2532</v>
      </c>
      <c r="B46" s="97" t="s">
        <v>2577</v>
      </c>
      <c r="C46" s="97"/>
      <c r="D46" s="97"/>
    </row>
    <row r="47" spans="1:8" x14ac:dyDescent="0.2">
      <c r="A47" s="97" t="s">
        <v>2519</v>
      </c>
      <c r="B47" s="97" t="s">
        <v>2578</v>
      </c>
      <c r="C47" s="97"/>
      <c r="D47" s="97"/>
    </row>
    <row r="48" spans="1:8" x14ac:dyDescent="0.2">
      <c r="A48" s="97" t="s">
        <v>2520</v>
      </c>
      <c r="B48" s="97" t="s">
        <v>2579</v>
      </c>
      <c r="C48" s="97"/>
      <c r="D48" s="97"/>
    </row>
    <row r="49" spans="1:8" x14ac:dyDescent="0.2">
      <c r="A49" s="97" t="s">
        <v>2533</v>
      </c>
      <c r="B49" s="97" t="s">
        <v>2580</v>
      </c>
      <c r="C49" s="97"/>
      <c r="D49" s="97"/>
    </row>
    <row r="50" spans="1:8" x14ac:dyDescent="0.2">
      <c r="A50" s="97" t="s">
        <v>2521</v>
      </c>
      <c r="B50" s="97" t="s">
        <v>2581</v>
      </c>
      <c r="C50" s="97"/>
      <c r="D50" s="97"/>
    </row>
    <row r="51" spans="1:8" x14ac:dyDescent="0.2">
      <c r="A51" s="97" t="s">
        <v>2522</v>
      </c>
      <c r="B51" s="97" t="s">
        <v>2582</v>
      </c>
      <c r="C51" s="97"/>
      <c r="D51" s="97"/>
    </row>
    <row r="52" spans="1:8" x14ac:dyDescent="0.2">
      <c r="A52" s="97" t="s">
        <v>2523</v>
      </c>
      <c r="B52" s="97" t="s">
        <v>2583</v>
      </c>
      <c r="C52" s="97"/>
      <c r="D52" s="97"/>
    </row>
    <row r="53" spans="1:8" x14ac:dyDescent="0.2">
      <c r="A53" s="97" t="s">
        <v>273</v>
      </c>
      <c r="B53" s="97" t="s">
        <v>2584</v>
      </c>
      <c r="C53" s="97"/>
      <c r="D53" s="97"/>
    </row>
    <row r="54" spans="1:8" x14ac:dyDescent="0.2">
      <c r="A54" s="97" t="s">
        <v>2524</v>
      </c>
      <c r="B54" s="97" t="s">
        <v>2585</v>
      </c>
      <c r="C54" s="97"/>
      <c r="D54" s="97"/>
    </row>
    <row r="55" spans="1:8" x14ac:dyDescent="0.2">
      <c r="A55" s="97" t="s">
        <v>2534</v>
      </c>
      <c r="B55" s="97" t="s">
        <v>2586</v>
      </c>
      <c r="C55" s="97"/>
      <c r="D55" s="97"/>
    </row>
    <row r="56" spans="1:8" x14ac:dyDescent="0.2">
      <c r="A56" s="97" t="s">
        <v>2535</v>
      </c>
      <c r="B56" s="97" t="s">
        <v>2587</v>
      </c>
      <c r="C56" s="97"/>
      <c r="D56" s="97"/>
    </row>
    <row r="57" spans="1:8" x14ac:dyDescent="0.2">
      <c r="A57" s="670" t="s">
        <v>2536</v>
      </c>
      <c r="B57" s="670" t="s">
        <v>2536</v>
      </c>
      <c r="C57" s="97"/>
      <c r="D57" s="97" t="str">
        <f>"T"</f>
        <v>T</v>
      </c>
    </row>
    <row r="58" spans="1:8" x14ac:dyDescent="0.2">
      <c r="A58" s="97" t="s">
        <v>2537</v>
      </c>
      <c r="B58" s="97"/>
      <c r="C58" s="97"/>
      <c r="D58" s="97">
        <f>[2]!GetMappingOrdinal()</f>
        <v>1</v>
      </c>
    </row>
    <row r="59" spans="1:8" x14ac:dyDescent="0.2">
      <c r="A59" s="97"/>
      <c r="B59" s="97"/>
      <c r="C59" s="97"/>
      <c r="D59" s="97"/>
      <c r="E59" s="97"/>
      <c r="F59" s="97"/>
      <c r="G59" s="97"/>
      <c r="H59" s="97"/>
    </row>
    <row r="60" spans="1:8" x14ac:dyDescent="0.2">
      <c r="A60" s="97" t="s">
        <v>2508</v>
      </c>
      <c r="B60" s="97" t="s">
        <v>2538</v>
      </c>
      <c r="C60" s="97"/>
      <c r="D60" s="97"/>
      <c r="E60" s="97"/>
      <c r="F60" s="97"/>
      <c r="G60" s="97"/>
      <c r="H60" s="97"/>
    </row>
    <row r="61" spans="1:8" x14ac:dyDescent="0.2">
      <c r="A61" s="97" t="s">
        <v>2509</v>
      </c>
      <c r="B61" s="97" t="s">
        <v>2539</v>
      </c>
      <c r="C61" s="97"/>
      <c r="D61" s="97"/>
      <c r="E61" s="97"/>
      <c r="F61" s="97"/>
      <c r="G61" s="97"/>
      <c r="H61" s="97"/>
    </row>
    <row r="62" spans="1:8" ht="15.75" thickBot="1" x14ac:dyDescent="0.3">
      <c r="A62" s="668" t="s">
        <v>2510</v>
      </c>
      <c r="B62" s="668" t="s">
        <v>2511</v>
      </c>
      <c r="C62" s="668" t="s">
        <v>2512</v>
      </c>
      <c r="D62" s="668" t="s">
        <v>2514</v>
      </c>
      <c r="G62" s="669"/>
    </row>
    <row r="63" spans="1:8" x14ac:dyDescent="0.2">
      <c r="A63" s="97" t="s">
        <v>267</v>
      </c>
      <c r="B63" s="97"/>
      <c r="C63" s="97"/>
      <c r="D63" s="97" t="str">
        <f>[2]!FormatValue([2]!ToDate([2]!GetMappingValue("../@BeginDate")),"yyyymmdd")&amp;[2]!FormatValue([2]!GetMappingOrdinal(),"0000")</f>
        <v>[FormatValue(12/30/1899, "yyyymmdd")][FormatValue(1, "0000")]</v>
      </c>
    </row>
    <row r="64" spans="1:8" x14ac:dyDescent="0.2">
      <c r="A64" s="97" t="s">
        <v>2526</v>
      </c>
      <c r="B64" s="671" t="s">
        <v>2588</v>
      </c>
      <c r="C64" s="97" t="s">
        <v>366</v>
      </c>
      <c r="D64" s="97"/>
    </row>
    <row r="65" spans="1:8" x14ac:dyDescent="0.2">
      <c r="A65" s="97" t="s">
        <v>2540</v>
      </c>
      <c r="B65" s="97" t="s">
        <v>2589</v>
      </c>
      <c r="C65" s="97" t="s">
        <v>366</v>
      </c>
      <c r="D65" s="97"/>
    </row>
    <row r="66" spans="1:8" x14ac:dyDescent="0.2">
      <c r="A66" s="97" t="s">
        <v>2527</v>
      </c>
      <c r="B66" s="97" t="s">
        <v>2590</v>
      </c>
      <c r="C66" s="97" t="s">
        <v>366</v>
      </c>
      <c r="D66" s="97"/>
    </row>
    <row r="67" spans="1:8" x14ac:dyDescent="0.2">
      <c r="A67" s="97" t="s">
        <v>2541</v>
      </c>
      <c r="B67" s="462" t="s">
        <v>2591</v>
      </c>
      <c r="C67" s="97"/>
      <c r="D67" s="97"/>
    </row>
    <row r="68" spans="1:8" x14ac:dyDescent="0.2">
      <c r="A68" s="97" t="s">
        <v>2542</v>
      </c>
      <c r="B68" s="462" t="s">
        <v>2592</v>
      </c>
      <c r="C68" s="97"/>
      <c r="D68" s="97"/>
    </row>
    <row r="69" spans="1:8" x14ac:dyDescent="0.2">
      <c r="A69" s="97" t="s">
        <v>2543</v>
      </c>
      <c r="B69" s="462" t="s">
        <v>2593</v>
      </c>
      <c r="C69" s="97"/>
      <c r="D69" s="97"/>
    </row>
    <row r="70" spans="1:8" x14ac:dyDescent="0.2">
      <c r="A70" s="97" t="s">
        <v>2537</v>
      </c>
      <c r="B70" s="97"/>
      <c r="C70" s="97"/>
      <c r="D70" s="97">
        <f>[2]!GetMappingOrdinal()</f>
        <v>1</v>
      </c>
    </row>
    <row r="71" spans="1:8" x14ac:dyDescent="0.2">
      <c r="A71" s="97"/>
      <c r="B71" s="97"/>
      <c r="C71" s="97"/>
      <c r="D71" s="97"/>
      <c r="E71" s="97"/>
      <c r="F71" s="97"/>
      <c r="G71" s="97"/>
      <c r="H71" s="97"/>
    </row>
    <row r="72" spans="1:8" x14ac:dyDescent="0.2">
      <c r="A72" s="97" t="s">
        <v>2508</v>
      </c>
      <c r="B72" s="97" t="s">
        <v>2544</v>
      </c>
      <c r="C72" s="97"/>
      <c r="D72" s="97"/>
      <c r="E72" s="97"/>
      <c r="F72" s="97"/>
      <c r="G72" s="97"/>
      <c r="H72" s="97"/>
    </row>
    <row r="73" spans="1:8" x14ac:dyDescent="0.2">
      <c r="A73" s="97" t="s">
        <v>2509</v>
      </c>
      <c r="B73" s="97" t="s">
        <v>2545</v>
      </c>
      <c r="C73" s="97"/>
      <c r="D73" s="97"/>
      <c r="E73" s="97"/>
      <c r="F73" s="97"/>
      <c r="G73" s="97"/>
      <c r="H73" s="97"/>
    </row>
    <row r="74" spans="1:8" ht="15.75" thickBot="1" x14ac:dyDescent="0.3">
      <c r="A74" s="668" t="s">
        <v>2510</v>
      </c>
      <c r="B74" s="668" t="s">
        <v>2511</v>
      </c>
      <c r="C74" s="668" t="s">
        <v>2512</v>
      </c>
      <c r="D74" s="668" t="s">
        <v>2514</v>
      </c>
      <c r="G74" s="669"/>
    </row>
    <row r="75" spans="1:8" x14ac:dyDescent="0.2">
      <c r="A75" s="97" t="s">
        <v>267</v>
      </c>
      <c r="B75" s="97"/>
      <c r="C75" s="97"/>
      <c r="D75" s="97" t="str">
        <f>[2]!FormatValue([2]!ToDate([2]!GetMappingValue("../@BeginDate")),"yyyymmdd")&amp;[2]!FormatValue([2]!GetMappingOrdinal(),"0000")</f>
        <v>[FormatValue(12/30/1899, "yyyymmdd")][FormatValue(1, "0000")]</v>
      </c>
    </row>
    <row r="76" spans="1:8" x14ac:dyDescent="0.2">
      <c r="A76" s="97" t="s">
        <v>2526</v>
      </c>
      <c r="B76" s="97" t="s">
        <v>2588</v>
      </c>
      <c r="C76" s="97" t="s">
        <v>366</v>
      </c>
      <c r="D76" s="97"/>
    </row>
    <row r="77" spans="1:8" x14ac:dyDescent="0.2">
      <c r="A77" s="97" t="s">
        <v>2540</v>
      </c>
      <c r="B77" s="97" t="s">
        <v>2589</v>
      </c>
      <c r="C77" s="97" t="s">
        <v>366</v>
      </c>
      <c r="D77" s="97"/>
    </row>
    <row r="78" spans="1:8" x14ac:dyDescent="0.2">
      <c r="A78" s="97" t="s">
        <v>2527</v>
      </c>
      <c r="B78" s="97" t="s">
        <v>2590</v>
      </c>
      <c r="C78" s="97" t="s">
        <v>366</v>
      </c>
      <c r="D78" s="97"/>
    </row>
    <row r="79" spans="1:8" x14ac:dyDescent="0.2">
      <c r="A79" s="97" t="s">
        <v>2546</v>
      </c>
      <c r="B79" s="462" t="s">
        <v>2594</v>
      </c>
      <c r="C79" s="97"/>
      <c r="D79" s="97"/>
    </row>
    <row r="80" spans="1:8" x14ac:dyDescent="0.2">
      <c r="A80" s="97" t="s">
        <v>2547</v>
      </c>
      <c r="B80" s="462" t="s">
        <v>2595</v>
      </c>
      <c r="C80" s="97"/>
      <c r="D80" s="97"/>
    </row>
    <row r="81" spans="1:8" x14ac:dyDescent="0.2">
      <c r="A81" s="97" t="s">
        <v>2537</v>
      </c>
      <c r="B81" s="97"/>
      <c r="C81" s="97"/>
      <c r="D81" s="97">
        <f>[2]!GetMappingOrdinal()</f>
        <v>1</v>
      </c>
    </row>
    <row r="82" spans="1:8" x14ac:dyDescent="0.2">
      <c r="A82" s="97"/>
      <c r="B82" s="97"/>
      <c r="C82" s="97"/>
      <c r="D82" s="97"/>
      <c r="E82" s="97"/>
      <c r="F82" s="97"/>
      <c r="G82" s="97"/>
      <c r="H82" s="97"/>
    </row>
    <row r="83" spans="1:8" x14ac:dyDescent="0.2">
      <c r="A83" s="97" t="s">
        <v>2508</v>
      </c>
      <c r="B83" s="97" t="s">
        <v>2548</v>
      </c>
      <c r="C83" s="97"/>
      <c r="D83" s="97"/>
      <c r="E83" s="97"/>
      <c r="F83" s="97"/>
      <c r="G83" s="97"/>
      <c r="H83" s="97"/>
    </row>
    <row r="84" spans="1:8" x14ac:dyDescent="0.2">
      <c r="A84" s="97" t="s">
        <v>2509</v>
      </c>
      <c r="B84" s="97" t="s">
        <v>2549</v>
      </c>
      <c r="C84" s="97"/>
      <c r="D84" s="97"/>
      <c r="E84" s="97"/>
      <c r="F84" s="97"/>
      <c r="G84" s="97"/>
      <c r="H84" s="97"/>
    </row>
    <row r="85" spans="1:8" ht="15.75" thickBot="1" x14ac:dyDescent="0.3">
      <c r="A85" s="668" t="s">
        <v>2510</v>
      </c>
      <c r="B85" s="668" t="s">
        <v>2511</v>
      </c>
      <c r="C85" s="668" t="s">
        <v>2512</v>
      </c>
      <c r="D85" s="668" t="s">
        <v>2514</v>
      </c>
      <c r="G85" s="669"/>
    </row>
    <row r="86" spans="1:8" x14ac:dyDescent="0.2">
      <c r="A86" s="97" t="s">
        <v>267</v>
      </c>
      <c r="B86" s="462" t="s">
        <v>2596</v>
      </c>
      <c r="C86" s="97" t="s">
        <v>366</v>
      </c>
      <c r="D86" s="97"/>
    </row>
    <row r="87" spans="1:8" x14ac:dyDescent="0.2">
      <c r="A87" s="97" t="s">
        <v>284</v>
      </c>
      <c r="B87" s="462" t="s">
        <v>2597</v>
      </c>
      <c r="C87" s="97" t="s">
        <v>366</v>
      </c>
      <c r="D87" s="97"/>
    </row>
  </sheetData>
  <dataValidations count="1">
    <dataValidation type="list" showInputMessage="1" showErrorMessage="1" sqref="B4">
      <formula1>"Input"</formula1>
    </dataValidation>
  </dataValidations>
  <hyperlinks>
    <hyperlink ref="B20" r:id="rId1"/>
    <hyperlink ref="B21" r:id="rId2"/>
    <hyperlink ref="B22" r:id="rId3"/>
    <hyperlink ref="B64" r:id="rId4"/>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HAPlanInfo">
    <tabColor theme="1"/>
  </sheetPr>
  <dimension ref="A1:IU95"/>
  <sheetViews>
    <sheetView workbookViewId="0"/>
  </sheetViews>
  <sheetFormatPr defaultRowHeight="12.75" x14ac:dyDescent="0.2"/>
  <cols>
    <col min="1" max="1" width="30.28515625" customWidth="1"/>
    <col min="2" max="2" width="27" customWidth="1"/>
    <col min="3" max="3" width="22.28515625" customWidth="1"/>
    <col min="4" max="4" width="17.5703125" bestFit="1" customWidth="1"/>
  </cols>
  <sheetData>
    <row r="1" spans="1:17" s="3" customFormat="1" x14ac:dyDescent="0.2">
      <c r="A1" s="1" t="s">
        <v>1148</v>
      </c>
      <c r="B1" s="2"/>
    </row>
    <row r="2" spans="1:17" x14ac:dyDescent="0.2">
      <c r="A2" s="4" t="s">
        <v>422</v>
      </c>
      <c r="B2" s="5">
        <v>6</v>
      </c>
      <c r="C2" s="6"/>
      <c r="D2" s="6"/>
      <c r="E2" s="6"/>
      <c r="F2" s="6"/>
      <c r="G2" s="6"/>
      <c r="H2" s="6"/>
      <c r="I2" s="6"/>
      <c r="J2" s="6"/>
      <c r="K2" s="6"/>
      <c r="L2" s="6"/>
      <c r="M2" s="6"/>
      <c r="N2" s="6"/>
      <c r="O2" s="6"/>
      <c r="P2" s="6"/>
      <c r="Q2" s="7"/>
    </row>
    <row r="3" spans="1:17" x14ac:dyDescent="0.2">
      <c r="A3" s="8" t="s">
        <v>1149</v>
      </c>
      <c r="B3" s="9" t="s">
        <v>1150</v>
      </c>
      <c r="C3" s="10"/>
      <c r="D3" s="10"/>
      <c r="E3" s="10"/>
      <c r="F3" s="10"/>
      <c r="G3" s="10"/>
      <c r="H3" s="10"/>
      <c r="I3" s="10"/>
      <c r="J3" s="10"/>
      <c r="K3" s="10"/>
      <c r="L3" s="10"/>
      <c r="M3" s="10"/>
      <c r="N3" s="10"/>
      <c r="O3" s="10"/>
      <c r="P3" s="10"/>
      <c r="Q3" s="11"/>
    </row>
    <row r="4" spans="1:17" x14ac:dyDescent="0.2">
      <c r="A4" s="8" t="s">
        <v>1151</v>
      </c>
      <c r="B4" s="12" t="s">
        <v>757</v>
      </c>
      <c r="C4" s="10"/>
      <c r="D4" s="10"/>
      <c r="E4" s="10"/>
      <c r="F4" s="10"/>
      <c r="G4" s="10"/>
      <c r="H4" s="10"/>
      <c r="I4" s="10"/>
      <c r="J4" s="10"/>
      <c r="K4" s="10"/>
      <c r="L4" s="10"/>
      <c r="M4" s="10"/>
      <c r="N4" s="10"/>
      <c r="O4" s="10"/>
      <c r="P4" s="10"/>
      <c r="Q4" s="11"/>
    </row>
    <row r="5" spans="1:17" x14ac:dyDescent="0.2">
      <c r="A5" s="13"/>
      <c r="B5" s="12"/>
      <c r="C5" s="10"/>
      <c r="D5" s="10"/>
      <c r="E5" s="10"/>
      <c r="F5" s="10"/>
      <c r="G5" s="10"/>
      <c r="H5" s="10"/>
      <c r="I5" s="10"/>
      <c r="J5" s="10"/>
      <c r="K5" s="10"/>
      <c r="L5" s="10"/>
      <c r="M5" s="10"/>
      <c r="N5" s="10"/>
      <c r="O5" s="10"/>
      <c r="P5" s="10"/>
      <c r="Q5" s="11"/>
    </row>
    <row r="6" spans="1:17" x14ac:dyDescent="0.2">
      <c r="A6" s="14" t="s">
        <v>627</v>
      </c>
      <c r="B6" s="10"/>
      <c r="C6" s="10"/>
      <c r="D6" s="10"/>
      <c r="E6" s="10"/>
      <c r="F6" s="10"/>
      <c r="G6" s="10"/>
      <c r="H6" s="10"/>
      <c r="I6" s="10"/>
      <c r="J6" s="10"/>
      <c r="K6" s="10"/>
      <c r="L6" s="10"/>
      <c r="M6" s="10"/>
      <c r="N6" s="10"/>
      <c r="O6" s="10"/>
      <c r="P6" s="10"/>
      <c r="Q6" s="11"/>
    </row>
    <row r="7" spans="1:17" x14ac:dyDescent="0.2">
      <c r="A7" s="15" t="s">
        <v>628</v>
      </c>
      <c r="B7" s="10"/>
      <c r="C7" s="10"/>
      <c r="D7" s="10"/>
      <c r="E7" s="10"/>
      <c r="F7" s="10"/>
      <c r="G7" s="10"/>
      <c r="H7" s="10"/>
      <c r="I7" s="10"/>
      <c r="J7" s="10"/>
      <c r="K7" s="10"/>
      <c r="L7" s="10"/>
      <c r="M7" s="10"/>
      <c r="N7" s="10"/>
      <c r="O7" s="10"/>
      <c r="P7" s="10"/>
      <c r="Q7" s="11"/>
    </row>
    <row r="8" spans="1:17" x14ac:dyDescent="0.2">
      <c r="A8" s="16" t="s">
        <v>758</v>
      </c>
      <c r="B8" s="10"/>
      <c r="C8" s="10"/>
      <c r="D8" s="10"/>
      <c r="E8" s="10"/>
      <c r="F8" s="10"/>
      <c r="G8" s="10"/>
      <c r="H8" s="10"/>
      <c r="I8" s="10"/>
      <c r="J8" s="10"/>
      <c r="K8" s="10"/>
      <c r="L8" s="10"/>
      <c r="M8" s="10"/>
      <c r="N8" s="10"/>
      <c r="O8" s="10"/>
      <c r="P8" s="10"/>
      <c r="Q8" s="11"/>
    </row>
    <row r="9" spans="1:17" x14ac:dyDescent="0.2">
      <c r="A9" s="15" t="s">
        <v>629</v>
      </c>
      <c r="B9" s="10"/>
      <c r="C9" s="10"/>
      <c r="D9" s="10"/>
      <c r="E9" s="10"/>
      <c r="F9" s="10"/>
      <c r="G9" s="10"/>
      <c r="H9" s="10"/>
      <c r="I9" s="10"/>
      <c r="J9" s="10"/>
      <c r="K9" s="10"/>
      <c r="L9" s="10"/>
      <c r="M9" s="10"/>
      <c r="N9" s="10"/>
      <c r="O9" s="10"/>
      <c r="P9" s="10"/>
      <c r="Q9" s="11"/>
    </row>
    <row r="10" spans="1:17" x14ac:dyDescent="0.2">
      <c r="A10" s="16" t="s">
        <v>689</v>
      </c>
      <c r="B10" s="10"/>
      <c r="C10" s="10"/>
      <c r="D10" s="10"/>
      <c r="E10" s="10"/>
      <c r="F10" s="10"/>
      <c r="G10" s="10"/>
      <c r="H10" s="10"/>
      <c r="I10" s="10"/>
      <c r="J10" s="10"/>
      <c r="K10" s="10"/>
      <c r="L10" s="10"/>
      <c r="M10" s="10"/>
      <c r="N10" s="10"/>
      <c r="O10" s="10"/>
      <c r="P10" s="10"/>
      <c r="Q10" s="11"/>
    </row>
    <row r="11" spans="1:17" x14ac:dyDescent="0.2">
      <c r="A11" s="15" t="s">
        <v>335</v>
      </c>
      <c r="B11" s="10"/>
      <c r="C11" s="10"/>
      <c r="D11" s="10"/>
      <c r="E11" s="10"/>
      <c r="F11" s="10"/>
      <c r="G11" s="10"/>
      <c r="H11" s="10"/>
      <c r="I11" s="10"/>
      <c r="J11" s="10"/>
      <c r="K11" s="10"/>
      <c r="L11" s="10"/>
      <c r="M11" s="10"/>
      <c r="N11" s="10"/>
      <c r="O11" s="10"/>
      <c r="P11" s="10"/>
      <c r="Q11" s="11"/>
    </row>
    <row r="12" spans="1:17" x14ac:dyDescent="0.2">
      <c r="A12" s="15" t="s">
        <v>1253</v>
      </c>
      <c r="B12" s="10"/>
      <c r="C12" s="10"/>
      <c r="D12" s="10"/>
      <c r="E12" s="10"/>
      <c r="F12" s="10"/>
      <c r="G12" s="10"/>
      <c r="H12" s="10"/>
      <c r="I12" s="10"/>
      <c r="J12" s="10"/>
      <c r="K12" s="10"/>
      <c r="L12" s="10"/>
      <c r="M12" s="10"/>
      <c r="N12" s="10"/>
      <c r="O12" s="10"/>
      <c r="P12" s="10"/>
      <c r="Q12" s="11"/>
    </row>
    <row r="13" spans="1:17" x14ac:dyDescent="0.2">
      <c r="A13" s="17"/>
      <c r="B13" s="10"/>
      <c r="C13" s="10"/>
      <c r="D13" s="10"/>
      <c r="E13" s="10"/>
      <c r="F13" s="10"/>
      <c r="G13" s="10"/>
      <c r="H13" s="10"/>
      <c r="I13" s="10"/>
      <c r="J13" s="10"/>
      <c r="K13" s="10"/>
      <c r="L13" s="10"/>
      <c r="M13" s="10"/>
      <c r="N13" s="10"/>
      <c r="O13" s="10"/>
      <c r="P13" s="10"/>
      <c r="Q13" s="11"/>
    </row>
    <row r="14" spans="1:17" x14ac:dyDescent="0.2">
      <c r="A14" s="14" t="s">
        <v>479</v>
      </c>
      <c r="B14" s="10"/>
      <c r="C14" s="10"/>
      <c r="D14" s="10"/>
      <c r="E14" s="10"/>
      <c r="F14" s="10"/>
      <c r="G14" s="10"/>
      <c r="H14" s="10"/>
      <c r="I14" s="10"/>
      <c r="J14" s="10"/>
      <c r="K14" s="10"/>
      <c r="L14" s="10"/>
      <c r="M14" s="10"/>
      <c r="N14" s="10"/>
      <c r="O14" s="10"/>
      <c r="P14" s="10"/>
      <c r="Q14" s="11"/>
    </row>
    <row r="15" spans="1:17" x14ac:dyDescent="0.2">
      <c r="A15" s="17"/>
      <c r="B15" s="10"/>
      <c r="C15" s="10"/>
      <c r="D15" s="10"/>
      <c r="E15" s="10"/>
      <c r="F15" s="10"/>
      <c r="G15" s="10"/>
      <c r="H15" s="10"/>
      <c r="I15" s="10"/>
      <c r="J15" s="10"/>
      <c r="K15" s="10"/>
      <c r="L15" s="10"/>
      <c r="M15" s="10"/>
      <c r="N15" s="10"/>
      <c r="O15" s="10"/>
      <c r="P15" s="10"/>
      <c r="Q15" s="11"/>
    </row>
    <row r="16" spans="1:17" x14ac:dyDescent="0.2">
      <c r="A16" s="15" t="s">
        <v>974</v>
      </c>
      <c r="B16" s="10"/>
      <c r="C16" s="10"/>
      <c r="D16" s="10"/>
      <c r="E16" s="10"/>
      <c r="F16" s="10"/>
      <c r="G16" s="10"/>
      <c r="H16" s="10"/>
      <c r="I16" s="10"/>
      <c r="J16" s="10"/>
      <c r="K16" s="10"/>
      <c r="L16" s="10"/>
      <c r="M16" s="10"/>
      <c r="N16" s="10"/>
      <c r="O16" s="10"/>
      <c r="P16" s="10"/>
      <c r="Q16" s="11"/>
    </row>
    <row r="17" spans="1:17" x14ac:dyDescent="0.2">
      <c r="A17" s="18" t="s">
        <v>1706</v>
      </c>
      <c r="B17" s="10"/>
      <c r="C17" s="10"/>
      <c r="D17" s="10"/>
      <c r="E17" s="10"/>
      <c r="F17" s="10"/>
      <c r="G17" s="10"/>
      <c r="H17" s="10"/>
      <c r="I17" s="10"/>
      <c r="J17" s="10"/>
      <c r="K17" s="10"/>
      <c r="L17" s="10"/>
      <c r="M17" s="10"/>
      <c r="N17" s="10"/>
      <c r="O17" s="10"/>
      <c r="P17" s="10"/>
      <c r="Q17" s="11"/>
    </row>
    <row r="18" spans="1:17" x14ac:dyDescent="0.2">
      <c r="A18" s="19" t="s">
        <v>972</v>
      </c>
      <c r="B18" s="10"/>
      <c r="C18" s="10"/>
      <c r="D18" s="10"/>
      <c r="E18" s="10"/>
      <c r="F18" s="10"/>
      <c r="G18" s="10"/>
      <c r="H18" s="10"/>
      <c r="I18" s="10"/>
      <c r="J18" s="10"/>
      <c r="K18" s="10"/>
      <c r="L18" s="10"/>
      <c r="M18" s="10"/>
      <c r="N18" s="10"/>
      <c r="O18" s="10"/>
      <c r="P18" s="10"/>
      <c r="Q18" s="11"/>
    </row>
    <row r="19" spans="1:17" x14ac:dyDescent="0.2">
      <c r="A19" s="17"/>
      <c r="B19" s="10"/>
      <c r="C19" s="10"/>
      <c r="D19" s="10"/>
      <c r="E19" s="10"/>
      <c r="F19" s="10"/>
      <c r="G19" s="10"/>
      <c r="H19" s="10"/>
      <c r="I19" s="10"/>
      <c r="J19" s="10"/>
      <c r="K19" s="10"/>
      <c r="L19" s="10"/>
      <c r="M19" s="10"/>
      <c r="N19" s="10"/>
      <c r="O19" s="10"/>
      <c r="P19" s="10"/>
      <c r="Q19" s="11"/>
    </row>
    <row r="20" spans="1:17" x14ac:dyDescent="0.2">
      <c r="A20" s="20" t="s">
        <v>1707</v>
      </c>
      <c r="B20" s="10"/>
      <c r="C20" s="10"/>
      <c r="D20" s="10"/>
      <c r="E20" s="10"/>
      <c r="F20" s="10"/>
      <c r="G20" s="10"/>
      <c r="H20" s="10"/>
      <c r="I20" s="10"/>
      <c r="J20" s="10"/>
      <c r="K20" s="10"/>
      <c r="L20" s="10"/>
      <c r="M20" s="10"/>
      <c r="N20" s="10"/>
      <c r="O20" s="10"/>
      <c r="P20" s="10"/>
      <c r="Q20" s="11"/>
    </row>
    <row r="21" spans="1:17" x14ac:dyDescent="0.2">
      <c r="A21" s="20" t="s">
        <v>1708</v>
      </c>
      <c r="B21" s="10"/>
      <c r="C21" s="10"/>
      <c r="D21" s="10"/>
      <c r="E21" s="10"/>
      <c r="F21" s="10"/>
      <c r="G21" s="10"/>
      <c r="H21" s="10"/>
      <c r="I21" s="10"/>
      <c r="J21" s="10"/>
      <c r="K21" s="10"/>
      <c r="L21" s="10"/>
      <c r="M21" s="10"/>
      <c r="N21" s="10"/>
      <c r="O21" s="10"/>
      <c r="P21" s="10"/>
      <c r="Q21" s="11"/>
    </row>
    <row r="22" spans="1:17" x14ac:dyDescent="0.2">
      <c r="A22" s="20" t="s">
        <v>971</v>
      </c>
      <c r="B22" s="10"/>
      <c r="C22" s="10"/>
      <c r="D22" s="10"/>
      <c r="E22" s="10"/>
      <c r="F22" s="10"/>
      <c r="G22" s="10"/>
      <c r="H22" s="10"/>
      <c r="I22" s="10"/>
      <c r="J22" s="10"/>
      <c r="K22" s="10"/>
      <c r="L22" s="10"/>
      <c r="M22" s="10"/>
      <c r="N22" s="10"/>
      <c r="O22" s="10"/>
      <c r="P22" s="10"/>
      <c r="Q22" s="11"/>
    </row>
    <row r="23" spans="1:17" x14ac:dyDescent="0.2">
      <c r="A23" s="21" t="s">
        <v>826</v>
      </c>
      <c r="B23" s="10"/>
      <c r="C23" s="10"/>
      <c r="D23" s="10"/>
      <c r="E23" s="10"/>
      <c r="F23" s="10"/>
      <c r="G23" s="10"/>
      <c r="H23" s="10"/>
      <c r="I23" s="10"/>
      <c r="J23" s="10"/>
      <c r="K23" s="10"/>
      <c r="L23" s="10"/>
      <c r="M23" s="10"/>
      <c r="N23" s="10"/>
      <c r="O23" s="10"/>
      <c r="P23" s="10"/>
      <c r="Q23" s="11"/>
    </row>
    <row r="24" spans="1:17" x14ac:dyDescent="0.2">
      <c r="A24" s="21" t="s">
        <v>827</v>
      </c>
      <c r="B24" s="10"/>
      <c r="C24" s="10"/>
      <c r="D24" s="10"/>
      <c r="E24" s="10"/>
      <c r="F24" s="10"/>
      <c r="G24" s="10"/>
      <c r="H24" s="10"/>
      <c r="I24" s="10"/>
      <c r="J24" s="10"/>
      <c r="K24" s="10"/>
      <c r="L24" s="10"/>
      <c r="M24" s="10"/>
      <c r="N24" s="10"/>
      <c r="O24" s="10"/>
      <c r="P24" s="10"/>
      <c r="Q24" s="11"/>
    </row>
    <row r="25" spans="1:17" x14ac:dyDescent="0.2">
      <c r="A25" s="21" t="s">
        <v>821</v>
      </c>
      <c r="B25" s="10"/>
      <c r="C25" s="10"/>
      <c r="D25" s="10"/>
      <c r="E25" s="10"/>
      <c r="F25" s="10"/>
      <c r="G25" s="10"/>
      <c r="H25" s="10"/>
      <c r="I25" s="10"/>
      <c r="J25" s="10"/>
      <c r="K25" s="10"/>
      <c r="L25" s="10"/>
      <c r="M25" s="10"/>
      <c r="N25" s="10"/>
      <c r="O25" s="10"/>
      <c r="P25" s="10"/>
      <c r="Q25" s="11"/>
    </row>
    <row r="26" spans="1:17" x14ac:dyDescent="0.2">
      <c r="A26" s="21"/>
      <c r="B26" s="10"/>
      <c r="C26" s="10"/>
      <c r="D26" s="10"/>
      <c r="E26" s="10"/>
      <c r="F26" s="10"/>
      <c r="G26" s="10"/>
      <c r="H26" s="10"/>
      <c r="I26" s="10"/>
      <c r="J26" s="10"/>
      <c r="K26" s="10"/>
      <c r="L26" s="10"/>
      <c r="M26" s="10"/>
      <c r="N26" s="10"/>
      <c r="O26" s="10"/>
      <c r="P26" s="10"/>
      <c r="Q26" s="11"/>
    </row>
    <row r="27" spans="1:17" x14ac:dyDescent="0.2">
      <c r="A27" s="21" t="s">
        <v>2179</v>
      </c>
      <c r="B27" s="10"/>
      <c r="C27" s="10"/>
      <c r="D27" s="10"/>
      <c r="E27" s="10"/>
      <c r="F27" s="10"/>
      <c r="G27" s="10"/>
      <c r="H27" s="10"/>
      <c r="I27" s="10"/>
      <c r="J27" s="10"/>
      <c r="K27" s="10"/>
      <c r="L27" s="10"/>
      <c r="M27" s="10"/>
      <c r="N27" s="10"/>
      <c r="O27" s="10"/>
      <c r="P27" s="10"/>
      <c r="Q27" s="11"/>
    </row>
    <row r="28" spans="1:17" x14ac:dyDescent="0.2">
      <c r="A28" s="557" t="s">
        <v>2180</v>
      </c>
      <c r="B28" s="10"/>
      <c r="C28" s="10"/>
      <c r="D28" s="10"/>
      <c r="E28" s="10"/>
      <c r="F28" s="10"/>
      <c r="G28" s="10"/>
      <c r="H28" s="10"/>
      <c r="I28" s="10"/>
      <c r="J28" s="10"/>
      <c r="K28" s="10"/>
      <c r="L28" s="10"/>
      <c r="M28" s="10"/>
      <c r="N28" s="10"/>
      <c r="O28" s="10"/>
      <c r="P28" s="10"/>
      <c r="Q28" s="11"/>
    </row>
    <row r="29" spans="1:17" x14ac:dyDescent="0.2">
      <c r="A29" s="557" t="s">
        <v>2182</v>
      </c>
      <c r="B29" s="10"/>
      <c r="C29" s="10"/>
      <c r="D29" s="10"/>
      <c r="E29" s="10"/>
      <c r="F29" s="10"/>
      <c r="G29" s="10"/>
      <c r="H29" s="10"/>
      <c r="I29" s="10"/>
      <c r="J29" s="10"/>
      <c r="K29" s="10"/>
      <c r="L29" s="10"/>
      <c r="M29" s="10"/>
      <c r="N29" s="10"/>
      <c r="O29" s="10"/>
      <c r="P29" s="10"/>
      <c r="Q29" s="11"/>
    </row>
    <row r="30" spans="1:17" x14ac:dyDescent="0.2">
      <c r="A30" s="557" t="s">
        <v>2181</v>
      </c>
      <c r="B30" s="10"/>
      <c r="C30" s="10"/>
      <c r="D30" s="10"/>
      <c r="E30" s="10"/>
      <c r="F30" s="10"/>
      <c r="G30" s="10"/>
      <c r="H30" s="10"/>
      <c r="I30" s="10"/>
      <c r="J30" s="10"/>
      <c r="K30" s="10"/>
      <c r="L30" s="10"/>
      <c r="M30" s="10"/>
      <c r="N30" s="10"/>
      <c r="O30" s="10"/>
      <c r="P30" s="10"/>
      <c r="Q30" s="11"/>
    </row>
    <row r="31" spans="1:17" x14ac:dyDescent="0.2">
      <c r="A31" s="17"/>
      <c r="B31" s="10"/>
      <c r="C31" s="10"/>
      <c r="D31" s="10"/>
      <c r="E31" s="10"/>
      <c r="F31" s="10"/>
      <c r="G31" s="10"/>
      <c r="H31" s="10"/>
      <c r="I31" s="10"/>
      <c r="J31" s="10"/>
      <c r="K31" s="10"/>
      <c r="L31" s="10"/>
      <c r="M31" s="10"/>
      <c r="N31" s="10"/>
      <c r="O31" s="10"/>
      <c r="P31" s="10"/>
      <c r="Q31" s="11"/>
    </row>
    <row r="32" spans="1:17" x14ac:dyDescent="0.2">
      <c r="A32" s="14" t="s">
        <v>2264</v>
      </c>
      <c r="B32" s="10"/>
      <c r="C32" s="10"/>
      <c r="D32" s="10"/>
      <c r="E32" s="10"/>
      <c r="F32" s="10"/>
      <c r="G32" s="10"/>
      <c r="H32" s="10"/>
      <c r="I32" s="10"/>
      <c r="J32" s="10"/>
      <c r="K32" s="10"/>
      <c r="L32" s="10"/>
      <c r="M32" s="10"/>
      <c r="N32" s="10"/>
      <c r="O32" s="10"/>
      <c r="P32" s="10"/>
      <c r="Q32" s="11"/>
    </row>
    <row r="33" spans="1:17" x14ac:dyDescent="0.2">
      <c r="A33" s="557" t="s">
        <v>2265</v>
      </c>
      <c r="B33" s="10"/>
      <c r="C33" s="10"/>
      <c r="D33" s="10"/>
      <c r="E33" s="10"/>
      <c r="F33" s="10"/>
      <c r="G33" s="10"/>
      <c r="H33" s="10"/>
      <c r="I33" s="10"/>
      <c r="J33" s="10"/>
      <c r="K33" s="10"/>
      <c r="L33" s="10"/>
      <c r="M33" s="10"/>
      <c r="N33" s="10"/>
      <c r="O33" s="10"/>
      <c r="P33" s="10"/>
      <c r="Q33" s="11"/>
    </row>
    <row r="34" spans="1:17" x14ac:dyDescent="0.2">
      <c r="A34" s="557" t="s">
        <v>2266</v>
      </c>
      <c r="B34" s="10"/>
      <c r="C34" s="10"/>
      <c r="D34" s="10"/>
      <c r="E34" s="10"/>
      <c r="F34" s="10"/>
      <c r="G34" s="10"/>
      <c r="H34" s="10"/>
      <c r="I34" s="10"/>
      <c r="J34" s="10"/>
      <c r="K34" s="10"/>
      <c r="L34" s="10"/>
      <c r="M34" s="10"/>
      <c r="N34" s="10"/>
      <c r="O34" s="10"/>
      <c r="P34" s="10"/>
      <c r="Q34" s="11"/>
    </row>
    <row r="35" spans="1:17" x14ac:dyDescent="0.2">
      <c r="A35" s="557" t="s">
        <v>2267</v>
      </c>
      <c r="B35" s="10"/>
      <c r="C35" s="10"/>
      <c r="D35" s="10"/>
      <c r="E35" s="10"/>
      <c r="F35" s="10"/>
      <c r="G35" s="10"/>
      <c r="H35" s="10"/>
      <c r="I35" s="10"/>
      <c r="J35" s="10"/>
      <c r="K35" s="10"/>
      <c r="L35" s="10"/>
      <c r="M35" s="10"/>
      <c r="N35" s="10"/>
      <c r="O35" s="10"/>
      <c r="P35" s="10"/>
      <c r="Q35" s="11"/>
    </row>
    <row r="36" spans="1:17" x14ac:dyDescent="0.2">
      <c r="A36" s="557" t="s">
        <v>2270</v>
      </c>
      <c r="B36" s="10"/>
      <c r="C36" s="10"/>
      <c r="D36" s="10"/>
      <c r="E36" s="10"/>
      <c r="F36" s="10"/>
      <c r="G36" s="10"/>
      <c r="H36" s="10"/>
      <c r="I36" s="10"/>
      <c r="J36" s="10"/>
      <c r="K36" s="10"/>
      <c r="L36" s="10"/>
      <c r="M36" s="10"/>
      <c r="N36" s="10"/>
      <c r="O36" s="10"/>
      <c r="P36" s="10"/>
      <c r="Q36" s="11"/>
    </row>
    <row r="37" spans="1:17" x14ac:dyDescent="0.2">
      <c r="A37" s="17"/>
      <c r="B37" s="10"/>
      <c r="C37" s="10"/>
      <c r="D37" s="10"/>
      <c r="E37" s="10"/>
      <c r="F37" s="10"/>
      <c r="G37" s="10"/>
      <c r="H37" s="10"/>
      <c r="I37" s="10"/>
      <c r="J37" s="10"/>
      <c r="K37" s="10"/>
      <c r="L37" s="10"/>
      <c r="M37" s="10"/>
      <c r="N37" s="10"/>
      <c r="O37" s="10"/>
      <c r="P37" s="10"/>
      <c r="Q37" s="11"/>
    </row>
    <row r="38" spans="1:17" x14ac:dyDescent="0.2">
      <c r="A38" s="14" t="s">
        <v>208</v>
      </c>
      <c r="B38" s="10"/>
      <c r="C38" s="10"/>
      <c r="D38" s="10"/>
      <c r="E38" s="10"/>
      <c r="F38" s="10"/>
      <c r="G38" s="10"/>
      <c r="H38" s="10"/>
      <c r="I38" s="10"/>
      <c r="J38" s="10"/>
      <c r="K38" s="10"/>
      <c r="L38" s="10"/>
      <c r="M38" s="10"/>
      <c r="N38" s="10"/>
      <c r="O38" s="10"/>
      <c r="P38" s="10"/>
      <c r="Q38" s="11"/>
    </row>
    <row r="39" spans="1:17" x14ac:dyDescent="0.2">
      <c r="A39" s="22" t="s">
        <v>256</v>
      </c>
      <c r="B39" s="23"/>
      <c r="C39" s="23"/>
      <c r="D39" s="23"/>
      <c r="E39" s="23"/>
      <c r="F39" s="23"/>
      <c r="G39" s="23"/>
      <c r="H39" s="23"/>
      <c r="I39" s="23"/>
      <c r="J39" s="23"/>
      <c r="K39" s="23"/>
      <c r="L39" s="23"/>
      <c r="M39" s="23"/>
      <c r="N39" s="23"/>
      <c r="O39" s="23"/>
      <c r="P39" s="23"/>
      <c r="Q39" s="24"/>
    </row>
    <row r="40" spans="1:17" x14ac:dyDescent="0.2">
      <c r="A40" s="25"/>
      <c r="B40" s="26"/>
    </row>
    <row r="41" spans="1:17" x14ac:dyDescent="0.2">
      <c r="A41" s="27" t="s">
        <v>257</v>
      </c>
      <c r="B41" s="28"/>
    </row>
    <row r="42" spans="1:17" x14ac:dyDescent="0.2">
      <c r="A42" s="29" t="s">
        <v>258</v>
      </c>
      <c r="B42" s="30">
        <v>1</v>
      </c>
    </row>
    <row r="43" spans="1:17" x14ac:dyDescent="0.2">
      <c r="A43" s="31" t="s">
        <v>259</v>
      </c>
      <c r="B43" t="s">
        <v>1502</v>
      </c>
    </row>
    <row r="44" spans="1:17" x14ac:dyDescent="0.2">
      <c r="A44" s="31" t="s">
        <v>1503</v>
      </c>
      <c r="B44" t="s">
        <v>1504</v>
      </c>
    </row>
    <row r="45" spans="1:17" x14ac:dyDescent="0.2">
      <c r="A45" s="31" t="s">
        <v>755</v>
      </c>
      <c r="B45" t="s">
        <v>2042</v>
      </c>
    </row>
    <row r="46" spans="1:17" x14ac:dyDescent="0.2">
      <c r="A46" s="31" t="s">
        <v>2283</v>
      </c>
      <c r="B46">
        <v>5</v>
      </c>
    </row>
    <row r="47" spans="1:17" x14ac:dyDescent="0.2">
      <c r="A47" s="31" t="s">
        <v>511</v>
      </c>
      <c r="B47">
        <v>1</v>
      </c>
    </row>
    <row r="48" spans="1:17" x14ac:dyDescent="0.2">
      <c r="A48" s="31" t="s">
        <v>2606</v>
      </c>
      <c r="B48" t="s">
        <v>366</v>
      </c>
    </row>
    <row r="49" spans="1:255" x14ac:dyDescent="0.2">
      <c r="A49" s="31" t="s">
        <v>695</v>
      </c>
      <c r="B49">
        <v>-6</v>
      </c>
    </row>
    <row r="53" spans="1:255" x14ac:dyDescent="0.2">
      <c r="A53" s="31"/>
    </row>
    <row r="54" spans="1:255" x14ac:dyDescent="0.2">
      <c r="A54" s="33" t="s">
        <v>336</v>
      </c>
      <c r="B54" s="384"/>
    </row>
    <row r="55" spans="1:255" x14ac:dyDescent="0.2">
      <c r="A55" s="35" t="s">
        <v>337</v>
      </c>
      <c r="B55" s="385" t="s">
        <v>975</v>
      </c>
    </row>
    <row r="56" spans="1:255" x14ac:dyDescent="0.2">
      <c r="A56" t="str">
        <f>Localization!B395</f>
        <v>SSN</v>
      </c>
      <c r="B56" t="str">
        <f>[2]!GetDataConfig("ssn")</f>
        <v>ssn</v>
      </c>
    </row>
    <row r="57" spans="1:255" x14ac:dyDescent="0.2">
      <c r="A57" t="str">
        <f>Localization!B396</f>
        <v>Last Name</v>
      </c>
      <c r="B57" t="str">
        <f>[2]!GetDataConfig("name-last")</f>
        <v>name-last</v>
      </c>
    </row>
    <row r="58" spans="1:255" x14ac:dyDescent="0.2">
      <c r="A58" t="str">
        <f>Localization!B397</f>
        <v>First Name</v>
      </c>
      <c r="B58" t="str">
        <f>[2]!GetDataConfig("name-first")</f>
        <v>name-first</v>
      </c>
    </row>
    <row r="59" spans="1:255" x14ac:dyDescent="0.2">
      <c r="A59" t="str">
        <f>Localization!B398</f>
        <v>Birth Date</v>
      </c>
      <c r="B59" t="str">
        <f>[2]!GetDataConfig("date-birth")</f>
        <v>date-birth</v>
      </c>
    </row>
    <row r="60" spans="1:255" x14ac:dyDescent="0.2">
      <c r="A60" t="str">
        <f>Localization!B399</f>
        <v>Current Status</v>
      </c>
      <c r="B60" t="str">
        <f>[2]!GetDataConfig("status","Status",,"Last")</f>
        <v>[Status:Position{Last}]status</v>
      </c>
    </row>
    <row r="61" spans="1:255" x14ac:dyDescent="0.2">
      <c r="A61" t="str">
        <f>Localization!B400</f>
        <v>Previous Status</v>
      </c>
      <c r="B61" t="str">
        <f>[2]!GetDataConfig("status","Status",,"Last-1")</f>
        <v>[Status:Position{Last-1}]status</v>
      </c>
    </row>
    <row r="62" spans="1:255" x14ac:dyDescent="0.2">
      <c r="A62" t="str">
        <f>Localization!B401</f>
        <v>Batch Ind</v>
      </c>
      <c r="B62" t="str">
        <f>[2]!GetDataConfig("batch-ind")</f>
        <v>batch-ind</v>
      </c>
    </row>
    <row r="63" spans="1:255" x14ac:dyDescent="0.2">
      <c r="A63" s="32"/>
      <c r="B63" s="29"/>
    </row>
    <row r="64" spans="1:255" x14ac:dyDescent="0.2">
      <c r="A64" s="33" t="s">
        <v>2209</v>
      </c>
      <c r="B64" s="504"/>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c r="AP64" s="40"/>
      <c r="AQ64" s="40"/>
      <c r="AR64" s="40"/>
      <c r="AS64" s="40"/>
      <c r="AT64" s="40"/>
      <c r="AU64" s="40"/>
      <c r="AV64" s="40"/>
      <c r="AW64" s="40"/>
      <c r="AX64" s="40"/>
      <c r="AY64" s="40"/>
      <c r="AZ64" s="40"/>
      <c r="BA64" s="40"/>
      <c r="BB64" s="40"/>
      <c r="BC64" s="40"/>
      <c r="BD64" s="40"/>
      <c r="BE64" s="40"/>
      <c r="BF64" s="40"/>
      <c r="BG64" s="40"/>
      <c r="BH64" s="40"/>
      <c r="BI64" s="40"/>
      <c r="BJ64" s="40"/>
      <c r="BK64" s="40"/>
      <c r="BL64" s="40"/>
      <c r="BM64" s="40"/>
      <c r="BN64" s="40"/>
      <c r="BO64" s="40"/>
      <c r="BP64" s="40"/>
      <c r="BQ64" s="40"/>
      <c r="BR64" s="40"/>
      <c r="BS64" s="40"/>
      <c r="BT64" s="40"/>
      <c r="BU64" s="40"/>
      <c r="BV64" s="40"/>
      <c r="BW64" s="40"/>
      <c r="BX64" s="40"/>
      <c r="BY64" s="40"/>
      <c r="BZ64" s="40"/>
      <c r="CA64" s="40"/>
      <c r="CB64" s="40"/>
      <c r="CC64" s="40"/>
      <c r="CD64" s="40"/>
      <c r="CE64" s="40"/>
      <c r="CF64" s="40"/>
      <c r="CG64" s="40"/>
      <c r="CH64" s="40"/>
      <c r="CI64" s="40"/>
      <c r="CJ64" s="40"/>
      <c r="CK64" s="40"/>
      <c r="CL64" s="40"/>
      <c r="CM64" s="40"/>
      <c r="CN64" s="40"/>
      <c r="CO64" s="40"/>
      <c r="CP64" s="40"/>
      <c r="CQ64" s="40"/>
      <c r="CR64" s="40"/>
      <c r="CS64" s="40"/>
      <c r="CT64" s="40"/>
      <c r="CU64" s="40"/>
      <c r="CV64" s="40"/>
      <c r="CW64" s="40"/>
      <c r="CX64" s="40"/>
      <c r="CY64" s="40"/>
      <c r="CZ64" s="40"/>
      <c r="DA64" s="40"/>
      <c r="DB64" s="40"/>
      <c r="DC64" s="40"/>
      <c r="DD64" s="40"/>
      <c r="DE64" s="40"/>
      <c r="DF64" s="40"/>
      <c r="DG64" s="40"/>
      <c r="DH64" s="40"/>
      <c r="DI64" s="40"/>
      <c r="DJ64" s="40"/>
      <c r="DK64" s="40"/>
      <c r="DL64" s="40"/>
      <c r="DM64" s="40"/>
      <c r="DN64" s="40"/>
      <c r="DO64" s="40"/>
      <c r="DP64" s="40"/>
      <c r="DQ64" s="40"/>
      <c r="DR64" s="40"/>
      <c r="DS64" s="40"/>
      <c r="DT64" s="40"/>
      <c r="DU64" s="40"/>
      <c r="DV64" s="40"/>
      <c r="DW64" s="40"/>
      <c r="DX64" s="40"/>
      <c r="DY64" s="40"/>
      <c r="DZ64" s="40"/>
      <c r="EA64" s="40"/>
      <c r="EB64" s="40"/>
      <c r="EC64" s="40"/>
      <c r="ED64" s="40"/>
      <c r="EE64" s="40"/>
      <c r="EF64" s="40"/>
      <c r="EG64" s="40"/>
      <c r="EH64" s="40"/>
      <c r="EI64" s="40"/>
      <c r="EJ64" s="40"/>
      <c r="EK64" s="40"/>
      <c r="EL64" s="40"/>
      <c r="EM64" s="40"/>
      <c r="EN64" s="40"/>
      <c r="EO64" s="40"/>
      <c r="EP64" s="40"/>
      <c r="EQ64" s="40"/>
      <c r="ER64" s="40"/>
      <c r="ES64" s="40"/>
      <c r="ET64" s="40"/>
      <c r="EU64" s="40"/>
      <c r="EV64" s="40"/>
      <c r="EW64" s="40"/>
      <c r="EX64" s="40"/>
      <c r="EY64" s="40"/>
      <c r="EZ64" s="40"/>
      <c r="FA64" s="40"/>
      <c r="FB64" s="40"/>
      <c r="FC64" s="40"/>
      <c r="FD64" s="40"/>
      <c r="FE64" s="40"/>
      <c r="FF64" s="40"/>
      <c r="FG64" s="40"/>
      <c r="FH64" s="40"/>
      <c r="FI64" s="40"/>
      <c r="FJ64" s="40"/>
      <c r="FK64" s="40"/>
      <c r="FL64" s="40"/>
      <c r="FM64" s="40"/>
      <c r="FN64" s="40"/>
      <c r="FO64" s="40"/>
      <c r="FP64" s="40"/>
      <c r="FQ64" s="40"/>
      <c r="FR64" s="40"/>
      <c r="FS64" s="40"/>
      <c r="FT64" s="40"/>
      <c r="FU64" s="40"/>
      <c r="FV64" s="40"/>
      <c r="FW64" s="40"/>
      <c r="FX64" s="40"/>
      <c r="FY64" s="40"/>
      <c r="FZ64" s="40"/>
      <c r="GA64" s="40"/>
      <c r="GB64" s="40"/>
      <c r="GC64" s="40"/>
      <c r="GD64" s="40"/>
      <c r="GE64" s="40"/>
      <c r="GF64" s="40"/>
      <c r="GG64" s="40"/>
      <c r="GH64" s="40"/>
      <c r="GI64" s="40"/>
      <c r="GJ64" s="40"/>
      <c r="GK64" s="40"/>
      <c r="GL64" s="40"/>
      <c r="GM64" s="40"/>
      <c r="GN64" s="40"/>
      <c r="GO64" s="40"/>
      <c r="GP64" s="40"/>
      <c r="GQ64" s="40"/>
      <c r="GR64" s="40"/>
      <c r="GS64" s="40"/>
      <c r="GT64" s="40"/>
      <c r="GU64" s="40"/>
      <c r="GV64" s="40"/>
      <c r="GW64" s="40"/>
      <c r="GX64" s="40"/>
      <c r="GY64" s="40"/>
      <c r="GZ64" s="40"/>
      <c r="HA64" s="40"/>
      <c r="HB64" s="40"/>
      <c r="HC64" s="40"/>
      <c r="HD64" s="40"/>
      <c r="HE64" s="40"/>
      <c r="HF64" s="40"/>
      <c r="HG64" s="40"/>
      <c r="HH64" s="40"/>
      <c r="HI64" s="40"/>
      <c r="HJ64" s="40"/>
      <c r="HK64" s="40"/>
      <c r="HL64" s="40"/>
      <c r="HM64" s="40"/>
      <c r="HN64" s="40"/>
      <c r="HO64" s="40"/>
      <c r="HP64" s="40"/>
      <c r="HQ64" s="40"/>
      <c r="HR64" s="40"/>
      <c r="HS64" s="40"/>
      <c r="HT64" s="40"/>
      <c r="HU64" s="40"/>
      <c r="HV64" s="40"/>
      <c r="HW64" s="40"/>
      <c r="HX64" s="40"/>
      <c r="HY64" s="40"/>
      <c r="HZ64" s="40"/>
      <c r="IA64" s="40"/>
      <c r="IB64" s="40"/>
      <c r="IC64" s="40"/>
      <c r="ID64" s="40"/>
      <c r="IE64" s="40"/>
      <c r="IF64" s="40"/>
      <c r="IG64" s="40"/>
      <c r="IH64" s="40"/>
      <c r="II64" s="40"/>
      <c r="IJ64" s="40"/>
      <c r="IK64" s="40"/>
      <c r="IL64" s="40"/>
      <c r="IM64" s="40"/>
      <c r="IN64" s="40"/>
      <c r="IO64" s="40"/>
      <c r="IP64" s="40"/>
      <c r="IQ64" s="40"/>
      <c r="IR64" s="40"/>
      <c r="IS64" s="40"/>
      <c r="IT64" s="40"/>
      <c r="IU64" s="40"/>
    </row>
    <row r="65" spans="1:255" x14ac:dyDescent="0.2">
      <c r="A65" s="35" t="s">
        <v>2210</v>
      </c>
      <c r="B65" s="36" t="s">
        <v>2208</v>
      </c>
      <c r="C65" s="36" t="s">
        <v>1151</v>
      </c>
      <c r="D65" s="42"/>
      <c r="E65" s="42"/>
      <c r="F65" s="42"/>
      <c r="G65" s="42"/>
      <c r="H65" s="42"/>
      <c r="I65" s="42"/>
      <c r="J65" s="42"/>
      <c r="K65" s="42"/>
      <c r="L65" s="42"/>
      <c r="M65" s="42"/>
      <c r="N65" s="42"/>
      <c r="O65" s="42"/>
      <c r="P65" s="42"/>
      <c r="Q65" s="42"/>
      <c r="R65" s="42"/>
      <c r="S65" s="42"/>
      <c r="T65" s="42"/>
      <c r="U65" s="42"/>
      <c r="V65" s="42"/>
      <c r="W65" s="42"/>
      <c r="X65" s="42"/>
      <c r="Y65" s="42"/>
      <c r="Z65" s="42"/>
      <c r="AA65" s="42"/>
      <c r="AB65" s="42"/>
      <c r="AC65" s="42"/>
      <c r="AD65" s="42"/>
      <c r="AE65" s="42"/>
      <c r="AF65" s="42"/>
      <c r="AG65" s="42"/>
      <c r="AH65" s="42"/>
      <c r="AI65" s="42"/>
      <c r="AJ65" s="42"/>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c r="CV65" s="42"/>
      <c r="CW65" s="42"/>
      <c r="CX65" s="42"/>
      <c r="CY65" s="42"/>
      <c r="CZ65" s="42"/>
      <c r="DA65" s="42"/>
      <c r="DB65" s="42"/>
      <c r="DC65" s="42"/>
      <c r="DD65" s="42"/>
      <c r="DE65" s="42"/>
      <c r="DF65" s="42"/>
      <c r="DG65" s="42"/>
      <c r="DH65" s="42"/>
      <c r="DI65" s="42"/>
      <c r="DJ65" s="42"/>
      <c r="DK65" s="42"/>
      <c r="DL65" s="42"/>
      <c r="DM65" s="42"/>
      <c r="DN65" s="42"/>
      <c r="DO65" s="42"/>
      <c r="DP65" s="42"/>
      <c r="DQ65" s="42"/>
      <c r="DR65" s="42"/>
      <c r="DS65" s="42"/>
      <c r="DT65" s="42"/>
      <c r="DU65" s="42"/>
      <c r="DV65" s="42"/>
      <c r="DW65" s="42"/>
      <c r="DX65" s="42"/>
      <c r="DY65" s="42"/>
      <c r="DZ65" s="42"/>
      <c r="EA65" s="42"/>
      <c r="EB65" s="42"/>
      <c r="EC65" s="42"/>
      <c r="ED65" s="42"/>
      <c r="EE65" s="42"/>
      <c r="EF65" s="42"/>
      <c r="EG65" s="42"/>
      <c r="EH65" s="42"/>
      <c r="EI65" s="42"/>
      <c r="EJ65" s="42"/>
      <c r="EK65" s="42"/>
      <c r="EL65" s="42"/>
      <c r="EM65" s="42"/>
      <c r="EN65" s="42"/>
      <c r="EO65" s="42"/>
      <c r="EP65" s="42"/>
      <c r="EQ65" s="42"/>
      <c r="ER65" s="42"/>
      <c r="ES65" s="42"/>
      <c r="ET65" s="42"/>
      <c r="EU65" s="42"/>
      <c r="EV65" s="42"/>
      <c r="EW65" s="42"/>
      <c r="EX65" s="42"/>
      <c r="EY65" s="42"/>
      <c r="EZ65" s="42"/>
      <c r="FA65" s="42"/>
      <c r="FB65" s="42"/>
      <c r="FC65" s="42"/>
      <c r="FD65" s="42"/>
      <c r="FE65" s="42"/>
      <c r="FF65" s="42"/>
      <c r="FG65" s="42"/>
      <c r="FH65" s="42"/>
      <c r="FI65" s="42"/>
      <c r="FJ65" s="42"/>
      <c r="FK65" s="42"/>
      <c r="FL65" s="42"/>
      <c r="FM65" s="42"/>
      <c r="FN65" s="42"/>
      <c r="FO65" s="42"/>
      <c r="FP65" s="42"/>
      <c r="FQ65" s="42"/>
      <c r="FR65" s="42"/>
      <c r="FS65" s="42"/>
      <c r="FT65" s="42"/>
      <c r="FU65" s="42"/>
      <c r="FV65" s="42"/>
      <c r="FW65" s="42"/>
      <c r="FX65" s="42"/>
      <c r="FY65" s="42"/>
      <c r="FZ65" s="42"/>
      <c r="GA65" s="42"/>
      <c r="GB65" s="42"/>
      <c r="GC65" s="42"/>
      <c r="GD65" s="42"/>
      <c r="GE65" s="42"/>
      <c r="GF65" s="42"/>
      <c r="GG65" s="42"/>
      <c r="GH65" s="42"/>
      <c r="GI65" s="42"/>
      <c r="GJ65" s="42"/>
      <c r="GK65" s="42"/>
      <c r="GL65" s="42"/>
      <c r="GM65" s="42"/>
      <c r="GN65" s="42"/>
      <c r="GO65" s="42"/>
      <c r="GP65" s="42"/>
      <c r="GQ65" s="42"/>
      <c r="GR65" s="42"/>
      <c r="GS65" s="42"/>
      <c r="GT65" s="42"/>
      <c r="GU65" s="42"/>
      <c r="GV65" s="42"/>
      <c r="GW65" s="42"/>
      <c r="GX65" s="42"/>
      <c r="GY65" s="42"/>
      <c r="GZ65" s="42"/>
      <c r="HA65" s="42"/>
      <c r="HB65" s="42"/>
      <c r="HC65" s="42"/>
      <c r="HD65" s="42"/>
      <c r="HE65" s="42"/>
      <c r="HF65" s="42"/>
      <c r="HG65" s="42"/>
      <c r="HH65" s="42"/>
      <c r="HI65" s="42"/>
      <c r="HJ65" s="42"/>
      <c r="HK65" s="42"/>
      <c r="HL65" s="42"/>
      <c r="HM65" s="42"/>
      <c r="HN65" s="42"/>
      <c r="HO65" s="42"/>
      <c r="HP65" s="42"/>
      <c r="HQ65" s="42"/>
      <c r="HR65" s="42"/>
      <c r="HS65" s="42"/>
      <c r="HT65" s="42"/>
      <c r="HU65" s="42"/>
      <c r="HV65" s="42"/>
      <c r="HW65" s="42"/>
      <c r="HX65" s="42"/>
      <c r="HY65" s="42"/>
      <c r="HZ65" s="42"/>
      <c r="IA65" s="42"/>
      <c r="IB65" s="42"/>
      <c r="IC65" s="42"/>
      <c r="ID65" s="42"/>
      <c r="IE65" s="42"/>
      <c r="IF65" s="42"/>
      <c r="IG65" s="42"/>
      <c r="IH65" s="42"/>
      <c r="II65" s="42"/>
      <c r="IJ65" s="42"/>
      <c r="IK65" s="42"/>
      <c r="IL65" s="42"/>
      <c r="IM65" s="42"/>
      <c r="IN65" s="42"/>
      <c r="IO65" s="42"/>
      <c r="IP65" s="42"/>
      <c r="IQ65" s="42"/>
      <c r="IR65" s="42"/>
      <c r="IS65" s="42"/>
      <c r="IT65" s="42"/>
      <c r="IU65" s="42"/>
    </row>
    <row r="66" spans="1:255" x14ac:dyDescent="0.2">
      <c r="A66" t="str">
        <f>Localization!B366</f>
        <v>Active, Disabled, TV over 55</v>
      </c>
      <c r="B66" t="b">
        <f ca="1">AND([2]!GetProfileDate("date-birth")&gt;=[2]!AddYears(TODAY(),-55),[2]!InStrings([2]!GetProfileString("status","Status",,"Last"),"AC","LT", "TR"))</f>
        <v>1</v>
      </c>
      <c r="C66" t="str">
        <f>Localization!B379</f>
        <v>Active, Disabled, TV over 55</v>
      </c>
    </row>
    <row r="67" spans="1:255" x14ac:dyDescent="0.2">
      <c r="A67" t="str">
        <f>Localization!B367</f>
        <v>Active, Disabled, TV turning 65 in next 12 months</v>
      </c>
      <c r="B67" t="b">
        <f ca="1">AND([2]!GetProfileDate("date-birth")&gt;=[2]!AddYears(TODAY(),-64),[2]!GetProfileDate("date-birth")&lt;=[2]!AddYears(TODAY(),-65),[2]!InStrings([2]!GetProfileString("status","Status",,"Last"),"AC","LT", "TR"))</f>
        <v>0</v>
      </c>
      <c r="C67" t="str">
        <f>Localization!B380</f>
        <v>Active, Disabled, TV turning 65 in next 12 months</v>
      </c>
    </row>
    <row r="68" spans="1:255" x14ac:dyDescent="0.2">
      <c r="A68" t="str">
        <f>Localization!B368</f>
        <v>Recent Retirees</v>
      </c>
      <c r="B68" t="b">
        <f>AND([2]!GetProfileString("status","Status",,"Last")="RE",[2]!GetProfileString("status","Status",,"Last-1")&lt;&gt;"RE")</f>
        <v>0</v>
      </c>
      <c r="C68" t="str">
        <f>Localization!B381</f>
        <v>Participants changing status to Retired in last period.</v>
      </c>
    </row>
    <row r="70" spans="1:255" x14ac:dyDescent="0.2">
      <c r="A70" s="32"/>
      <c r="B70" s="29"/>
    </row>
    <row r="71" spans="1:255" x14ac:dyDescent="0.2">
      <c r="A71" s="33" t="s">
        <v>2261</v>
      </c>
      <c r="B71" s="384"/>
    </row>
    <row r="72" spans="1:255" x14ac:dyDescent="0.2">
      <c r="A72" s="35" t="s">
        <v>2020</v>
      </c>
      <c r="B72" s="385" t="s">
        <v>859</v>
      </c>
    </row>
    <row r="73" spans="1:255" x14ac:dyDescent="0.2">
      <c r="A73" t="s">
        <v>2262</v>
      </c>
      <c r="B73" s="56" t="s">
        <v>2268</v>
      </c>
    </row>
    <row r="74" spans="1:255" x14ac:dyDescent="0.2">
      <c r="A74" t="s">
        <v>2263</v>
      </c>
      <c r="B74" s="56" t="s">
        <v>2269</v>
      </c>
    </row>
    <row r="76" spans="1:255" x14ac:dyDescent="0.2">
      <c r="A76" s="32"/>
      <c r="B76" s="29"/>
    </row>
    <row r="77" spans="1:255" s="40" customFormat="1" x14ac:dyDescent="0.2">
      <c r="A77" s="33" t="s">
        <v>2049</v>
      </c>
      <c r="B77" s="39"/>
    </row>
    <row r="78" spans="1:255" s="42" customFormat="1" x14ac:dyDescent="0.2">
      <c r="A78" s="41" t="s">
        <v>2050</v>
      </c>
      <c r="B78" s="37" t="s">
        <v>2051</v>
      </c>
      <c r="C78" s="36" t="s">
        <v>2052</v>
      </c>
      <c r="D78" s="36" t="s">
        <v>1151</v>
      </c>
    </row>
    <row r="79" spans="1:255" x14ac:dyDescent="0.2">
      <c r="A79" s="43"/>
      <c r="B79" s="44"/>
      <c r="D79" s="31"/>
    </row>
    <row r="80" spans="1:255" x14ac:dyDescent="0.2">
      <c r="A80" s="43"/>
      <c r="B80" s="44"/>
      <c r="D80" s="31"/>
    </row>
    <row r="81" spans="1:4" x14ac:dyDescent="0.2">
      <c r="A81" s="43"/>
      <c r="B81" s="44"/>
      <c r="D81" s="31"/>
    </row>
    <row r="82" spans="1:4" x14ac:dyDescent="0.2">
      <c r="A82" s="43"/>
      <c r="B82" s="44"/>
      <c r="D82" s="31"/>
    </row>
    <row r="83" spans="1:4" x14ac:dyDescent="0.2">
      <c r="A83" s="45"/>
      <c r="B83" s="44"/>
      <c r="D83" s="29"/>
    </row>
    <row r="84" spans="1:4" x14ac:dyDescent="0.2">
      <c r="A84" s="29"/>
      <c r="B84" s="29"/>
    </row>
    <row r="86" spans="1:4" x14ac:dyDescent="0.2">
      <c r="A86" s="29"/>
      <c r="B86" s="29"/>
    </row>
    <row r="87" spans="1:4" x14ac:dyDescent="0.2">
      <c r="B87" s="29"/>
    </row>
    <row r="88" spans="1:4" x14ac:dyDescent="0.2">
      <c r="B88" s="29"/>
    </row>
    <row r="89" spans="1:4" x14ac:dyDescent="0.2">
      <c r="B89" s="29"/>
    </row>
    <row r="91" spans="1:4" x14ac:dyDescent="0.2">
      <c r="A91" s="29"/>
      <c r="B91" s="29"/>
    </row>
    <row r="92" spans="1:4" x14ac:dyDescent="0.2">
      <c r="B92" s="29"/>
    </row>
    <row r="94" spans="1:4" x14ac:dyDescent="0.2">
      <c r="A94" s="29"/>
      <c r="B94" s="29"/>
    </row>
    <row r="95" spans="1:4" x14ac:dyDescent="0.2">
      <c r="B95" s="29"/>
    </row>
  </sheetData>
  <phoneticPr fontId="0" type="noConversion"/>
  <dataValidations count="1">
    <dataValidation type="list" allowBlank="1" showInputMessage="1" showErrorMessage="1" sqref="B3">
      <formula1>"Plan Info,Flat Data,Historical Data,Data Lookup Tables,Framework Lookup Tables, Calc Inputs,Reports,Batch Processes,Site Configuration"</formula1>
    </dataValidation>
  </dataValidations>
  <pageMargins left="0.75" right="0.75" top="1" bottom="1" header="0.5" footer="0.5"/>
  <pageSetup orientation="portrait" horizontalDpi="200" verticalDpi="200" r:id="rId1"/>
  <headerFooter alignWithMargins="0"/>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HAFlatData">
    <tabColor theme="1"/>
  </sheetPr>
  <dimension ref="A1:AF72"/>
  <sheetViews>
    <sheetView workbookViewId="0"/>
  </sheetViews>
  <sheetFormatPr defaultRowHeight="12.75" x14ac:dyDescent="0.2"/>
  <cols>
    <col min="1" max="1" width="26.42578125" customWidth="1"/>
    <col min="2" max="2" width="9.5703125" customWidth="1"/>
    <col min="3" max="3" width="35.5703125" customWidth="1"/>
    <col min="4" max="4" width="14" bestFit="1" customWidth="1"/>
    <col min="5" max="5" width="20.85546875" customWidth="1"/>
    <col min="6" max="6" width="8.140625" bestFit="1" customWidth="1"/>
    <col min="7" max="7" width="10.140625" bestFit="1" customWidth="1"/>
    <col min="8" max="9" width="10.140625" customWidth="1"/>
    <col min="10" max="10" width="14.28515625" style="52" customWidth="1"/>
    <col min="11" max="11" width="13.5703125" style="52" customWidth="1"/>
    <col min="12" max="12" width="14" style="52" customWidth="1"/>
    <col min="13" max="13" width="18.5703125" customWidth="1"/>
    <col min="14" max="14" width="18.5703125" style="54" customWidth="1"/>
    <col min="15" max="15" width="18.5703125" customWidth="1"/>
    <col min="16" max="16" width="20.85546875" customWidth="1"/>
    <col min="17" max="17" width="14.5703125" customWidth="1"/>
    <col min="18" max="19" width="16.42578125" customWidth="1"/>
    <col min="20" max="22" width="15.5703125" customWidth="1"/>
    <col min="23" max="23" width="14.42578125" customWidth="1"/>
    <col min="24" max="24" width="14.85546875" customWidth="1"/>
    <col min="25" max="25" width="19" customWidth="1"/>
    <col min="26" max="27" width="16.7109375" customWidth="1"/>
    <col min="28" max="28" width="28.42578125" customWidth="1"/>
    <col min="29" max="29" width="26.85546875" customWidth="1"/>
    <col min="30" max="30" width="28.42578125" customWidth="1"/>
    <col min="31" max="31" width="64.7109375" customWidth="1"/>
  </cols>
  <sheetData>
    <row r="1" spans="1:14" s="3" customFormat="1" x14ac:dyDescent="0.2">
      <c r="A1" s="1" t="s">
        <v>1148</v>
      </c>
      <c r="B1" s="2"/>
      <c r="N1" s="547"/>
    </row>
    <row r="2" spans="1:14" x14ac:dyDescent="0.2">
      <c r="A2" s="4" t="s">
        <v>209</v>
      </c>
      <c r="B2" s="5">
        <v>6</v>
      </c>
      <c r="C2" s="6"/>
      <c r="D2" s="6"/>
      <c r="E2" s="6"/>
      <c r="F2" s="6"/>
      <c r="G2" s="6"/>
      <c r="H2" s="6"/>
      <c r="I2" s="6"/>
      <c r="J2" s="6"/>
      <c r="K2" s="7"/>
      <c r="L2"/>
    </row>
    <row r="3" spans="1:14" x14ac:dyDescent="0.2">
      <c r="A3" s="8" t="s">
        <v>1149</v>
      </c>
      <c r="B3" s="9" t="s">
        <v>2053</v>
      </c>
      <c r="C3" s="10"/>
      <c r="D3" s="10"/>
      <c r="E3" s="10"/>
      <c r="F3" s="10"/>
      <c r="G3" s="10"/>
      <c r="H3" s="10"/>
      <c r="I3" s="10"/>
      <c r="J3" s="10"/>
      <c r="K3" s="11"/>
      <c r="L3"/>
    </row>
    <row r="4" spans="1:14" x14ac:dyDescent="0.2">
      <c r="A4" s="8" t="s">
        <v>1151</v>
      </c>
      <c r="B4" s="12" t="s">
        <v>1129</v>
      </c>
      <c r="C4" s="10"/>
      <c r="D4" s="10"/>
      <c r="E4" s="10"/>
      <c r="F4" s="10"/>
      <c r="G4" s="10"/>
      <c r="H4" s="10"/>
      <c r="I4" s="10"/>
      <c r="J4" s="10"/>
      <c r="K4" s="11"/>
      <c r="L4"/>
    </row>
    <row r="5" spans="1:14" x14ac:dyDescent="0.2">
      <c r="A5" s="13"/>
      <c r="B5" s="12" t="s">
        <v>346</v>
      </c>
      <c r="C5" s="10"/>
      <c r="D5" s="10"/>
      <c r="E5" s="10"/>
      <c r="F5" s="10"/>
      <c r="G5" s="10"/>
      <c r="H5" s="10"/>
      <c r="I5" s="10"/>
      <c r="J5" s="10"/>
      <c r="K5" s="11"/>
      <c r="L5"/>
    </row>
    <row r="6" spans="1:14" x14ac:dyDescent="0.2">
      <c r="A6" s="13"/>
      <c r="B6" s="12" t="s">
        <v>347</v>
      </c>
      <c r="C6" s="10"/>
      <c r="D6" s="10"/>
      <c r="E6" s="10"/>
      <c r="F6" s="10"/>
      <c r="G6" s="10"/>
      <c r="H6" s="10"/>
      <c r="I6" s="10"/>
      <c r="J6" s="10"/>
      <c r="K6" s="11"/>
      <c r="L6"/>
    </row>
    <row r="7" spans="1:14" x14ac:dyDescent="0.2">
      <c r="A7" s="13"/>
      <c r="B7" s="12" t="s">
        <v>348</v>
      </c>
      <c r="C7" s="10"/>
      <c r="D7" s="10"/>
      <c r="E7" s="10"/>
      <c r="F7" s="10"/>
      <c r="G7" s="10"/>
      <c r="H7" s="10"/>
      <c r="I7" s="10"/>
      <c r="J7" s="10"/>
      <c r="K7" s="11"/>
      <c r="L7"/>
    </row>
    <row r="8" spans="1:14" x14ac:dyDescent="0.2">
      <c r="A8" s="13"/>
      <c r="B8" s="12"/>
      <c r="C8" s="10"/>
      <c r="D8" s="10"/>
      <c r="E8" s="10"/>
      <c r="F8" s="10"/>
      <c r="G8" s="10"/>
      <c r="H8" s="10"/>
      <c r="I8" s="10"/>
      <c r="J8" s="10"/>
      <c r="K8" s="11"/>
      <c r="L8"/>
    </row>
    <row r="9" spans="1:14" x14ac:dyDescent="0.2">
      <c r="A9" s="13"/>
      <c r="B9" s="12" t="s">
        <v>349</v>
      </c>
      <c r="C9" s="10"/>
      <c r="D9" s="10"/>
      <c r="E9" s="10"/>
      <c r="F9" s="10"/>
      <c r="G9" s="10"/>
      <c r="H9" s="10"/>
      <c r="I9" s="10"/>
      <c r="J9" s="10"/>
      <c r="K9" s="11"/>
      <c r="L9"/>
    </row>
    <row r="10" spans="1:14" x14ac:dyDescent="0.2">
      <c r="A10" s="13"/>
      <c r="B10" s="12" t="s">
        <v>350</v>
      </c>
      <c r="C10" s="10"/>
      <c r="D10" s="10"/>
      <c r="E10" s="10"/>
      <c r="F10" s="10"/>
      <c r="G10" s="10"/>
      <c r="H10" s="10"/>
      <c r="I10" s="10"/>
      <c r="J10" s="10"/>
      <c r="K10" s="11"/>
      <c r="L10"/>
    </row>
    <row r="11" spans="1:14" x14ac:dyDescent="0.2">
      <c r="A11" s="13"/>
      <c r="B11" s="12" t="s">
        <v>351</v>
      </c>
      <c r="C11" s="10"/>
      <c r="D11" s="10"/>
      <c r="E11" s="10"/>
      <c r="F11" s="10"/>
      <c r="G11" s="10"/>
      <c r="H11" s="10"/>
      <c r="I11" s="10"/>
      <c r="J11" s="10"/>
      <c r="K11" s="11"/>
      <c r="L11"/>
    </row>
    <row r="12" spans="1:14" x14ac:dyDescent="0.2">
      <c r="A12" s="13"/>
      <c r="B12" s="12"/>
      <c r="C12" s="10"/>
      <c r="D12" s="10"/>
      <c r="E12" s="10"/>
      <c r="F12" s="10"/>
      <c r="G12" s="10"/>
      <c r="H12" s="10"/>
      <c r="I12" s="10"/>
      <c r="J12" s="10"/>
      <c r="K12" s="11"/>
      <c r="L12"/>
    </row>
    <row r="13" spans="1:14" x14ac:dyDescent="0.2">
      <c r="A13" s="8" t="s">
        <v>352</v>
      </c>
      <c r="B13" s="12" t="s">
        <v>210</v>
      </c>
      <c r="C13" s="10"/>
      <c r="D13" s="10"/>
      <c r="E13" s="10"/>
      <c r="F13" s="10"/>
      <c r="G13" s="10"/>
      <c r="H13" s="10"/>
      <c r="I13" s="10"/>
      <c r="J13" s="10"/>
      <c r="K13" s="11"/>
      <c r="L13"/>
    </row>
    <row r="14" spans="1:14" x14ac:dyDescent="0.2">
      <c r="A14" s="13"/>
      <c r="B14" s="12" t="s">
        <v>353</v>
      </c>
      <c r="C14" s="10"/>
      <c r="D14" s="10"/>
      <c r="E14" s="10"/>
      <c r="F14" s="10"/>
      <c r="G14" s="10"/>
      <c r="H14" s="10"/>
      <c r="I14" s="10"/>
      <c r="J14" s="10"/>
      <c r="K14" s="11"/>
      <c r="L14"/>
    </row>
    <row r="15" spans="1:14" x14ac:dyDescent="0.2">
      <c r="A15" s="46"/>
      <c r="B15" s="47"/>
      <c r="C15" s="23"/>
      <c r="D15" s="23"/>
      <c r="E15" s="23"/>
      <c r="F15" s="23"/>
      <c r="G15" s="23"/>
      <c r="H15" s="23"/>
      <c r="I15" s="23"/>
      <c r="J15" s="23"/>
      <c r="K15" s="24"/>
      <c r="L15"/>
    </row>
    <row r="16" spans="1:14" x14ac:dyDescent="0.2">
      <c r="A16" s="25"/>
      <c r="B16" s="26"/>
      <c r="J16"/>
      <c r="K16"/>
      <c r="L16"/>
    </row>
    <row r="17" spans="1:30" ht="27" customHeight="1" x14ac:dyDescent="0.2">
      <c r="A17" s="48" t="s">
        <v>354</v>
      </c>
      <c r="B17" s="48" t="s">
        <v>355</v>
      </c>
      <c r="C17" s="48" t="s">
        <v>356</v>
      </c>
      <c r="D17" s="48" t="s">
        <v>973</v>
      </c>
      <c r="E17" s="49" t="s">
        <v>338</v>
      </c>
      <c r="F17" s="48" t="s">
        <v>357</v>
      </c>
      <c r="G17" s="48" t="s">
        <v>358</v>
      </c>
      <c r="H17" s="48" t="s">
        <v>2300</v>
      </c>
      <c r="I17" s="48" t="s">
        <v>2301</v>
      </c>
      <c r="J17" s="49" t="s">
        <v>359</v>
      </c>
      <c r="K17" s="49" t="s">
        <v>360</v>
      </c>
      <c r="L17" s="48" t="s">
        <v>1376</v>
      </c>
      <c r="M17" s="49" t="s">
        <v>1377</v>
      </c>
      <c r="N17" s="49" t="s">
        <v>2168</v>
      </c>
      <c r="O17" s="49" t="s">
        <v>1378</v>
      </c>
      <c r="P17" s="49" t="s">
        <v>2003</v>
      </c>
      <c r="Q17" s="49" t="s">
        <v>2001</v>
      </c>
      <c r="R17" s="49" t="s">
        <v>2002</v>
      </c>
      <c r="S17" s="49" t="s">
        <v>921</v>
      </c>
      <c r="T17" s="48" t="s">
        <v>2302</v>
      </c>
      <c r="U17" s="48" t="s">
        <v>2303</v>
      </c>
      <c r="V17" s="48" t="s">
        <v>2305</v>
      </c>
      <c r="W17" s="48" t="s">
        <v>361</v>
      </c>
      <c r="X17" s="48" t="s">
        <v>756</v>
      </c>
      <c r="Y17" s="48" t="s">
        <v>68</v>
      </c>
      <c r="Z17" s="48" t="s">
        <v>77</v>
      </c>
      <c r="AA17" s="48" t="s">
        <v>2306</v>
      </c>
      <c r="AB17" s="48" t="s">
        <v>1100</v>
      </c>
      <c r="AC17" s="48" t="s">
        <v>1101</v>
      </c>
      <c r="AD17" s="48" t="s">
        <v>1102</v>
      </c>
    </row>
    <row r="18" spans="1:30" x14ac:dyDescent="0.2">
      <c r="A18" s="50" t="s">
        <v>362</v>
      </c>
      <c r="B18" s="50"/>
      <c r="C18" s="50" t="str">
        <f>Localization!B19</f>
        <v>Employee Information</v>
      </c>
      <c r="D18" s="50"/>
      <c r="E18" s="50"/>
      <c r="F18" s="50"/>
      <c r="G18" s="50"/>
      <c r="H18" s="50"/>
      <c r="I18" s="50"/>
      <c r="J18" s="51"/>
      <c r="K18" s="51"/>
      <c r="L18" s="50"/>
      <c r="M18" s="51"/>
      <c r="N18" s="64"/>
      <c r="O18" s="51"/>
      <c r="P18" s="392"/>
      <c r="Q18" s="51"/>
      <c r="R18" s="51"/>
      <c r="S18" s="51"/>
      <c r="T18" s="50"/>
      <c r="U18" s="50"/>
      <c r="V18" s="50"/>
      <c r="W18" s="50"/>
      <c r="X18" s="50"/>
      <c r="Y18" s="50"/>
      <c r="Z18" s="50"/>
      <c r="AA18" s="50"/>
      <c r="AB18" s="50"/>
      <c r="AC18" s="50"/>
      <c r="AD18" s="50"/>
    </row>
    <row r="19" spans="1:30" x14ac:dyDescent="0.2">
      <c r="A19" s="50" t="s">
        <v>364</v>
      </c>
      <c r="B19" s="50"/>
      <c r="C19" s="50" t="str">
        <f>Localization!B20</f>
        <v>Basic Information</v>
      </c>
      <c r="D19" s="50"/>
      <c r="E19" s="50"/>
      <c r="F19" s="50"/>
      <c r="G19" s="50"/>
      <c r="H19" s="50"/>
      <c r="I19" s="50"/>
      <c r="J19" s="51"/>
      <c r="K19" s="51"/>
      <c r="L19" s="50"/>
      <c r="M19" s="51"/>
      <c r="N19" s="64"/>
      <c r="O19" s="51"/>
      <c r="P19" s="392"/>
      <c r="Q19" s="51"/>
      <c r="R19" s="51"/>
      <c r="S19" s="51"/>
      <c r="T19" s="50"/>
      <c r="U19" s="50"/>
      <c r="V19" s="50"/>
      <c r="W19" s="50"/>
      <c r="X19" s="50"/>
      <c r="Y19" s="50"/>
      <c r="Z19" s="50"/>
      <c r="AA19" s="50"/>
      <c r="AB19" s="50"/>
      <c r="AC19" s="50"/>
      <c r="AD19" s="50"/>
    </row>
    <row r="20" spans="1:30" x14ac:dyDescent="0.2">
      <c r="A20" s="29" t="s">
        <v>342</v>
      </c>
      <c r="B20" s="52" t="s">
        <v>366</v>
      </c>
      <c r="C20" t="str">
        <f>Localization!B21</f>
        <v>Last Name</v>
      </c>
      <c r="E20" t="s">
        <v>367</v>
      </c>
      <c r="K20" s="52" t="s">
        <v>368</v>
      </c>
      <c r="L20"/>
      <c r="M20" s="52"/>
      <c r="O20" s="52"/>
      <c r="P20" s="393"/>
      <c r="Q20" s="52"/>
      <c r="R20" s="52"/>
      <c r="S20" s="52"/>
      <c r="W20" s="53" t="s">
        <v>366</v>
      </c>
      <c r="X20" s="53"/>
      <c r="Y20" s="53"/>
      <c r="Z20" s="53"/>
      <c r="AA20" s="53"/>
      <c r="AB20" s="52" t="s">
        <v>366</v>
      </c>
      <c r="AC20" s="54" t="str">
        <f>"Y/Header:"&amp;Localization!B21</f>
        <v>Y/Header:Last Name</v>
      </c>
      <c r="AD20" s="52" t="s">
        <v>366</v>
      </c>
    </row>
    <row r="21" spans="1:30" x14ac:dyDescent="0.2">
      <c r="A21" s="29" t="s">
        <v>344</v>
      </c>
      <c r="B21" s="52" t="s">
        <v>366</v>
      </c>
      <c r="C21" t="str">
        <f>Localization!B22</f>
        <v>First Name</v>
      </c>
      <c r="E21" t="s">
        <v>367</v>
      </c>
      <c r="K21" s="52" t="s">
        <v>368</v>
      </c>
      <c r="L21"/>
      <c r="M21" s="52"/>
      <c r="O21" s="52"/>
      <c r="P21" s="393"/>
      <c r="Q21" s="52"/>
      <c r="R21" s="52"/>
      <c r="S21" s="52"/>
      <c r="W21" s="50"/>
      <c r="X21" s="50"/>
      <c r="Y21" s="50"/>
      <c r="Z21" s="50"/>
      <c r="AA21" s="50"/>
      <c r="AB21" s="52" t="s">
        <v>366</v>
      </c>
      <c r="AC21" s="54" t="str">
        <f>"Y/Header:"&amp;Localization!B22</f>
        <v>Y/Header:First Name</v>
      </c>
      <c r="AD21" s="52" t="s">
        <v>366</v>
      </c>
    </row>
    <row r="22" spans="1:30" x14ac:dyDescent="0.2">
      <c r="A22" s="29" t="s">
        <v>369</v>
      </c>
      <c r="B22" s="52" t="s">
        <v>366</v>
      </c>
      <c r="C22" t="str">
        <f>Localization!B23</f>
        <v>Middle Initial</v>
      </c>
      <c r="E22" t="s">
        <v>367</v>
      </c>
      <c r="L22"/>
      <c r="M22" s="52"/>
      <c r="O22" s="52"/>
      <c r="P22" s="393"/>
      <c r="Q22" s="52"/>
      <c r="R22" s="52"/>
      <c r="S22" s="52"/>
      <c r="W22" s="50"/>
      <c r="X22" s="50"/>
      <c r="Y22" s="50"/>
      <c r="Z22" s="50"/>
      <c r="AA22" s="50"/>
      <c r="AB22" s="52" t="s">
        <v>366</v>
      </c>
      <c r="AC22" s="54" t="str">
        <f>"Y/Header:"&amp;Localization!B23</f>
        <v>Y/Header:Middle Initial</v>
      </c>
      <c r="AD22" s="50"/>
    </row>
    <row r="23" spans="1:30" x14ac:dyDescent="0.2">
      <c r="A23" s="29" t="s">
        <v>371</v>
      </c>
      <c r="B23" s="52" t="s">
        <v>366</v>
      </c>
      <c r="C23" t="str">
        <f>Localization!B24</f>
        <v>Sex</v>
      </c>
      <c r="E23" t="s">
        <v>373</v>
      </c>
      <c r="J23" s="53" t="s">
        <v>368</v>
      </c>
      <c r="K23" s="52" t="s">
        <v>374</v>
      </c>
      <c r="L23" s="29"/>
      <c r="M23" s="52"/>
      <c r="O23" s="52"/>
      <c r="P23" s="393"/>
      <c r="Q23" s="52"/>
      <c r="R23" s="52"/>
      <c r="S23" s="52"/>
      <c r="T23" s="29"/>
      <c r="U23" s="29"/>
      <c r="V23" s="29"/>
      <c r="W23" s="50"/>
      <c r="X23" s="50"/>
      <c r="Y23" s="50"/>
      <c r="Z23" s="50"/>
      <c r="AA23" s="50"/>
      <c r="AB23" s="52" t="s">
        <v>366</v>
      </c>
      <c r="AC23" s="50"/>
      <c r="AD23" s="50"/>
    </row>
    <row r="24" spans="1:30" x14ac:dyDescent="0.2">
      <c r="A24" s="29" t="s">
        <v>1504</v>
      </c>
      <c r="B24" s="52" t="s">
        <v>366</v>
      </c>
      <c r="C24" t="str">
        <f>Localization!B25</f>
        <v>SSN</v>
      </c>
      <c r="D24" t="s">
        <v>291</v>
      </c>
      <c r="E24" t="s">
        <v>1848</v>
      </c>
      <c r="J24" s="52" t="s">
        <v>374</v>
      </c>
      <c r="K24" s="52" t="s">
        <v>368</v>
      </c>
      <c r="L24"/>
      <c r="M24" s="52"/>
      <c r="O24" s="52"/>
      <c r="P24" s="393"/>
      <c r="Q24" s="52"/>
      <c r="R24" s="52"/>
      <c r="S24" s="52"/>
      <c r="W24" s="50"/>
      <c r="X24" s="50"/>
      <c r="Y24" s="50"/>
      <c r="Z24" s="29">
        <v>9</v>
      </c>
      <c r="AA24" s="29"/>
      <c r="AB24" s="52" t="s">
        <v>366</v>
      </c>
      <c r="AC24" s="50"/>
      <c r="AD24" s="52" t="s">
        <v>366</v>
      </c>
    </row>
    <row r="25" spans="1:30" x14ac:dyDescent="0.2">
      <c r="A25" s="29" t="s">
        <v>2042</v>
      </c>
      <c r="B25" s="52" t="s">
        <v>366</v>
      </c>
      <c r="C25" t="str">
        <f>Localization!B26</f>
        <v>Date of Birth</v>
      </c>
      <c r="D25" s="55"/>
      <c r="E25" s="29" t="s">
        <v>2051</v>
      </c>
      <c r="F25" s="55">
        <v>1</v>
      </c>
      <c r="G25" s="55">
        <f ca="1">[2]!AddYears( TODAY(),-18 )</f>
        <v>36008</v>
      </c>
      <c r="H25" s="55"/>
      <c r="I25" s="55"/>
      <c r="J25" s="52" t="s">
        <v>374</v>
      </c>
      <c r="K25" s="53" t="s">
        <v>368</v>
      </c>
      <c r="L25" s="29"/>
      <c r="M25" s="53"/>
      <c r="N25" s="66"/>
      <c r="O25" s="53"/>
      <c r="P25" s="394"/>
      <c r="Q25" s="53"/>
      <c r="R25" s="53"/>
      <c r="S25" s="53"/>
      <c r="T25" s="29"/>
      <c r="U25" s="29"/>
      <c r="V25" s="29"/>
      <c r="W25" s="53" t="s">
        <v>366</v>
      </c>
      <c r="X25" s="53"/>
      <c r="Y25" s="53"/>
      <c r="Z25" s="53"/>
      <c r="AA25" s="53"/>
      <c r="AB25" s="52" t="s">
        <v>366</v>
      </c>
      <c r="AC25" s="50"/>
      <c r="AD25" s="50"/>
    </row>
    <row r="26" spans="1:30" x14ac:dyDescent="0.2">
      <c r="A26" s="29" t="s">
        <v>376</v>
      </c>
      <c r="B26" s="52" t="s">
        <v>366</v>
      </c>
      <c r="C26" t="str">
        <f>Localization!B27</f>
        <v>Date of Death</v>
      </c>
      <c r="D26" s="55"/>
      <c r="E26" s="29" t="s">
        <v>2051</v>
      </c>
      <c r="F26" s="55">
        <v>1</v>
      </c>
      <c r="G26" s="55">
        <f ca="1">TODAY()</f>
        <v>42583</v>
      </c>
      <c r="H26" s="55"/>
      <c r="I26" s="55"/>
      <c r="J26" s="52" t="s">
        <v>374</v>
      </c>
      <c r="K26" s="53"/>
      <c r="L26" s="29"/>
      <c r="M26" s="53"/>
      <c r="N26" s="66"/>
      <c r="O26" s="53"/>
      <c r="P26" s="394"/>
      <c r="Q26" s="53"/>
      <c r="R26" s="53"/>
      <c r="S26" s="53"/>
      <c r="T26" s="29"/>
      <c r="U26" s="29"/>
      <c r="V26" s="29"/>
      <c r="W26" s="50"/>
      <c r="X26" s="50"/>
      <c r="Y26" s="50"/>
      <c r="Z26" s="50"/>
      <c r="AA26" s="50"/>
      <c r="AB26" s="52" t="s">
        <v>366</v>
      </c>
      <c r="AC26" s="50"/>
      <c r="AD26" s="50"/>
    </row>
    <row r="27" spans="1:30" s="29" customFormat="1" x14ac:dyDescent="0.2">
      <c r="A27" s="50" t="s">
        <v>364</v>
      </c>
      <c r="B27" s="51"/>
      <c r="C27" s="50" t="str">
        <f>Localization!B28</f>
        <v>Employment Information</v>
      </c>
      <c r="D27" s="50"/>
      <c r="E27" s="50"/>
      <c r="F27" s="50"/>
      <c r="G27" s="50"/>
      <c r="H27" s="50"/>
      <c r="I27" s="50"/>
      <c r="J27" s="52"/>
      <c r="K27" s="51"/>
      <c r="L27" s="50"/>
      <c r="M27" s="51"/>
      <c r="N27" s="64"/>
      <c r="O27" s="51"/>
      <c r="P27" s="392"/>
      <c r="Q27" s="51"/>
      <c r="R27" s="51"/>
      <c r="S27" s="51"/>
      <c r="T27" s="50"/>
      <c r="U27" s="50"/>
      <c r="V27" s="50"/>
      <c r="W27" s="50"/>
      <c r="X27" s="50"/>
      <c r="Y27" s="50"/>
      <c r="Z27" s="50"/>
      <c r="AA27" s="50"/>
      <c r="AB27" s="51"/>
      <c r="AC27" s="50"/>
      <c r="AD27" s="50"/>
    </row>
    <row r="28" spans="1:30" x14ac:dyDescent="0.2">
      <c r="A28" s="29" t="s">
        <v>379</v>
      </c>
      <c r="B28" s="52" t="s">
        <v>366</v>
      </c>
      <c r="C28" t="str">
        <f>Localization!B29</f>
        <v>Division</v>
      </c>
      <c r="E28" t="s">
        <v>381</v>
      </c>
      <c r="J28" s="52" t="s">
        <v>368</v>
      </c>
      <c r="L28" s="29"/>
      <c r="M28" s="52"/>
      <c r="O28" s="52"/>
      <c r="P28" s="393"/>
      <c r="Q28" s="52"/>
      <c r="R28" s="52"/>
      <c r="S28" s="52"/>
      <c r="T28" s="29"/>
      <c r="U28" s="29"/>
      <c r="V28" s="29"/>
      <c r="W28" s="53" t="s">
        <v>366</v>
      </c>
      <c r="X28" s="53"/>
      <c r="Y28" s="53"/>
      <c r="Z28" s="53"/>
      <c r="AA28" s="53"/>
      <c r="AB28" s="52" t="s">
        <v>366</v>
      </c>
      <c r="AC28" s="50"/>
      <c r="AD28" s="50"/>
    </row>
    <row r="29" spans="1:30" x14ac:dyDescent="0.2">
      <c r="A29" s="29" t="s">
        <v>382</v>
      </c>
      <c r="B29" s="52" t="s">
        <v>366</v>
      </c>
      <c r="C29" t="str">
        <f>Localization!B30</f>
        <v>Location</v>
      </c>
      <c r="E29" t="s">
        <v>384</v>
      </c>
      <c r="G29" s="44"/>
      <c r="H29" s="44"/>
      <c r="I29" s="44"/>
      <c r="J29" s="52" t="s">
        <v>368</v>
      </c>
      <c r="L29"/>
      <c r="M29" s="52"/>
      <c r="O29" s="52"/>
      <c r="P29" s="393"/>
      <c r="Q29" s="52"/>
      <c r="R29" s="52"/>
      <c r="S29" s="52"/>
      <c r="W29" s="50"/>
      <c r="X29" s="50"/>
      <c r="Y29" s="50"/>
      <c r="Z29" s="50"/>
      <c r="AA29" s="50"/>
      <c r="AB29" s="52" t="s">
        <v>366</v>
      </c>
      <c r="AC29" s="50"/>
      <c r="AD29" s="50"/>
    </row>
    <row r="30" spans="1:30" x14ac:dyDescent="0.2">
      <c r="A30" s="29" t="s">
        <v>385</v>
      </c>
      <c r="B30" s="52" t="s">
        <v>366</v>
      </c>
      <c r="C30" t="str">
        <f>Localization!B31</f>
        <v>Job Title</v>
      </c>
      <c r="E30" t="s">
        <v>367</v>
      </c>
      <c r="L30"/>
      <c r="M30" s="52"/>
      <c r="O30" s="52"/>
      <c r="P30" s="393"/>
      <c r="Q30" s="52"/>
      <c r="R30" s="52"/>
      <c r="S30" s="52"/>
      <c r="W30" s="50"/>
      <c r="X30" s="50"/>
      <c r="Y30" s="50"/>
      <c r="Z30" s="50"/>
      <c r="AA30" s="50"/>
      <c r="AB30" s="52"/>
      <c r="AC30" s="50"/>
      <c r="AD30" s="50"/>
    </row>
    <row r="31" spans="1:30" x14ac:dyDescent="0.2">
      <c r="A31" s="29" t="s">
        <v>387</v>
      </c>
      <c r="B31" s="52" t="s">
        <v>366</v>
      </c>
      <c r="C31" t="str">
        <f>Localization!B32</f>
        <v>Original Date of Hire</v>
      </c>
      <c r="D31" s="55"/>
      <c r="E31" s="29" t="s">
        <v>2051</v>
      </c>
      <c r="F31" s="55">
        <v>23377</v>
      </c>
      <c r="G31" s="55">
        <f ca="1">TODAY()</f>
        <v>42583</v>
      </c>
      <c r="H31" s="55"/>
      <c r="I31" s="55"/>
      <c r="J31" s="52" t="s">
        <v>374</v>
      </c>
      <c r="K31" s="53" t="s">
        <v>368</v>
      </c>
      <c r="L31" s="29"/>
      <c r="M31" s="53"/>
      <c r="N31" s="66"/>
      <c r="O31" s="53"/>
      <c r="P31" s="394"/>
      <c r="Q31" s="53"/>
      <c r="R31" s="53"/>
      <c r="S31" s="53"/>
      <c r="T31" s="29"/>
      <c r="U31" s="29"/>
      <c r="V31" s="29"/>
      <c r="W31" s="53" t="s">
        <v>366</v>
      </c>
      <c r="X31" s="53"/>
      <c r="Y31" s="53"/>
      <c r="Z31" s="53"/>
      <c r="AA31" s="53"/>
      <c r="AB31" s="52" t="s">
        <v>366</v>
      </c>
      <c r="AC31" s="50"/>
      <c r="AD31" s="50"/>
    </row>
    <row r="32" spans="1:30" x14ac:dyDescent="0.2">
      <c r="A32" s="29" t="s">
        <v>389</v>
      </c>
      <c r="B32" s="52" t="s">
        <v>366</v>
      </c>
      <c r="C32" t="str">
        <f>Localization!B33</f>
        <v>Final Termination Date</v>
      </c>
      <c r="D32" s="55"/>
      <c r="E32" s="29" t="s">
        <v>2051</v>
      </c>
      <c r="F32" s="55">
        <v>23377</v>
      </c>
      <c r="G32" s="55">
        <f ca="1">TODAY()</f>
        <v>42583</v>
      </c>
      <c r="H32" s="55"/>
      <c r="I32" s="55"/>
      <c r="J32" s="52" t="s">
        <v>374</v>
      </c>
      <c r="K32" s="53"/>
      <c r="L32" s="29"/>
      <c r="M32" s="53"/>
      <c r="N32" s="66"/>
      <c r="O32" s="53"/>
      <c r="P32" s="394"/>
      <c r="Q32" s="53"/>
      <c r="R32" s="53"/>
      <c r="S32" s="53"/>
      <c r="T32" s="29"/>
      <c r="U32" s="29"/>
      <c r="V32" s="29"/>
      <c r="W32" s="53" t="s">
        <v>366</v>
      </c>
      <c r="X32" s="53"/>
      <c r="Y32" s="53"/>
      <c r="Z32" s="53"/>
      <c r="AA32" s="53"/>
      <c r="AB32" s="52" t="s">
        <v>366</v>
      </c>
      <c r="AC32" s="50"/>
      <c r="AD32" s="50"/>
    </row>
    <row r="33" spans="1:32" x14ac:dyDescent="0.2">
      <c r="A33" s="50" t="s">
        <v>364</v>
      </c>
      <c r="B33" s="51"/>
      <c r="C33" s="50" t="str">
        <f>Localization!B34</f>
        <v>Demographic Information</v>
      </c>
      <c r="D33" s="50"/>
      <c r="E33" s="50"/>
      <c r="F33" s="50"/>
      <c r="G33" s="50"/>
      <c r="H33" s="50"/>
      <c r="I33" s="50"/>
      <c r="J33" s="51"/>
      <c r="K33" s="51"/>
      <c r="L33" s="50"/>
      <c r="M33" s="51"/>
      <c r="N33" s="64"/>
      <c r="O33" s="51"/>
      <c r="P33" s="392"/>
      <c r="Q33" s="51"/>
      <c r="R33" s="51"/>
      <c r="S33" s="51"/>
      <c r="T33" s="50"/>
      <c r="U33" s="50"/>
      <c r="V33" s="50"/>
      <c r="W33" s="50"/>
      <c r="X33" s="50"/>
      <c r="Y33" s="50"/>
      <c r="Z33" s="50"/>
      <c r="AA33" s="50"/>
      <c r="AB33" s="51"/>
      <c r="AC33" s="50"/>
      <c r="AD33" s="50"/>
    </row>
    <row r="34" spans="1:32" x14ac:dyDescent="0.2">
      <c r="A34" s="29" t="s">
        <v>1003</v>
      </c>
      <c r="B34" s="52" t="s">
        <v>366</v>
      </c>
      <c r="C34" t="str">
        <f>Localization!B35</f>
        <v>Address 1</v>
      </c>
      <c r="E34" t="s">
        <v>367</v>
      </c>
      <c r="L34"/>
      <c r="M34" s="52"/>
      <c r="O34" s="52"/>
      <c r="P34" s="393"/>
      <c r="Q34" s="52"/>
      <c r="R34" s="52"/>
      <c r="S34" s="52"/>
      <c r="W34" s="53" t="s">
        <v>366</v>
      </c>
      <c r="X34" s="53"/>
      <c r="Y34" s="53"/>
      <c r="Z34" s="53"/>
      <c r="AA34" s="53"/>
      <c r="AB34" s="52" t="s">
        <v>366</v>
      </c>
      <c r="AC34" s="54" t="str">
        <f>"Y/Header:"&amp;Localization!B35</f>
        <v>Y/Header:Address 1</v>
      </c>
      <c r="AD34" s="50"/>
    </row>
    <row r="35" spans="1:32" s="29" customFormat="1" x14ac:dyDescent="0.2">
      <c r="A35" s="29" t="s">
        <v>1005</v>
      </c>
      <c r="B35" s="52" t="s">
        <v>366</v>
      </c>
      <c r="C35" t="str">
        <f>Localization!B36</f>
        <v>Address 2</v>
      </c>
      <c r="D35"/>
      <c r="E35" t="s">
        <v>367</v>
      </c>
      <c r="F35"/>
      <c r="G35"/>
      <c r="H35"/>
      <c r="I35"/>
      <c r="J35" s="52"/>
      <c r="K35" s="52"/>
      <c r="L35"/>
      <c r="M35" s="52"/>
      <c r="N35" s="54"/>
      <c r="O35" s="52"/>
      <c r="P35" s="393"/>
      <c r="Q35" s="52"/>
      <c r="R35" s="52"/>
      <c r="S35" s="52"/>
      <c r="T35"/>
      <c r="U35"/>
      <c r="V35"/>
      <c r="W35" s="53"/>
      <c r="X35" s="53"/>
      <c r="Y35" s="53"/>
      <c r="Z35" s="53"/>
      <c r="AA35" s="53"/>
      <c r="AB35" s="52" t="s">
        <v>366</v>
      </c>
      <c r="AC35" s="54" t="str">
        <f>"Y/Header:"&amp;Localization!B36</f>
        <v>Y/Header:Address 2</v>
      </c>
      <c r="AD35" s="50"/>
    </row>
    <row r="36" spans="1:32" s="29" customFormat="1" x14ac:dyDescent="0.2">
      <c r="A36" s="29" t="s">
        <v>1007</v>
      </c>
      <c r="B36" s="52" t="s">
        <v>366</v>
      </c>
      <c r="C36" t="str">
        <f>Localization!B37</f>
        <v>City</v>
      </c>
      <c r="D36"/>
      <c r="E36" t="s">
        <v>367</v>
      </c>
      <c r="F36"/>
      <c r="G36"/>
      <c r="H36"/>
      <c r="I36"/>
      <c r="J36" s="52"/>
      <c r="K36" s="52"/>
      <c r="L36"/>
      <c r="M36" s="52"/>
      <c r="N36" s="54"/>
      <c r="O36" s="52"/>
      <c r="P36" s="393"/>
      <c r="Q36" s="52"/>
      <c r="R36" s="52"/>
      <c r="S36" s="52"/>
      <c r="T36"/>
      <c r="U36"/>
      <c r="V36"/>
      <c r="W36" s="53"/>
      <c r="X36" s="53"/>
      <c r="Y36" s="53"/>
      <c r="Z36" s="53"/>
      <c r="AA36" s="53"/>
      <c r="AB36" s="52" t="s">
        <v>366</v>
      </c>
      <c r="AC36" s="54" t="str">
        <f>"Y/Header:"&amp;Localization!B37</f>
        <v>Y/Header:City</v>
      </c>
      <c r="AD36" s="50"/>
    </row>
    <row r="37" spans="1:32" x14ac:dyDescent="0.2">
      <c r="A37" s="29" t="s">
        <v>1009</v>
      </c>
      <c r="B37" s="52" t="s">
        <v>366</v>
      </c>
      <c r="C37" t="str">
        <f>Localization!B38</f>
        <v>State</v>
      </c>
      <c r="E37" t="s">
        <v>1011</v>
      </c>
      <c r="L37"/>
      <c r="M37" s="52"/>
      <c r="O37" s="52"/>
      <c r="P37" s="393"/>
      <c r="Q37" s="52"/>
      <c r="R37" s="52"/>
      <c r="S37" s="52"/>
      <c r="W37" s="53"/>
      <c r="X37" s="53"/>
      <c r="Y37" s="53"/>
      <c r="Z37" s="53"/>
      <c r="AA37" s="53"/>
      <c r="AB37" s="52" t="s">
        <v>366</v>
      </c>
      <c r="AC37" s="54" t="str">
        <f>"Y/Header:"&amp;Localization!B38</f>
        <v>Y/Header:State</v>
      </c>
      <c r="AD37" s="50"/>
    </row>
    <row r="38" spans="1:32" x14ac:dyDescent="0.2">
      <c r="A38" s="29" t="s">
        <v>1012</v>
      </c>
      <c r="B38" s="52" t="s">
        <v>366</v>
      </c>
      <c r="C38" t="str">
        <f>Localization!B39</f>
        <v>Zip Code</v>
      </c>
      <c r="E38" t="s">
        <v>367</v>
      </c>
      <c r="L38" t="s">
        <v>1014</v>
      </c>
      <c r="M38" s="52" t="s">
        <v>368</v>
      </c>
      <c r="N38" s="54" t="str">
        <f>Localization!B40</f>
        <v>Please enter a valid standard 5 digit US Zip Code format (#####) or the US ZIP + 4 Standard format (#####-####).</v>
      </c>
      <c r="O38" s="52"/>
      <c r="P38" s="393"/>
      <c r="Q38" s="52"/>
      <c r="R38" s="52"/>
      <c r="S38" s="52"/>
      <c r="W38" s="53"/>
      <c r="X38" s="53"/>
      <c r="Y38" s="53"/>
      <c r="Z38" s="53"/>
      <c r="AA38" s="53"/>
      <c r="AB38" s="52" t="s">
        <v>366</v>
      </c>
      <c r="AC38" s="54" t="str">
        <f>"Y/Header:"&amp;Localization!B39</f>
        <v>Y/Header:Zip Code</v>
      </c>
      <c r="AD38" s="50"/>
    </row>
    <row r="39" spans="1:32" x14ac:dyDescent="0.2">
      <c r="A39" s="50" t="s">
        <v>364</v>
      </c>
      <c r="B39" s="51"/>
      <c r="C39" s="50" t="str">
        <f>Localization!B41</f>
        <v>Beneficiary Information</v>
      </c>
      <c r="D39" s="50"/>
      <c r="E39" s="50"/>
      <c r="F39" s="50"/>
      <c r="G39" s="50"/>
      <c r="H39" s="50"/>
      <c r="I39" s="50"/>
      <c r="J39" s="51"/>
      <c r="K39" s="51"/>
      <c r="L39" s="50"/>
      <c r="M39" s="51"/>
      <c r="N39" s="64"/>
      <c r="O39" s="51"/>
      <c r="P39" s="392"/>
      <c r="Q39" s="51"/>
      <c r="R39" s="51"/>
      <c r="S39" s="51"/>
      <c r="T39" s="50"/>
      <c r="U39" s="50"/>
      <c r="V39" s="50"/>
      <c r="W39" s="50"/>
      <c r="X39" s="50"/>
      <c r="Y39" s="50"/>
      <c r="Z39" s="50"/>
      <c r="AA39" s="50"/>
      <c r="AB39" s="51"/>
      <c r="AC39" s="50"/>
      <c r="AD39" s="50"/>
    </row>
    <row r="40" spans="1:32" x14ac:dyDescent="0.2">
      <c r="A40" s="29" t="s">
        <v>1016</v>
      </c>
      <c r="B40" s="52" t="s">
        <v>366</v>
      </c>
      <c r="C40" t="str">
        <f>Localization!B42</f>
        <v>Last Name</v>
      </c>
      <c r="E40" t="s">
        <v>367</v>
      </c>
      <c r="L40"/>
      <c r="M40" s="52"/>
      <c r="O40" s="52"/>
      <c r="P40" s="393"/>
      <c r="Q40" s="52"/>
      <c r="R40" s="52"/>
      <c r="S40" s="54" t="str">
        <f>Localization!B$41</f>
        <v>Beneficiary Information</v>
      </c>
      <c r="W40" s="53" t="s">
        <v>366</v>
      </c>
      <c r="X40" s="53"/>
      <c r="Y40" s="53"/>
      <c r="Z40" s="53"/>
      <c r="AA40" s="53"/>
      <c r="AB40" s="52" t="s">
        <v>366</v>
      </c>
      <c r="AC40" s="50"/>
      <c r="AD40" s="50"/>
    </row>
    <row r="41" spans="1:32" x14ac:dyDescent="0.2">
      <c r="A41" s="29" t="s">
        <v>1017</v>
      </c>
      <c r="B41" s="52" t="s">
        <v>366</v>
      </c>
      <c r="C41" t="str">
        <f>Localization!B43</f>
        <v>First Name</v>
      </c>
      <c r="E41" t="s">
        <v>367</v>
      </c>
      <c r="L41"/>
      <c r="M41" s="52"/>
      <c r="O41" s="52"/>
      <c r="P41" s="393"/>
      <c r="Q41" s="52"/>
      <c r="R41" s="52"/>
      <c r="S41" s="54" t="str">
        <f>Localization!B$41</f>
        <v>Beneficiary Information</v>
      </c>
      <c r="W41" s="50"/>
      <c r="X41" s="50"/>
      <c r="Y41" s="50"/>
      <c r="Z41" s="50"/>
      <c r="AA41" s="50"/>
      <c r="AB41" s="52" t="s">
        <v>366</v>
      </c>
      <c r="AC41" s="50"/>
      <c r="AD41" s="50"/>
    </row>
    <row r="42" spans="1:32" x14ac:dyDescent="0.2">
      <c r="A42" s="29" t="s">
        <v>1018</v>
      </c>
      <c r="B42" s="52" t="s">
        <v>366</v>
      </c>
      <c r="C42" t="str">
        <f>Localization!B44</f>
        <v>Middle Initial</v>
      </c>
      <c r="E42" t="s">
        <v>367</v>
      </c>
      <c r="L42"/>
      <c r="M42" s="52"/>
      <c r="O42" s="52"/>
      <c r="P42" s="393"/>
      <c r="Q42" s="52"/>
      <c r="R42" s="52"/>
      <c r="S42" s="54" t="str">
        <f>Localization!B$41</f>
        <v>Beneficiary Information</v>
      </c>
      <c r="W42" s="50"/>
      <c r="X42" s="50"/>
      <c r="Y42" s="50"/>
      <c r="Z42" s="50"/>
      <c r="AA42" s="50"/>
      <c r="AB42" s="52" t="s">
        <v>366</v>
      </c>
      <c r="AC42" s="50"/>
      <c r="AD42" s="50"/>
    </row>
    <row r="43" spans="1:32" x14ac:dyDescent="0.2">
      <c r="A43" s="29" t="s">
        <v>1019</v>
      </c>
      <c r="B43" s="52" t="s">
        <v>366</v>
      </c>
      <c r="C43" t="str">
        <f>Localization!B45</f>
        <v>Sex</v>
      </c>
      <c r="E43" t="s">
        <v>373</v>
      </c>
      <c r="J43" s="52" t="s">
        <v>368</v>
      </c>
      <c r="K43" s="53"/>
      <c r="L43" s="29"/>
      <c r="M43" s="53"/>
      <c r="N43" s="66"/>
      <c r="O43" s="53"/>
      <c r="P43" s="394"/>
      <c r="Q43" s="53"/>
      <c r="R43" s="53"/>
      <c r="S43" s="54" t="str">
        <f>Localization!B$41</f>
        <v>Beneficiary Information</v>
      </c>
      <c r="T43" s="29"/>
      <c r="U43" s="29"/>
      <c r="V43" s="29"/>
      <c r="W43" s="50"/>
      <c r="X43" s="50"/>
      <c r="Y43" s="50"/>
      <c r="Z43" s="50"/>
      <c r="AA43" s="50"/>
      <c r="AB43" s="52" t="s">
        <v>366</v>
      </c>
      <c r="AC43" s="50"/>
      <c r="AD43" s="50"/>
    </row>
    <row r="44" spans="1:32" x14ac:dyDescent="0.2">
      <c r="A44" s="29" t="s">
        <v>1020</v>
      </c>
      <c r="B44" s="52" t="s">
        <v>366</v>
      </c>
      <c r="C44" t="str">
        <f>Localization!B46</f>
        <v>SSN</v>
      </c>
      <c r="D44" t="s">
        <v>291</v>
      </c>
      <c r="E44" t="s">
        <v>1848</v>
      </c>
      <c r="J44" s="52" t="s">
        <v>374</v>
      </c>
      <c r="L44"/>
      <c r="M44" s="52"/>
      <c r="O44" s="52"/>
      <c r="P44" s="393"/>
      <c r="Q44" s="52"/>
      <c r="R44" s="52"/>
      <c r="S44" s="54" t="str">
        <f>Localization!B$41</f>
        <v>Beneficiary Information</v>
      </c>
      <c r="W44" s="50"/>
      <c r="X44" s="50"/>
      <c r="Y44" s="50"/>
      <c r="Z44" s="29">
        <v>9</v>
      </c>
      <c r="AA44" s="29"/>
      <c r="AB44" s="52" t="s">
        <v>366</v>
      </c>
      <c r="AC44" s="50"/>
      <c r="AD44" s="50"/>
    </row>
    <row r="45" spans="1:32" s="29" customFormat="1" x14ac:dyDescent="0.2">
      <c r="A45" s="29" t="s">
        <v>1021</v>
      </c>
      <c r="B45" s="52" t="s">
        <v>366</v>
      </c>
      <c r="C45" t="str">
        <f>Localization!B47</f>
        <v>Date of Birth</v>
      </c>
      <c r="D45" s="55"/>
      <c r="E45" s="29" t="s">
        <v>2051</v>
      </c>
      <c r="F45" s="55">
        <v>8402</v>
      </c>
      <c r="G45" s="55">
        <f ca="1">[2]!AddYears(TODAY(),-16 )</f>
        <v>36739</v>
      </c>
      <c r="H45" s="55"/>
      <c r="I45" s="55"/>
      <c r="J45" s="52" t="s">
        <v>374</v>
      </c>
      <c r="K45" s="53"/>
      <c r="M45" s="53"/>
      <c r="N45" s="66"/>
      <c r="O45" s="53"/>
      <c r="P45" s="394"/>
      <c r="Q45" s="53"/>
      <c r="R45" s="53"/>
      <c r="S45" s="54" t="str">
        <f>Localization!B$41</f>
        <v>Beneficiary Information</v>
      </c>
      <c r="W45" s="53" t="s">
        <v>366</v>
      </c>
      <c r="X45" s="53"/>
      <c r="Y45" s="53"/>
      <c r="Z45" s="53"/>
      <c r="AA45" s="53"/>
      <c r="AB45" s="52" t="s">
        <v>366</v>
      </c>
      <c r="AC45" s="50"/>
      <c r="AD45" s="50"/>
    </row>
    <row r="46" spans="1:32" x14ac:dyDescent="0.2">
      <c r="A46" s="50" t="s">
        <v>364</v>
      </c>
      <c r="B46" s="50"/>
      <c r="C46" s="50" t="str">
        <f>Localization!B48</f>
        <v>System Information</v>
      </c>
      <c r="D46" s="50"/>
      <c r="E46" s="50"/>
      <c r="F46" s="50"/>
      <c r="G46" s="50"/>
      <c r="H46" s="50"/>
      <c r="I46" s="50"/>
      <c r="J46" s="51"/>
      <c r="K46" s="51"/>
      <c r="L46" s="50"/>
      <c r="M46" s="51"/>
      <c r="N46" s="64"/>
      <c r="O46" s="51"/>
      <c r="P46" s="392"/>
      <c r="Q46" s="51"/>
      <c r="R46" s="51"/>
      <c r="S46" s="51"/>
      <c r="T46" s="50"/>
      <c r="U46" s="50"/>
      <c r="V46" s="50"/>
      <c r="W46" s="50"/>
      <c r="X46" s="50"/>
      <c r="Y46" s="50"/>
      <c r="Z46" s="50"/>
      <c r="AA46" s="50"/>
      <c r="AB46" s="50"/>
      <c r="AC46" s="50"/>
      <c r="AD46" s="50"/>
      <c r="AE46" s="50"/>
      <c r="AF46" s="50"/>
    </row>
    <row r="47" spans="1:32" x14ac:dyDescent="0.2">
      <c r="A47" s="29" t="s">
        <v>2048</v>
      </c>
      <c r="B47" s="52" t="s">
        <v>366</v>
      </c>
      <c r="C47" t="str">
        <f>Localization!B49</f>
        <v>Batch Indicator</v>
      </c>
      <c r="E47" t="s">
        <v>367</v>
      </c>
      <c r="F47" s="56"/>
      <c r="G47" s="57"/>
      <c r="H47" s="57"/>
      <c r="I47" s="57"/>
      <c r="L47"/>
      <c r="M47" s="52"/>
      <c r="O47" s="52"/>
      <c r="P47" s="393"/>
      <c r="Q47" s="52"/>
      <c r="R47" s="52"/>
      <c r="S47" s="52"/>
      <c r="W47" s="50"/>
      <c r="X47" s="29" t="b">
        <f>TRUE</f>
        <v>1</v>
      </c>
      <c r="Y47" s="29"/>
      <c r="Z47" s="29"/>
      <c r="AA47" s="29"/>
      <c r="AB47" s="52"/>
      <c r="AC47" s="52"/>
      <c r="AD47" s="52" t="s">
        <v>366</v>
      </c>
      <c r="AE47" s="54"/>
      <c r="AF47" s="29"/>
    </row>
    <row r="48" spans="1:32" x14ac:dyDescent="0.2">
      <c r="A48" s="29" t="s">
        <v>700</v>
      </c>
      <c r="B48" s="52" t="s">
        <v>366</v>
      </c>
      <c r="C48" t="str">
        <f>Localization!B50</f>
        <v>Testing Calculation Control Indicator</v>
      </c>
      <c r="E48" t="s">
        <v>367</v>
      </c>
      <c r="F48" s="56"/>
      <c r="G48" s="57"/>
      <c r="H48" s="57"/>
      <c r="I48" s="57"/>
      <c r="L48"/>
      <c r="M48" s="52"/>
      <c r="O48" s="52"/>
      <c r="P48" s="393"/>
      <c r="Q48" s="52"/>
      <c r="R48" s="52"/>
      <c r="S48" s="52"/>
      <c r="W48" s="50"/>
      <c r="X48" s="29" t="b">
        <f>TRUE</f>
        <v>1</v>
      </c>
      <c r="Y48" s="29"/>
      <c r="Z48" s="29"/>
      <c r="AA48" s="29"/>
      <c r="AB48" s="52"/>
      <c r="AC48" s="52"/>
      <c r="AD48" s="52" t="s">
        <v>366</v>
      </c>
      <c r="AE48" s="54"/>
      <c r="AF48" s="29"/>
    </row>
    <row r="49" spans="1:30" s="29" customFormat="1" x14ac:dyDescent="0.2">
      <c r="A49" s="29" t="s">
        <v>222</v>
      </c>
      <c r="B49" s="52" t="s">
        <v>366</v>
      </c>
      <c r="C49" t="str">
        <f>Localization!B51</f>
        <v>Initial Data Is Bad</v>
      </c>
      <c r="E49" s="29" t="s">
        <v>1528</v>
      </c>
      <c r="J49" s="52" t="s">
        <v>368</v>
      </c>
      <c r="K49" s="53"/>
      <c r="M49" s="53"/>
      <c r="N49" s="66"/>
      <c r="O49" s="53"/>
      <c r="P49" s="394"/>
      <c r="Q49" s="53"/>
      <c r="R49" s="53"/>
      <c r="S49" s="53"/>
      <c r="W49" s="50"/>
      <c r="X49" s="29" t="b">
        <f>TRUE</f>
        <v>1</v>
      </c>
      <c r="AB49" s="52"/>
      <c r="AC49" s="50"/>
      <c r="AD49" s="50"/>
    </row>
    <row r="50" spans="1:30" s="29" customFormat="1" x14ac:dyDescent="0.2">
      <c r="A50" s="50" t="s">
        <v>362</v>
      </c>
      <c r="B50" s="50"/>
      <c r="C50" s="50" t="str">
        <f>Localization!B54</f>
        <v>Plan Information</v>
      </c>
      <c r="D50" s="50"/>
      <c r="E50" s="50"/>
      <c r="F50" s="50"/>
      <c r="G50" s="50"/>
      <c r="H50" s="50"/>
      <c r="I50" s="50"/>
      <c r="J50" s="51"/>
      <c r="K50" s="51"/>
      <c r="L50" s="50"/>
      <c r="M50" s="51"/>
      <c r="N50" s="64"/>
      <c r="O50" s="51"/>
      <c r="P50" s="392"/>
      <c r="Q50" s="51"/>
      <c r="R50" s="51"/>
      <c r="S50" s="51"/>
      <c r="T50" s="50"/>
      <c r="U50" s="50"/>
      <c r="V50" s="50"/>
      <c r="W50" s="50"/>
      <c r="X50" s="50"/>
      <c r="Y50" s="50"/>
      <c r="Z50" s="50"/>
      <c r="AA50" s="50"/>
      <c r="AB50" s="50"/>
      <c r="AC50" s="50"/>
      <c r="AD50" s="50"/>
    </row>
    <row r="51" spans="1:30" x14ac:dyDescent="0.2">
      <c r="A51" s="50" t="s">
        <v>364</v>
      </c>
      <c r="B51" s="50"/>
      <c r="C51" s="50" t="str">
        <f>Localization!B55</f>
        <v>Plan Dates</v>
      </c>
      <c r="D51" s="50"/>
      <c r="E51" s="50"/>
      <c r="F51" s="50"/>
      <c r="G51" s="50"/>
      <c r="H51" s="50"/>
      <c r="I51" s="50"/>
      <c r="J51" s="51"/>
      <c r="K51" s="51"/>
      <c r="L51" s="50"/>
      <c r="M51" s="51"/>
      <c r="N51" s="64"/>
      <c r="O51" s="51"/>
      <c r="P51" s="392"/>
      <c r="Q51" s="51"/>
      <c r="R51" s="51"/>
      <c r="S51" s="51"/>
      <c r="T51" s="50"/>
      <c r="U51" s="50"/>
      <c r="V51" s="50"/>
      <c r="W51" s="50"/>
      <c r="X51" s="50"/>
      <c r="Y51" s="50"/>
      <c r="Z51" s="50"/>
      <c r="AA51" s="50"/>
      <c r="AB51" s="50"/>
      <c r="AC51" s="50"/>
      <c r="AD51" s="50"/>
    </row>
    <row r="52" spans="1:30" x14ac:dyDescent="0.2">
      <c r="A52" s="29" t="s">
        <v>1533</v>
      </c>
      <c r="B52" s="52" t="s">
        <v>366</v>
      </c>
      <c r="C52" s="29" t="str">
        <f>Localization!B56</f>
        <v>Adjusted Date of Hire</v>
      </c>
      <c r="D52" s="55"/>
      <c r="E52" s="29" t="s">
        <v>2051</v>
      </c>
      <c r="F52" s="55">
        <v>23377</v>
      </c>
      <c r="G52" s="55">
        <f ca="1">TODAY()</f>
        <v>42583</v>
      </c>
      <c r="H52" s="55"/>
      <c r="I52" s="55"/>
      <c r="J52" s="52" t="s">
        <v>374</v>
      </c>
      <c r="K52" s="53"/>
      <c r="L52" s="29"/>
      <c r="M52" s="53"/>
      <c r="N52" s="66"/>
      <c r="O52" s="53"/>
      <c r="P52" s="394"/>
      <c r="Q52" s="53"/>
      <c r="R52" s="53"/>
      <c r="S52" s="53"/>
      <c r="T52" s="29"/>
      <c r="U52" s="29"/>
      <c r="V52" s="29"/>
      <c r="W52" s="50"/>
      <c r="X52" s="50"/>
      <c r="Y52" s="50"/>
      <c r="Z52" s="50"/>
      <c r="AA52" s="50"/>
      <c r="AB52" s="52"/>
      <c r="AC52" s="50"/>
      <c r="AD52" s="50"/>
    </row>
    <row r="53" spans="1:30" x14ac:dyDescent="0.2">
      <c r="A53" s="29" t="s">
        <v>1535</v>
      </c>
      <c r="B53" s="52" t="s">
        <v>366</v>
      </c>
      <c r="C53" s="29" t="str">
        <f>Localization!B57</f>
        <v>Date of Entry</v>
      </c>
      <c r="D53" s="55"/>
      <c r="E53" s="29" t="s">
        <v>2051</v>
      </c>
      <c r="F53" s="55">
        <v>23377</v>
      </c>
      <c r="G53" s="55">
        <f ca="1">TODAY()</f>
        <v>42583</v>
      </c>
      <c r="H53" s="55"/>
      <c r="I53" s="55"/>
      <c r="J53" s="52" t="s">
        <v>374</v>
      </c>
      <c r="K53" s="53"/>
      <c r="L53" s="29"/>
      <c r="M53" s="53"/>
      <c r="N53" s="66"/>
      <c r="O53" s="53"/>
      <c r="P53" s="394"/>
      <c r="Q53" s="53"/>
      <c r="R53" s="53"/>
      <c r="S53" s="53"/>
      <c r="T53" s="29"/>
      <c r="U53" s="29"/>
      <c r="V53" s="29"/>
      <c r="W53" s="50"/>
      <c r="X53" s="50"/>
      <c r="Y53" s="50"/>
      <c r="Z53" s="50"/>
      <c r="AA53" s="50"/>
      <c r="AB53" s="52"/>
      <c r="AC53" s="50"/>
      <c r="AD53" s="50"/>
    </row>
    <row r="54" spans="1:30" x14ac:dyDescent="0.2">
      <c r="A54" s="29" t="s">
        <v>1537</v>
      </c>
      <c r="B54" s="52" t="s">
        <v>366</v>
      </c>
      <c r="C54" t="str">
        <f>Localization!B58</f>
        <v>Date Vesting Service Starts</v>
      </c>
      <c r="D54" s="55"/>
      <c r="E54" s="29" t="s">
        <v>2051</v>
      </c>
      <c r="F54" s="55">
        <v>23377</v>
      </c>
      <c r="G54" s="55">
        <f ca="1">TODAY()</f>
        <v>42583</v>
      </c>
      <c r="H54" s="55"/>
      <c r="I54" s="55"/>
      <c r="J54" s="52" t="s">
        <v>374</v>
      </c>
      <c r="K54" s="53"/>
      <c r="L54" s="29"/>
      <c r="M54" s="53"/>
      <c r="N54" s="66"/>
      <c r="O54" s="53"/>
      <c r="P54" s="394"/>
      <c r="Q54" s="53"/>
      <c r="R54" s="53"/>
      <c r="S54" s="53"/>
      <c r="T54" s="29"/>
      <c r="U54" s="29"/>
      <c r="V54" s="29"/>
      <c r="W54" s="50"/>
      <c r="X54" s="50"/>
      <c r="Y54" s="50"/>
      <c r="Z54" s="50"/>
      <c r="AA54" s="50"/>
      <c r="AB54" s="52"/>
      <c r="AC54" s="50"/>
      <c r="AD54" s="50"/>
    </row>
    <row r="55" spans="1:30" x14ac:dyDescent="0.2">
      <c r="A55" s="29" t="s">
        <v>1539</v>
      </c>
      <c r="B55" s="52" t="s">
        <v>366</v>
      </c>
      <c r="C55" s="29" t="str">
        <f>Localization!B59</f>
        <v>Normal Retirement Date</v>
      </c>
      <c r="D55" s="55"/>
      <c r="E55" s="29" t="s">
        <v>2051</v>
      </c>
      <c r="F55" s="55">
        <v>23377</v>
      </c>
      <c r="G55" s="55">
        <f ca="1">TODAY()</f>
        <v>42583</v>
      </c>
      <c r="H55" s="55"/>
      <c r="I55" s="55"/>
      <c r="J55" s="52" t="s">
        <v>374</v>
      </c>
      <c r="K55" s="53"/>
      <c r="L55" s="29"/>
      <c r="M55" s="53"/>
      <c r="N55" s="66"/>
      <c r="O55" s="53"/>
      <c r="P55" s="394"/>
      <c r="Q55" s="53"/>
      <c r="R55" s="53"/>
      <c r="S55" s="53"/>
      <c r="T55" s="29"/>
      <c r="U55" s="29"/>
      <c r="V55" s="29"/>
      <c r="W55" s="50"/>
      <c r="X55" s="50"/>
      <c r="Y55" s="50"/>
      <c r="Z55" s="50"/>
      <c r="AA55" s="50"/>
      <c r="AB55" s="52"/>
      <c r="AC55" s="50"/>
      <c r="AD55" s="50"/>
    </row>
    <row r="56" spans="1:30" x14ac:dyDescent="0.2">
      <c r="A56" s="29" t="s">
        <v>1541</v>
      </c>
      <c r="B56" s="52" t="s">
        <v>366</v>
      </c>
      <c r="C56" s="29" t="str">
        <f>Localization!B60</f>
        <v>Early Retirement Date</v>
      </c>
      <c r="D56" s="55"/>
      <c r="E56" s="29" t="s">
        <v>2051</v>
      </c>
      <c r="F56" s="55">
        <v>23377</v>
      </c>
      <c r="G56" s="55">
        <f ca="1">[2]!AddYears(TODAY(),47 )</f>
        <v>59749</v>
      </c>
      <c r="H56" s="55"/>
      <c r="I56" s="55"/>
      <c r="J56" s="52" t="s">
        <v>374</v>
      </c>
      <c r="K56" s="53"/>
      <c r="L56" s="29"/>
      <c r="M56" s="53"/>
      <c r="N56" s="66"/>
      <c r="O56" s="53"/>
      <c r="P56" s="394"/>
      <c r="Q56" s="53"/>
      <c r="R56" s="53"/>
      <c r="S56" s="53"/>
      <c r="T56" s="29"/>
      <c r="U56" s="29"/>
      <c r="V56" s="29"/>
      <c r="W56" s="50"/>
      <c r="X56" s="50"/>
      <c r="Y56" s="50"/>
      <c r="Z56" s="50"/>
      <c r="AA56" s="50"/>
      <c r="AB56" s="52"/>
      <c r="AC56" s="50"/>
      <c r="AD56" s="50"/>
    </row>
    <row r="57" spans="1:30" x14ac:dyDescent="0.2">
      <c r="A57" s="50" t="s">
        <v>364</v>
      </c>
      <c r="B57" s="50"/>
      <c r="C57" s="50" t="str">
        <f>Localization!B61</f>
        <v>Plan Service</v>
      </c>
      <c r="D57" s="50"/>
      <c r="E57" s="50"/>
      <c r="F57" s="50"/>
      <c r="G57" s="50"/>
      <c r="H57" s="50"/>
      <c r="I57" s="50"/>
      <c r="J57" s="51"/>
      <c r="K57" s="51"/>
      <c r="L57" s="50"/>
      <c r="M57" s="51"/>
      <c r="N57" s="64"/>
      <c r="O57" s="51"/>
      <c r="P57" s="392"/>
      <c r="Q57" s="51"/>
      <c r="R57" s="51"/>
      <c r="S57" s="51"/>
      <c r="T57" s="50"/>
      <c r="U57" s="50"/>
      <c r="V57" s="50"/>
      <c r="W57" s="50"/>
      <c r="X57" s="50"/>
      <c r="Y57" s="50"/>
      <c r="Z57" s="50"/>
      <c r="AA57" s="50"/>
      <c r="AB57" s="50"/>
      <c r="AC57" s="50"/>
      <c r="AD57" s="50"/>
    </row>
    <row r="58" spans="1:30" x14ac:dyDescent="0.2">
      <c r="A58" s="29" t="s">
        <v>1544</v>
      </c>
      <c r="B58" s="52" t="s">
        <v>366</v>
      </c>
      <c r="C58" t="str">
        <f>Localization!B62</f>
        <v>Benefit Crediting Service</v>
      </c>
      <c r="D58" s="509" t="s">
        <v>2160</v>
      </c>
      <c r="E58" s="29" t="s">
        <v>1546</v>
      </c>
      <c r="F58" s="58" t="s">
        <v>1547</v>
      </c>
      <c r="G58" s="57" t="s">
        <v>1548</v>
      </c>
      <c r="H58" s="57"/>
      <c r="I58" s="57"/>
      <c r="J58" s="52" t="s">
        <v>374</v>
      </c>
      <c r="K58" s="53"/>
      <c r="L58" s="29"/>
      <c r="M58" s="53"/>
      <c r="N58" s="66"/>
      <c r="O58" s="53"/>
      <c r="P58" s="394"/>
      <c r="Q58" s="53"/>
      <c r="R58" s="53"/>
      <c r="S58" s="53"/>
      <c r="T58" s="29"/>
      <c r="U58" s="29"/>
      <c r="V58" s="29"/>
      <c r="W58" s="50"/>
      <c r="X58" s="29" t="b">
        <f>ABS([2]!NewValueNumber()-[2]!GetProfileNumber("svc-ben"))&lt;=100</f>
        <v>1</v>
      </c>
      <c r="Y58" s="50"/>
      <c r="Z58" s="50"/>
      <c r="AA58" s="50"/>
      <c r="AB58" s="52" t="s">
        <v>366</v>
      </c>
      <c r="AC58" s="50"/>
      <c r="AD58" s="50"/>
    </row>
    <row r="59" spans="1:30" x14ac:dyDescent="0.2">
      <c r="A59" s="29" t="s">
        <v>1549</v>
      </c>
      <c r="B59" s="52" t="s">
        <v>366</v>
      </c>
      <c r="C59" t="str">
        <f>Localization!B63</f>
        <v>Vesting Service</v>
      </c>
      <c r="D59" s="509" t="s">
        <v>2160</v>
      </c>
      <c r="E59" s="29" t="s">
        <v>1546</v>
      </c>
      <c r="F59" s="58" t="s">
        <v>1547</v>
      </c>
      <c r="G59" s="57" t="s">
        <v>1548</v>
      </c>
      <c r="H59" s="57"/>
      <c r="I59" s="57"/>
      <c r="J59" s="52" t="s">
        <v>374</v>
      </c>
      <c r="K59" s="53"/>
      <c r="L59" s="29"/>
      <c r="M59" s="53"/>
      <c r="N59" s="66"/>
      <c r="O59" s="53"/>
      <c r="P59" s="394"/>
      <c r="Q59" s="53"/>
      <c r="R59" s="53"/>
      <c r="S59" s="53"/>
      <c r="T59" s="29"/>
      <c r="U59" s="29"/>
      <c r="V59" s="29"/>
      <c r="W59" s="50"/>
      <c r="X59" s="50"/>
      <c r="Y59" s="50"/>
      <c r="Z59" s="50"/>
      <c r="AA59" s="50"/>
      <c r="AB59" s="52" t="s">
        <v>366</v>
      </c>
      <c r="AC59" s="50"/>
      <c r="AD59" s="50"/>
    </row>
    <row r="60" spans="1:30" x14ac:dyDescent="0.2">
      <c r="A60" s="29" t="s">
        <v>1551</v>
      </c>
      <c r="B60" s="52"/>
      <c r="C60" t="str">
        <f>Localization!B64</f>
        <v>Miscellaneous Service 1</v>
      </c>
      <c r="D60" s="509" t="s">
        <v>2160</v>
      </c>
      <c r="E60" s="29" t="s">
        <v>1546</v>
      </c>
      <c r="F60" s="58" t="s">
        <v>1547</v>
      </c>
      <c r="G60" s="57" t="s">
        <v>1548</v>
      </c>
      <c r="H60" s="57"/>
      <c r="I60" s="57"/>
      <c r="J60" s="52" t="s">
        <v>374</v>
      </c>
      <c r="K60" s="53"/>
      <c r="L60" s="29"/>
      <c r="M60" s="53"/>
      <c r="N60" s="66"/>
      <c r="O60" s="53"/>
      <c r="P60" s="394"/>
      <c r="Q60" s="53"/>
      <c r="R60" s="53"/>
      <c r="S60" s="53"/>
      <c r="T60" s="29"/>
      <c r="U60" s="29"/>
      <c r="V60" s="29"/>
      <c r="W60" s="50"/>
      <c r="X60" s="50"/>
      <c r="Y60" s="50"/>
      <c r="Z60" s="50"/>
      <c r="AA60" s="50"/>
      <c r="AB60" s="52"/>
      <c r="AC60" s="50"/>
      <c r="AD60" s="50"/>
    </row>
    <row r="61" spans="1:30" x14ac:dyDescent="0.2">
      <c r="A61" s="29" t="s">
        <v>1553</v>
      </c>
      <c r="B61" s="52"/>
      <c r="C61" t="str">
        <f>Localization!B65</f>
        <v>Miscellaneous Service 2</v>
      </c>
      <c r="D61" s="509" t="s">
        <v>2160</v>
      </c>
      <c r="E61" s="29" t="s">
        <v>1546</v>
      </c>
      <c r="F61" s="58" t="s">
        <v>1547</v>
      </c>
      <c r="G61" s="57" t="s">
        <v>1548</v>
      </c>
      <c r="H61" s="57"/>
      <c r="I61" s="57"/>
      <c r="J61" s="52" t="s">
        <v>374</v>
      </c>
      <c r="K61" s="53"/>
      <c r="L61" s="29"/>
      <c r="M61" s="53"/>
      <c r="N61" s="66"/>
      <c r="O61" s="53"/>
      <c r="P61" s="394"/>
      <c r="Q61" s="53"/>
      <c r="R61" s="53"/>
      <c r="S61" s="53"/>
      <c r="T61" s="29"/>
      <c r="U61" s="29"/>
      <c r="V61" s="29"/>
      <c r="W61" s="50"/>
      <c r="X61" s="50"/>
      <c r="Y61" s="50"/>
      <c r="Z61" s="50"/>
      <c r="AA61" s="50"/>
      <c r="AB61" s="52"/>
      <c r="AC61" s="50"/>
      <c r="AD61" s="50"/>
    </row>
    <row r="62" spans="1:30" x14ac:dyDescent="0.2">
      <c r="A62" s="29" t="s">
        <v>1555</v>
      </c>
      <c r="B62" s="52"/>
      <c r="C62" t="str">
        <f>Localization!B66</f>
        <v>Miscellaneous Service 3</v>
      </c>
      <c r="D62" s="509" t="s">
        <v>2160</v>
      </c>
      <c r="E62" s="29" t="s">
        <v>1546</v>
      </c>
      <c r="F62" s="58" t="s">
        <v>1547</v>
      </c>
      <c r="G62" s="57" t="s">
        <v>1548</v>
      </c>
      <c r="H62" s="57"/>
      <c r="I62" s="57"/>
      <c r="J62" s="52" t="s">
        <v>374</v>
      </c>
      <c r="K62" s="53"/>
      <c r="L62" s="29"/>
      <c r="M62" s="53"/>
      <c r="N62" s="66"/>
      <c r="O62" s="53"/>
      <c r="P62" s="394"/>
      <c r="Q62" s="53"/>
      <c r="R62" s="53"/>
      <c r="S62" s="53"/>
      <c r="T62" s="29"/>
      <c r="U62" s="29"/>
      <c r="V62" s="29"/>
      <c r="W62" s="50"/>
      <c r="X62" s="50"/>
      <c r="Y62" s="50"/>
      <c r="Z62" s="50"/>
      <c r="AA62" s="50"/>
      <c r="AB62" s="52"/>
      <c r="AC62" s="50"/>
      <c r="AD62" s="50"/>
    </row>
    <row r="63" spans="1:30" x14ac:dyDescent="0.2">
      <c r="A63" s="29" t="s">
        <v>1557</v>
      </c>
      <c r="B63" s="52"/>
      <c r="C63" t="str">
        <f>Localization!B67</f>
        <v>Miscellaneous Service 4</v>
      </c>
      <c r="D63" s="509" t="s">
        <v>2160</v>
      </c>
      <c r="E63" s="29" t="s">
        <v>1546</v>
      </c>
      <c r="F63" s="58" t="s">
        <v>1547</v>
      </c>
      <c r="G63" s="57" t="s">
        <v>1548</v>
      </c>
      <c r="H63" s="57"/>
      <c r="I63" s="57"/>
      <c r="J63" s="52" t="s">
        <v>374</v>
      </c>
      <c r="K63" s="53"/>
      <c r="L63" s="29"/>
      <c r="M63" s="53"/>
      <c r="N63" s="66"/>
      <c r="O63" s="53"/>
      <c r="P63" s="394"/>
      <c r="Q63" s="53"/>
      <c r="R63" s="53"/>
      <c r="S63" s="53"/>
      <c r="T63" s="29"/>
      <c r="U63" s="29"/>
      <c r="V63" s="29"/>
      <c r="W63" s="50"/>
      <c r="X63" s="50"/>
      <c r="Y63" s="50"/>
      <c r="Z63" s="50"/>
      <c r="AA63" s="50"/>
      <c r="AB63" s="52"/>
      <c r="AC63" s="50"/>
      <c r="AD63" s="50"/>
    </row>
    <row r="64" spans="1:30" x14ac:dyDescent="0.2">
      <c r="A64" s="29" t="s">
        <v>241</v>
      </c>
      <c r="B64" s="52"/>
      <c r="C64" t="str">
        <f>Localization!B68</f>
        <v>Miscellaneous Service 5</v>
      </c>
      <c r="D64" s="509" t="s">
        <v>2160</v>
      </c>
      <c r="E64" s="29" t="s">
        <v>1546</v>
      </c>
      <c r="F64" s="58" t="s">
        <v>1547</v>
      </c>
      <c r="G64" s="57" t="s">
        <v>1548</v>
      </c>
      <c r="H64" s="57"/>
      <c r="I64" s="57"/>
      <c r="J64" s="52" t="s">
        <v>374</v>
      </c>
      <c r="K64" s="53"/>
      <c r="L64" s="29"/>
      <c r="M64" s="53"/>
      <c r="N64" s="66"/>
      <c r="O64" s="53"/>
      <c r="P64" s="394"/>
      <c r="Q64" s="53"/>
      <c r="R64" s="53"/>
      <c r="S64" s="53"/>
      <c r="T64" s="29"/>
      <c r="U64" s="29"/>
      <c r="V64" s="29"/>
      <c r="W64" s="50"/>
      <c r="X64" s="50"/>
      <c r="Y64" s="50"/>
      <c r="Z64" s="50"/>
      <c r="AA64" s="50"/>
      <c r="AB64" s="52"/>
      <c r="AC64" s="50"/>
      <c r="AD64" s="50"/>
    </row>
    <row r="65" spans="1:30" x14ac:dyDescent="0.2">
      <c r="A65" s="50" t="s">
        <v>364</v>
      </c>
      <c r="B65" s="50"/>
      <c r="C65" s="50" t="str">
        <f>Localization!B69</f>
        <v>Plan Benefits</v>
      </c>
      <c r="D65" s="50"/>
      <c r="E65" s="50"/>
      <c r="F65" s="50"/>
      <c r="G65" s="50"/>
      <c r="H65" s="50"/>
      <c r="I65" s="50"/>
      <c r="J65" s="51"/>
      <c r="K65" s="51"/>
      <c r="L65" s="50"/>
      <c r="M65" s="51"/>
      <c r="N65" s="64"/>
      <c r="O65" s="51"/>
      <c r="P65" s="392"/>
      <c r="Q65" s="51"/>
      <c r="R65" s="51"/>
      <c r="S65" s="51"/>
      <c r="T65" s="50"/>
      <c r="U65" s="50"/>
      <c r="V65" s="50"/>
      <c r="W65" s="50"/>
      <c r="X65" s="50"/>
      <c r="Y65" s="50"/>
      <c r="Z65" s="50"/>
      <c r="AA65" s="50"/>
      <c r="AB65" s="50"/>
      <c r="AC65" s="50"/>
      <c r="AD65" s="50"/>
    </row>
    <row r="66" spans="1:30" ht="12.75" customHeight="1" x14ac:dyDescent="0.2">
      <c r="A66" s="29" t="s">
        <v>244</v>
      </c>
      <c r="B66" s="52" t="s">
        <v>366</v>
      </c>
      <c r="C66" s="29" t="str">
        <f>Localization!B70</f>
        <v>Frozen Benefit 1</v>
      </c>
      <c r="D66" s="55" t="s">
        <v>2161</v>
      </c>
      <c r="E66" s="29" t="s">
        <v>1118</v>
      </c>
      <c r="F66" s="58" t="s">
        <v>1547</v>
      </c>
      <c r="G66" s="57" t="s">
        <v>1119</v>
      </c>
      <c r="H66" s="57"/>
      <c r="I66" s="57"/>
      <c r="J66" s="52" t="s">
        <v>374</v>
      </c>
      <c r="K66" s="53"/>
      <c r="L66" s="29"/>
      <c r="M66" s="53"/>
      <c r="N66" s="66"/>
      <c r="O66" s="53" t="b">
        <f>[2]!NewValueNumber()&gt;([2]!GetProfileNumber("ben-frz1")*1.5)</f>
        <v>0</v>
      </c>
      <c r="P66" s="394" t="str">
        <f>Localization!B$75</f>
        <v>Value can not increase by more than 50%.</v>
      </c>
      <c r="Q66" s="53"/>
      <c r="R66" s="53"/>
      <c r="S66" s="53"/>
      <c r="T66" s="29"/>
      <c r="U66" s="29"/>
      <c r="V66" s="29"/>
      <c r="W66" s="52"/>
      <c r="X66" s="52" t="b">
        <f>ABS([2]!NewValueNumber()-[2]!GetProfileNumber("ben-frz1"))&lt;=100</f>
        <v>1</v>
      </c>
      <c r="Y66" s="52"/>
      <c r="Z66" s="52"/>
      <c r="AA66" s="52"/>
      <c r="AB66" s="52"/>
      <c r="AC66" s="52"/>
      <c r="AD66" s="52"/>
    </row>
    <row r="67" spans="1:30" ht="12.75" customHeight="1" x14ac:dyDescent="0.2">
      <c r="A67" s="29" t="s">
        <v>1120</v>
      </c>
      <c r="B67" s="52" t="s">
        <v>366</v>
      </c>
      <c r="C67" s="29" t="str">
        <f>Localization!B71</f>
        <v>Frozen Benefit 2</v>
      </c>
      <c r="D67" s="55" t="s">
        <v>2161</v>
      </c>
      <c r="E67" s="29" t="s">
        <v>1118</v>
      </c>
      <c r="F67" s="58" t="s">
        <v>1547</v>
      </c>
      <c r="G67" s="57" t="s">
        <v>1119</v>
      </c>
      <c r="H67" s="57"/>
      <c r="I67" s="57"/>
      <c r="J67" s="52" t="s">
        <v>374</v>
      </c>
      <c r="K67" s="53"/>
      <c r="L67" s="29"/>
      <c r="M67" s="53"/>
      <c r="N67" s="66"/>
      <c r="O67" s="53" t="b">
        <f>[2]!NewValueNumber()&gt;([2]!GetProfileNumber("ben-frz2")*1.5)</f>
        <v>0</v>
      </c>
      <c r="P67" s="394" t="str">
        <f>Localization!B$75</f>
        <v>Value can not increase by more than 50%.</v>
      </c>
      <c r="Q67" s="53"/>
      <c r="R67" s="53"/>
      <c r="S67" s="53"/>
      <c r="T67" s="29"/>
      <c r="U67" s="29"/>
      <c r="V67" s="29"/>
      <c r="W67" s="52"/>
      <c r="X67" s="52" t="b">
        <f>ABS([2]!NewValueNumber()-[2]!GetProfileNumber("ben-frz2"))&lt;=100</f>
        <v>1</v>
      </c>
      <c r="Y67" s="52"/>
      <c r="Z67" s="52"/>
      <c r="AA67" s="52"/>
      <c r="AB67" s="52"/>
      <c r="AC67" s="52"/>
      <c r="AD67" s="52"/>
    </row>
    <row r="68" spans="1:30" ht="12.75" customHeight="1" x14ac:dyDescent="0.2">
      <c r="A68" s="29" t="s">
        <v>1122</v>
      </c>
      <c r="B68" s="52" t="s">
        <v>366</v>
      </c>
      <c r="C68" s="29" t="str">
        <f>Localization!B72</f>
        <v>Frozen Benefit 3</v>
      </c>
      <c r="D68" s="55" t="s">
        <v>2161</v>
      </c>
      <c r="E68" s="29" t="s">
        <v>1118</v>
      </c>
      <c r="F68" s="58" t="s">
        <v>1547</v>
      </c>
      <c r="G68" s="57" t="s">
        <v>1119</v>
      </c>
      <c r="H68" s="57"/>
      <c r="I68" s="57"/>
      <c r="J68" s="52" t="s">
        <v>374</v>
      </c>
      <c r="K68" s="53"/>
      <c r="L68" s="29"/>
      <c r="M68" s="53"/>
      <c r="N68" s="66"/>
      <c r="O68" s="53" t="b">
        <f>[2]!NewValueNumber()&gt;([2]!GetProfileNumber("ben-frz3")*1.5)</f>
        <v>0</v>
      </c>
      <c r="P68" s="394" t="str">
        <f>Localization!B$75</f>
        <v>Value can not increase by more than 50%.</v>
      </c>
      <c r="Q68" s="53"/>
      <c r="R68" s="53"/>
      <c r="S68" s="53"/>
      <c r="T68" s="29"/>
      <c r="U68" s="29"/>
      <c r="V68" s="29"/>
      <c r="W68" s="52"/>
      <c r="X68" s="52" t="b">
        <f>ABS([2]!NewValueNumber()-[2]!GetProfileNumber("ben-frz3"))&lt;=100</f>
        <v>1</v>
      </c>
      <c r="Y68" s="52"/>
      <c r="Z68" s="52"/>
      <c r="AA68" s="52"/>
      <c r="AB68" s="52"/>
      <c r="AC68" s="52"/>
      <c r="AD68" s="52"/>
    </row>
    <row r="69" spans="1:30" ht="12.75" customHeight="1" x14ac:dyDescent="0.2">
      <c r="A69" s="29" t="s">
        <v>1124</v>
      </c>
      <c r="B69" s="52" t="s">
        <v>366</v>
      </c>
      <c r="C69" s="29" t="str">
        <f>Localization!B73</f>
        <v>Frozen Benefit 4</v>
      </c>
      <c r="D69" s="55" t="s">
        <v>2161</v>
      </c>
      <c r="E69" s="29" t="s">
        <v>1118</v>
      </c>
      <c r="F69" s="58" t="s">
        <v>1547</v>
      </c>
      <c r="G69" s="57" t="s">
        <v>1119</v>
      </c>
      <c r="H69" s="57"/>
      <c r="I69" s="57"/>
      <c r="J69" s="52" t="s">
        <v>374</v>
      </c>
      <c r="K69" s="53"/>
      <c r="L69" s="29"/>
      <c r="M69" s="53"/>
      <c r="N69" s="66"/>
      <c r="O69" s="53" t="b">
        <f>[2]!NewValueNumber()&gt;([2]!GetProfileNumber("ben-frz4")*1.5)</f>
        <v>0</v>
      </c>
      <c r="P69" s="394" t="str">
        <f>Localization!B$75</f>
        <v>Value can not increase by more than 50%.</v>
      </c>
      <c r="Q69" s="53"/>
      <c r="R69" s="53"/>
      <c r="S69" s="53"/>
      <c r="T69" s="29"/>
      <c r="U69" s="29"/>
      <c r="V69" s="29"/>
      <c r="W69" s="52"/>
      <c r="X69" s="52" t="b">
        <f>ABS([2]!NewValueNumber()-[2]!GetProfileNumber("ben-frz4"))&lt;=100</f>
        <v>1</v>
      </c>
      <c r="Y69" s="52"/>
      <c r="Z69" s="52"/>
      <c r="AA69" s="52"/>
      <c r="AB69" s="52"/>
      <c r="AC69" s="52"/>
      <c r="AD69" s="52"/>
    </row>
    <row r="70" spans="1:30" ht="12.75" customHeight="1" x14ac:dyDescent="0.2">
      <c r="A70" s="29" t="s">
        <v>1126</v>
      </c>
      <c r="B70" s="52"/>
      <c r="C70" s="29" t="str">
        <f>Localization!B74</f>
        <v>Frozen Benefit 5</v>
      </c>
      <c r="D70" s="55" t="s">
        <v>2161</v>
      </c>
      <c r="E70" s="29" t="s">
        <v>1118</v>
      </c>
      <c r="F70" s="58" t="s">
        <v>1547</v>
      </c>
      <c r="G70" s="57" t="s">
        <v>1119</v>
      </c>
      <c r="H70" s="57"/>
      <c r="I70" s="57"/>
      <c r="J70" s="52" t="s">
        <v>374</v>
      </c>
      <c r="K70" s="53"/>
      <c r="L70" s="29"/>
      <c r="M70" s="53"/>
      <c r="N70" s="66"/>
      <c r="O70" s="53" t="b">
        <f>[2]!NewValueNumber()&gt;([2]!GetProfileNumber("ben-frz5")*1.5)</f>
        <v>0</v>
      </c>
      <c r="P70" s="394" t="str">
        <f>Localization!B$75</f>
        <v>Value can not increase by more than 50%.</v>
      </c>
      <c r="Q70" s="53"/>
      <c r="R70" s="53"/>
      <c r="S70" s="53"/>
      <c r="T70" s="29"/>
      <c r="U70" s="29"/>
      <c r="V70" s="29"/>
      <c r="W70" s="52"/>
      <c r="X70" s="52" t="b">
        <f>ABS([2]!NewValueNumber()-[2]!GetProfileNumber("ben-frz5"))&lt;=100</f>
        <v>1</v>
      </c>
      <c r="Y70" s="52"/>
      <c r="Z70" s="52"/>
      <c r="AA70" s="52"/>
      <c r="AB70" s="52"/>
      <c r="AC70" s="52"/>
      <c r="AD70" s="52"/>
    </row>
    <row r="72" spans="1:30" s="29" customFormat="1" x14ac:dyDescent="0.2">
      <c r="A72"/>
      <c r="B72"/>
      <c r="C72"/>
      <c r="D72"/>
      <c r="E72"/>
      <c r="F72"/>
      <c r="G72"/>
      <c r="H72"/>
      <c r="I72"/>
      <c r="J72" s="52"/>
      <c r="K72" s="52"/>
      <c r="L72" s="52"/>
      <c r="M72"/>
      <c r="N72" s="54"/>
      <c r="O72"/>
      <c r="P72"/>
      <c r="Q72"/>
      <c r="R72"/>
      <c r="S72"/>
      <c r="T72"/>
      <c r="U72"/>
      <c r="V72"/>
      <c r="W72"/>
      <c r="X72"/>
      <c r="Y72"/>
      <c r="Z72"/>
      <c r="AA72"/>
      <c r="AB72"/>
      <c r="AC72"/>
      <c r="AD72"/>
    </row>
  </sheetData>
  <phoneticPr fontId="0" type="noConversion"/>
  <dataValidations count="2">
    <dataValidation type="list" showInputMessage="1" showErrorMessage="1" sqref="B3">
      <formula1>"Flat Data"</formula1>
    </dataValidation>
    <dataValidation type="list" errorStyle="information" allowBlank="1" showErrorMessage="1" error="Please select a value from the drop down list." sqref="E18:E70">
      <formula1>HiddenBTR_ValidFieldTypes</formula1>
    </dataValidation>
  </dataValidations>
  <pageMargins left="0.75" right="0.75" top="1" bottom="1" header="0.5" footer="0.5"/>
  <pageSetup orientation="portrait" horizontalDpi="300" verticalDpi="300" r:id="rId1"/>
  <headerFooter alignWithMargins="0"/>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HAHistoricalData">
    <tabColor theme="1"/>
  </sheetPr>
  <dimension ref="A1:AC98"/>
  <sheetViews>
    <sheetView workbookViewId="0"/>
  </sheetViews>
  <sheetFormatPr defaultRowHeight="12.75" x14ac:dyDescent="0.2"/>
  <cols>
    <col min="1" max="1" width="28.28515625" style="54" customWidth="1"/>
    <col min="2" max="2" width="20.5703125" customWidth="1"/>
    <col min="3" max="3" width="23.28515625" customWidth="1"/>
    <col min="4" max="4" width="13.7109375" customWidth="1"/>
    <col min="5" max="5" width="18.42578125" customWidth="1"/>
    <col min="6" max="6" width="17.85546875" customWidth="1"/>
    <col min="7" max="7" width="11" style="52" customWidth="1"/>
    <col min="8" max="8" width="11.140625" customWidth="1"/>
    <col min="9" max="9" width="11.5703125" customWidth="1"/>
    <col min="10" max="11" width="13" style="97" customWidth="1"/>
    <col min="12" max="12" width="14.85546875" bestFit="1" customWidth="1"/>
    <col min="13" max="13" width="15.28515625" customWidth="1"/>
    <col min="14" max="14" width="16.5703125" style="54" customWidth="1"/>
    <col min="15" max="15" width="14.42578125" customWidth="1"/>
    <col min="16" max="16" width="14.42578125" style="393" customWidth="1"/>
    <col min="17" max="18" width="14.28515625" customWidth="1"/>
    <col min="19" max="19" width="13.42578125" customWidth="1"/>
    <col min="20" max="20" width="8.140625" customWidth="1"/>
    <col min="21" max="21" width="11.28515625" customWidth="1"/>
    <col min="22" max="23" width="17.7109375" customWidth="1"/>
    <col min="24" max="26" width="10.28515625" customWidth="1"/>
    <col min="27" max="27" width="34.42578125" bestFit="1" customWidth="1"/>
    <col min="28" max="28" width="33.85546875" customWidth="1"/>
  </cols>
  <sheetData>
    <row r="1" spans="1:16" s="3" customFormat="1" x14ac:dyDescent="0.2">
      <c r="A1" s="59" t="s">
        <v>1148</v>
      </c>
      <c r="B1" s="60"/>
      <c r="C1" s="40"/>
      <c r="D1" s="40"/>
      <c r="E1" s="40"/>
      <c r="F1" s="40"/>
      <c r="G1" s="40"/>
      <c r="H1" s="40"/>
      <c r="I1" s="40"/>
      <c r="N1" s="547"/>
      <c r="P1" s="398"/>
    </row>
    <row r="2" spans="1:16" x14ac:dyDescent="0.2">
      <c r="A2" s="4" t="s">
        <v>209</v>
      </c>
      <c r="B2" s="5">
        <v>6</v>
      </c>
      <c r="C2" s="6"/>
      <c r="D2" s="6"/>
      <c r="E2" s="6"/>
      <c r="F2" s="6"/>
      <c r="G2" s="6"/>
      <c r="H2" s="7"/>
      <c r="I2" s="61"/>
    </row>
    <row r="3" spans="1:16" x14ac:dyDescent="0.2">
      <c r="A3" s="8" t="s">
        <v>1149</v>
      </c>
      <c r="B3" s="9" t="s">
        <v>1128</v>
      </c>
      <c r="C3" s="10"/>
      <c r="D3" s="10"/>
      <c r="E3" s="10"/>
      <c r="F3" s="10"/>
      <c r="G3" s="10"/>
      <c r="H3" s="11"/>
      <c r="I3" s="61"/>
    </row>
    <row r="4" spans="1:16" x14ac:dyDescent="0.2">
      <c r="A4" s="8" t="s">
        <v>1151</v>
      </c>
      <c r="B4" s="12" t="s">
        <v>1152</v>
      </c>
      <c r="C4" s="10"/>
      <c r="D4" s="10"/>
      <c r="E4" s="10"/>
      <c r="F4" s="10"/>
      <c r="G4" s="10"/>
      <c r="H4" s="11"/>
      <c r="I4" s="61"/>
    </row>
    <row r="5" spans="1:16" x14ac:dyDescent="0.2">
      <c r="A5" s="13"/>
      <c r="B5" s="12" t="s">
        <v>1153</v>
      </c>
      <c r="C5" s="10"/>
      <c r="D5" s="10"/>
      <c r="E5" s="10"/>
      <c r="F5" s="10"/>
      <c r="G5" s="10"/>
      <c r="H5" s="11"/>
      <c r="I5" s="61"/>
    </row>
    <row r="6" spans="1:16" x14ac:dyDescent="0.2">
      <c r="A6" s="13"/>
      <c r="B6" s="12"/>
      <c r="C6" s="10"/>
      <c r="D6" s="10"/>
      <c r="E6" s="10"/>
      <c r="F6" s="10"/>
      <c r="G6" s="10"/>
      <c r="H6" s="11"/>
      <c r="I6" s="61"/>
    </row>
    <row r="7" spans="1:16" x14ac:dyDescent="0.2">
      <c r="A7" s="13"/>
      <c r="B7" s="12" t="s">
        <v>1154</v>
      </c>
      <c r="C7" s="10"/>
      <c r="D7" s="10"/>
      <c r="E7" s="10"/>
      <c r="F7" s="10"/>
      <c r="G7" s="10"/>
      <c r="H7" s="11"/>
      <c r="I7" s="61"/>
    </row>
    <row r="8" spans="1:16" x14ac:dyDescent="0.2">
      <c r="A8" s="13"/>
      <c r="B8" s="12" t="s">
        <v>1147</v>
      </c>
      <c r="C8" s="10"/>
      <c r="D8" s="10"/>
      <c r="E8" s="10"/>
      <c r="F8" s="10"/>
      <c r="G8" s="10"/>
      <c r="H8" s="11"/>
      <c r="I8" s="61"/>
    </row>
    <row r="9" spans="1:16" x14ac:dyDescent="0.2">
      <c r="A9" s="13"/>
      <c r="B9" s="12"/>
      <c r="C9" s="10"/>
      <c r="D9" s="10"/>
      <c r="E9" s="10"/>
      <c r="F9" s="10"/>
      <c r="G9" s="10"/>
      <c r="H9" s="11"/>
      <c r="I9" s="61"/>
    </row>
    <row r="10" spans="1:16" x14ac:dyDescent="0.2">
      <c r="A10" s="13"/>
      <c r="B10" s="12" t="s">
        <v>245</v>
      </c>
      <c r="C10" s="10"/>
      <c r="D10" s="10"/>
      <c r="E10" s="10"/>
      <c r="F10" s="10"/>
      <c r="G10" s="10"/>
      <c r="H10" s="11"/>
      <c r="I10" s="61"/>
    </row>
    <row r="11" spans="1:16" x14ac:dyDescent="0.2">
      <c r="A11" s="13"/>
      <c r="B11" s="12" t="s">
        <v>348</v>
      </c>
      <c r="C11" s="10"/>
      <c r="D11" s="10"/>
      <c r="E11" s="10"/>
      <c r="F11" s="10"/>
      <c r="G11" s="10"/>
      <c r="H11" s="11"/>
      <c r="I11" s="61"/>
    </row>
    <row r="12" spans="1:16" x14ac:dyDescent="0.2">
      <c r="A12" s="13"/>
      <c r="B12" s="12"/>
      <c r="C12" s="10"/>
      <c r="D12" s="10"/>
      <c r="E12" s="10"/>
      <c r="F12" s="10"/>
      <c r="G12" s="10"/>
      <c r="H12" s="11"/>
      <c r="I12" s="61"/>
    </row>
    <row r="13" spans="1:16" x14ac:dyDescent="0.2">
      <c r="A13" s="8" t="s">
        <v>352</v>
      </c>
      <c r="B13" s="12" t="s">
        <v>1270</v>
      </c>
      <c r="C13" s="10"/>
      <c r="D13" s="10"/>
      <c r="E13" s="10"/>
      <c r="F13" s="10"/>
      <c r="G13" s="10"/>
      <c r="H13" s="11"/>
      <c r="I13" s="61"/>
    </row>
    <row r="14" spans="1:16" x14ac:dyDescent="0.2">
      <c r="A14" s="13"/>
      <c r="B14" s="12" t="s">
        <v>246</v>
      </c>
      <c r="C14" s="10"/>
      <c r="D14" s="10"/>
      <c r="E14" s="10"/>
      <c r="F14" s="10"/>
      <c r="G14" s="10"/>
      <c r="H14" s="11"/>
      <c r="I14" s="61"/>
    </row>
    <row r="15" spans="1:16" x14ac:dyDescent="0.2">
      <c r="A15" s="13"/>
      <c r="B15" s="12"/>
      <c r="C15" s="10"/>
      <c r="D15" s="10"/>
      <c r="E15" s="10"/>
      <c r="F15" s="10"/>
      <c r="G15" s="10"/>
      <c r="H15" s="11"/>
      <c r="I15" s="61"/>
    </row>
    <row r="16" spans="1:16" x14ac:dyDescent="0.2">
      <c r="A16" s="13"/>
      <c r="B16" s="12"/>
      <c r="C16" s="10"/>
      <c r="D16" s="10"/>
      <c r="E16" s="10"/>
      <c r="F16" s="10"/>
      <c r="G16" s="10"/>
      <c r="H16" s="11"/>
      <c r="I16" s="61"/>
    </row>
    <row r="17" spans="1:9" x14ac:dyDescent="0.2">
      <c r="A17" s="8" t="s">
        <v>247</v>
      </c>
      <c r="B17" s="12" t="s">
        <v>1484</v>
      </c>
      <c r="C17" s="10"/>
      <c r="D17" s="10"/>
      <c r="E17" s="10"/>
      <c r="F17" s="10"/>
      <c r="G17" s="10"/>
      <c r="H17" s="11"/>
      <c r="I17" s="61"/>
    </row>
    <row r="18" spans="1:9" x14ac:dyDescent="0.2">
      <c r="A18" s="8"/>
      <c r="B18" s="12"/>
      <c r="C18" s="10"/>
      <c r="D18" s="10"/>
      <c r="E18" s="10"/>
      <c r="F18" s="10"/>
      <c r="G18" s="10"/>
      <c r="H18" s="11"/>
      <c r="I18" s="61"/>
    </row>
    <row r="19" spans="1:9" x14ac:dyDescent="0.2">
      <c r="A19" s="13"/>
      <c r="B19" s="62" t="s">
        <v>1271</v>
      </c>
      <c r="C19" s="10"/>
      <c r="D19" s="10"/>
      <c r="E19" s="10"/>
      <c r="F19" s="10"/>
      <c r="G19" s="10"/>
      <c r="H19" s="11"/>
      <c r="I19" s="61"/>
    </row>
    <row r="20" spans="1:9" x14ac:dyDescent="0.2">
      <c r="A20" s="13"/>
      <c r="B20" s="63" t="s">
        <v>1485</v>
      </c>
      <c r="C20" s="10"/>
      <c r="D20" s="10"/>
      <c r="E20" s="10"/>
      <c r="F20" s="10"/>
      <c r="G20" s="10"/>
      <c r="H20" s="11"/>
      <c r="I20" s="61"/>
    </row>
    <row r="21" spans="1:9" x14ac:dyDescent="0.2">
      <c r="A21" s="13"/>
      <c r="B21" s="63" t="s">
        <v>1486</v>
      </c>
      <c r="C21" s="10"/>
      <c r="D21" s="10"/>
      <c r="E21" s="10"/>
      <c r="F21" s="10"/>
      <c r="G21" s="10"/>
      <c r="H21" s="11"/>
      <c r="I21" s="61"/>
    </row>
    <row r="22" spans="1:9" x14ac:dyDescent="0.2">
      <c r="A22" s="13"/>
      <c r="B22" s="63"/>
      <c r="C22" s="10"/>
      <c r="D22" s="10"/>
      <c r="E22" s="10"/>
      <c r="F22" s="10"/>
      <c r="G22" s="10"/>
      <c r="H22" s="11"/>
      <c r="I22" s="61"/>
    </row>
    <row r="23" spans="1:9" x14ac:dyDescent="0.2">
      <c r="A23" s="13"/>
      <c r="B23" s="62" t="s">
        <v>1272</v>
      </c>
      <c r="C23" s="10"/>
      <c r="D23" s="10"/>
      <c r="E23" s="10"/>
      <c r="F23" s="10"/>
      <c r="G23" s="10"/>
      <c r="H23" s="11"/>
      <c r="I23" s="61"/>
    </row>
    <row r="24" spans="1:9" x14ac:dyDescent="0.2">
      <c r="A24" s="13"/>
      <c r="B24" s="62" t="s">
        <v>1452</v>
      </c>
      <c r="C24" s="10"/>
      <c r="D24" s="10"/>
      <c r="E24" s="10"/>
      <c r="F24" s="10"/>
      <c r="G24" s="10"/>
      <c r="H24" s="11"/>
      <c r="I24" s="61"/>
    </row>
    <row r="25" spans="1:9" x14ac:dyDescent="0.2">
      <c r="A25" s="13"/>
      <c r="B25" s="62" t="s">
        <v>1453</v>
      </c>
      <c r="C25" s="10"/>
      <c r="D25" s="10"/>
      <c r="E25" s="10"/>
      <c r="F25" s="10"/>
      <c r="G25" s="10"/>
      <c r="H25" s="11"/>
      <c r="I25" s="61"/>
    </row>
    <row r="26" spans="1:9" x14ac:dyDescent="0.2">
      <c r="A26" s="13"/>
      <c r="B26" s="62" t="s">
        <v>1454</v>
      </c>
      <c r="C26" s="10"/>
      <c r="D26" s="10"/>
      <c r="E26" s="10"/>
      <c r="F26" s="10"/>
      <c r="G26" s="10"/>
      <c r="H26" s="11"/>
      <c r="I26" s="61"/>
    </row>
    <row r="27" spans="1:9" x14ac:dyDescent="0.2">
      <c r="A27" s="13"/>
      <c r="B27" s="62" t="s">
        <v>1455</v>
      </c>
      <c r="C27" s="10"/>
      <c r="D27" s="10"/>
      <c r="E27" s="10"/>
      <c r="F27" s="10"/>
      <c r="G27" s="10"/>
      <c r="H27" s="11"/>
      <c r="I27" s="61"/>
    </row>
    <row r="28" spans="1:9" x14ac:dyDescent="0.2">
      <c r="A28" s="13"/>
      <c r="B28" s="63" t="s">
        <v>1859</v>
      </c>
      <c r="C28" s="10"/>
      <c r="D28" s="10"/>
      <c r="E28" s="10"/>
      <c r="F28" s="10"/>
      <c r="G28" s="10"/>
      <c r="H28" s="11"/>
      <c r="I28" s="61"/>
    </row>
    <row r="29" spans="1:9" x14ac:dyDescent="0.2">
      <c r="A29" s="13"/>
      <c r="B29" s="63" t="s">
        <v>1860</v>
      </c>
      <c r="C29" s="10"/>
      <c r="D29" s="10"/>
      <c r="E29" s="10"/>
      <c r="F29" s="10"/>
      <c r="G29" s="10"/>
      <c r="H29" s="11"/>
      <c r="I29" s="61"/>
    </row>
    <row r="30" spans="1:9" x14ac:dyDescent="0.2">
      <c r="A30" s="13"/>
      <c r="B30" s="12"/>
      <c r="C30" s="10"/>
      <c r="D30" s="10"/>
      <c r="E30" s="10"/>
      <c r="F30" s="10"/>
      <c r="G30" s="10"/>
      <c r="H30" s="11"/>
      <c r="I30" s="61"/>
    </row>
    <row r="31" spans="1:9" x14ac:dyDescent="0.2">
      <c r="A31" s="8" t="s">
        <v>128</v>
      </c>
      <c r="B31" s="12" t="s">
        <v>1456</v>
      </c>
      <c r="C31" s="10"/>
      <c r="D31" s="10"/>
      <c r="E31" s="10"/>
      <c r="F31" s="10"/>
      <c r="G31" s="10"/>
      <c r="H31" s="11"/>
      <c r="I31" s="61"/>
    </row>
    <row r="32" spans="1:9" x14ac:dyDescent="0.2">
      <c r="A32" s="13"/>
      <c r="B32" s="63" t="s">
        <v>632</v>
      </c>
      <c r="C32" s="10"/>
      <c r="D32" s="10"/>
      <c r="E32" s="10"/>
      <c r="F32" s="10"/>
      <c r="G32" s="10"/>
      <c r="H32" s="11"/>
      <c r="I32" s="61"/>
    </row>
    <row r="33" spans="1:17" x14ac:dyDescent="0.2">
      <c r="A33" s="13"/>
      <c r="B33" s="63"/>
      <c r="C33" s="10"/>
      <c r="D33" s="10"/>
      <c r="E33" s="10"/>
      <c r="F33" s="10"/>
      <c r="G33" s="10"/>
      <c r="H33" s="11"/>
      <c r="I33" s="61"/>
    </row>
    <row r="34" spans="1:17" x14ac:dyDescent="0.2">
      <c r="A34" s="13"/>
      <c r="B34" s="12" t="s">
        <v>1457</v>
      </c>
      <c r="C34" s="10"/>
      <c r="D34" s="10"/>
      <c r="E34" s="10"/>
      <c r="F34" s="10"/>
      <c r="G34" s="10"/>
      <c r="H34" s="11"/>
      <c r="I34" s="61"/>
    </row>
    <row r="35" spans="1:17" x14ac:dyDescent="0.2">
      <c r="A35" s="13"/>
      <c r="B35" s="63" t="s">
        <v>633</v>
      </c>
      <c r="C35" s="10"/>
      <c r="D35" s="10"/>
      <c r="E35" s="10"/>
      <c r="F35" s="10"/>
      <c r="G35" s="10"/>
      <c r="H35" s="11"/>
      <c r="I35" s="61"/>
    </row>
    <row r="36" spans="1:17" x14ac:dyDescent="0.2">
      <c r="A36" s="13"/>
      <c r="B36" s="12"/>
      <c r="C36" s="10"/>
      <c r="D36" s="10"/>
      <c r="E36" s="10"/>
      <c r="F36" s="10"/>
      <c r="G36" s="10"/>
      <c r="H36" s="11"/>
      <c r="I36" s="61"/>
    </row>
    <row r="37" spans="1:17" x14ac:dyDescent="0.2">
      <c r="A37" s="13"/>
      <c r="B37" s="12" t="s">
        <v>24</v>
      </c>
      <c r="C37" s="10"/>
      <c r="D37" s="10"/>
      <c r="E37" s="10"/>
      <c r="F37" s="10"/>
      <c r="G37" s="10"/>
      <c r="H37" s="11"/>
      <c r="I37" s="61"/>
    </row>
    <row r="38" spans="1:17" x14ac:dyDescent="0.2">
      <c r="A38" s="13"/>
      <c r="B38" s="12" t="s">
        <v>195</v>
      </c>
      <c r="C38" s="10"/>
      <c r="D38" s="10"/>
      <c r="E38" s="10"/>
      <c r="F38" s="10"/>
      <c r="G38" s="10"/>
      <c r="H38" s="11"/>
      <c r="I38" s="61"/>
    </row>
    <row r="39" spans="1:17" x14ac:dyDescent="0.2">
      <c r="A39" s="13"/>
      <c r="B39" s="12"/>
      <c r="C39" s="10"/>
      <c r="D39" s="10"/>
      <c r="E39" s="10"/>
      <c r="F39" s="10"/>
      <c r="G39" s="10"/>
      <c r="H39" s="11"/>
      <c r="I39" s="61"/>
    </row>
    <row r="40" spans="1:17" x14ac:dyDescent="0.2">
      <c r="A40" s="13"/>
      <c r="B40" s="12" t="s">
        <v>25</v>
      </c>
      <c r="C40" s="10"/>
      <c r="D40" s="10"/>
      <c r="E40" s="10"/>
      <c r="F40" s="10"/>
      <c r="G40" s="10"/>
      <c r="H40" s="11"/>
      <c r="I40" s="61"/>
    </row>
    <row r="41" spans="1:17" x14ac:dyDescent="0.2">
      <c r="A41" s="13"/>
      <c r="B41" s="12" t="s">
        <v>26</v>
      </c>
      <c r="C41" s="10"/>
      <c r="D41" s="10"/>
      <c r="E41" s="10"/>
      <c r="F41" s="10"/>
      <c r="G41" s="10"/>
      <c r="H41" s="11"/>
      <c r="I41" s="61"/>
    </row>
    <row r="42" spans="1:17" x14ac:dyDescent="0.2">
      <c r="A42" s="13"/>
      <c r="B42" s="12"/>
      <c r="C42" s="10"/>
      <c r="D42" s="10"/>
      <c r="E42" s="10"/>
      <c r="F42" s="10"/>
      <c r="G42" s="10"/>
      <c r="H42" s="11"/>
      <c r="I42" s="61"/>
    </row>
    <row r="43" spans="1:17" x14ac:dyDescent="0.2">
      <c r="A43" s="8" t="s">
        <v>196</v>
      </c>
      <c r="B43" s="12" t="s">
        <v>27</v>
      </c>
      <c r="C43" s="10"/>
      <c r="D43" s="10"/>
      <c r="E43" s="10"/>
      <c r="F43" s="10"/>
      <c r="G43" s="10"/>
      <c r="H43" s="11"/>
      <c r="I43" s="61"/>
    </row>
    <row r="44" spans="1:17" x14ac:dyDescent="0.2">
      <c r="A44" s="13"/>
      <c r="B44" s="12" t="s">
        <v>197</v>
      </c>
      <c r="C44" s="10"/>
      <c r="D44" s="10"/>
      <c r="E44" s="10"/>
      <c r="F44" s="10"/>
      <c r="G44" s="10"/>
      <c r="H44" s="11"/>
      <c r="I44" s="61"/>
    </row>
    <row r="45" spans="1:17" x14ac:dyDescent="0.2">
      <c r="A45" s="46"/>
      <c r="B45" s="47"/>
      <c r="C45" s="23"/>
      <c r="D45" s="23"/>
      <c r="E45" s="23"/>
      <c r="F45" s="23"/>
      <c r="G45" s="23"/>
      <c r="H45" s="24"/>
      <c r="I45" s="61"/>
    </row>
    <row r="46" spans="1:17" x14ac:dyDescent="0.2">
      <c r="A46" s="64"/>
    </row>
    <row r="47" spans="1:17" ht="14.25" customHeight="1" x14ac:dyDescent="0.2">
      <c r="A47" s="65" t="s">
        <v>198</v>
      </c>
      <c r="B47" s="48" t="s">
        <v>199</v>
      </c>
      <c r="C47" s="65" t="s">
        <v>356</v>
      </c>
      <c r="D47" s="65" t="s">
        <v>2280</v>
      </c>
      <c r="E47" s="65" t="s">
        <v>2282</v>
      </c>
      <c r="F47" s="65" t="s">
        <v>255</v>
      </c>
      <c r="G47" s="65" t="s">
        <v>200</v>
      </c>
      <c r="J47"/>
      <c r="K47"/>
      <c r="L47" s="97"/>
      <c r="N47"/>
      <c r="O47" s="54"/>
      <c r="P47"/>
      <c r="Q47" s="393"/>
    </row>
    <row r="48" spans="1:17" x14ac:dyDescent="0.2">
      <c r="A48" s="66" t="s">
        <v>2045</v>
      </c>
      <c r="B48" s="66" t="s">
        <v>201</v>
      </c>
      <c r="C48" s="66" t="str">
        <f>Localization!B76</f>
        <v>Status History</v>
      </c>
      <c r="D48" s="66" t="s">
        <v>2281</v>
      </c>
      <c r="E48">
        <v>5</v>
      </c>
      <c r="F48">
        <v>1</v>
      </c>
      <c r="G48" s="66"/>
      <c r="J48"/>
      <c r="K48"/>
      <c r="L48" s="97"/>
      <c r="N48"/>
      <c r="O48" s="54"/>
      <c r="P48"/>
      <c r="Q48" s="393"/>
    </row>
    <row r="49" spans="1:27" x14ac:dyDescent="0.2">
      <c r="A49" s="66" t="s">
        <v>203</v>
      </c>
      <c r="B49" s="66" t="s">
        <v>204</v>
      </c>
      <c r="C49" s="66" t="str">
        <f>Localization!B77</f>
        <v>Pay History</v>
      </c>
      <c r="D49" s="66" t="s">
        <v>2281</v>
      </c>
      <c r="E49">
        <v>5</v>
      </c>
      <c r="F49">
        <v>1</v>
      </c>
      <c r="G49" s="66"/>
      <c r="J49"/>
      <c r="K49"/>
      <c r="L49" s="97"/>
      <c r="N49"/>
      <c r="O49" s="54"/>
      <c r="P49"/>
      <c r="Q49" s="393"/>
    </row>
    <row r="50" spans="1:27" x14ac:dyDescent="0.2">
      <c r="A50" s="66" t="s">
        <v>206</v>
      </c>
      <c r="B50" s="66" t="s">
        <v>1845</v>
      </c>
      <c r="C50" s="66" t="str">
        <f>Localization!B78</f>
        <v>Employment History</v>
      </c>
      <c r="D50" s="66" t="s">
        <v>2281</v>
      </c>
      <c r="E50">
        <v>5</v>
      </c>
      <c r="F50">
        <v>1</v>
      </c>
      <c r="G50" s="66" t="s">
        <v>1406</v>
      </c>
      <c r="J50"/>
      <c r="K50"/>
      <c r="L50" s="97"/>
      <c r="N50"/>
      <c r="O50" s="54"/>
      <c r="P50"/>
      <c r="Q50" s="393"/>
    </row>
    <row r="51" spans="1:27" x14ac:dyDescent="0.2">
      <c r="A51" s="66" t="s">
        <v>1407</v>
      </c>
      <c r="B51" s="66" t="s">
        <v>1408</v>
      </c>
      <c r="C51" s="66" t="str">
        <f>Localization!B79</f>
        <v>Benefit Payable History</v>
      </c>
      <c r="D51" s="66" t="s">
        <v>2281</v>
      </c>
      <c r="E51">
        <v>5</v>
      </c>
      <c r="F51">
        <v>1</v>
      </c>
      <c r="G51" s="66" t="s">
        <v>1254</v>
      </c>
      <c r="J51"/>
      <c r="K51"/>
      <c r="L51" s="97"/>
      <c r="N51"/>
      <c r="O51" s="54"/>
      <c r="P51"/>
      <c r="Q51" s="393"/>
    </row>
    <row r="52" spans="1:27" x14ac:dyDescent="0.2">
      <c r="A52" s="67" t="s">
        <v>1255</v>
      </c>
      <c r="B52" s="66" t="s">
        <v>290</v>
      </c>
      <c r="C52" s="66" t="str">
        <f>Localization!B80</f>
        <v>Beneficiary Information</v>
      </c>
      <c r="D52" s="66" t="s">
        <v>2281</v>
      </c>
      <c r="E52">
        <v>5</v>
      </c>
      <c r="F52">
        <v>1</v>
      </c>
      <c r="G52" s="66"/>
      <c r="J52"/>
      <c r="K52"/>
      <c r="L52" s="97"/>
      <c r="N52"/>
      <c r="O52" s="54"/>
      <c r="P52"/>
      <c r="Q52" s="393"/>
    </row>
    <row r="53" spans="1:27" x14ac:dyDescent="0.2">
      <c r="A53" s="67" t="s">
        <v>1256</v>
      </c>
      <c r="B53" s="66" t="s">
        <v>1257</v>
      </c>
      <c r="C53" s="66" t="str">
        <f>Localization!B81</f>
        <v>Status for Plan 1</v>
      </c>
      <c r="D53" s="66" t="s">
        <v>2281</v>
      </c>
      <c r="E53">
        <v>5</v>
      </c>
      <c r="F53">
        <v>1</v>
      </c>
      <c r="G53" s="66" t="s">
        <v>1259</v>
      </c>
      <c r="J53"/>
      <c r="K53"/>
      <c r="L53" s="97"/>
      <c r="N53"/>
      <c r="O53" s="54"/>
      <c r="P53"/>
      <c r="Q53" s="393"/>
    </row>
    <row r="54" spans="1:27" x14ac:dyDescent="0.2">
      <c r="A54" s="67" t="s">
        <v>1260</v>
      </c>
      <c r="B54" s="66" t="s">
        <v>1257</v>
      </c>
      <c r="C54" s="66" t="str">
        <f>Localization!B82</f>
        <v>Status for Plan 2</v>
      </c>
      <c r="D54" s="66" t="s">
        <v>2281</v>
      </c>
      <c r="E54">
        <v>5</v>
      </c>
      <c r="F54">
        <v>1</v>
      </c>
      <c r="G54" s="66" t="s">
        <v>1259</v>
      </c>
      <c r="J54"/>
      <c r="K54"/>
      <c r="L54" s="97"/>
      <c r="N54"/>
      <c r="O54" s="54"/>
      <c r="P54"/>
      <c r="Q54" s="393"/>
    </row>
    <row r="55" spans="1:27" x14ac:dyDescent="0.2">
      <c r="A55" s="66"/>
      <c r="B55" s="66"/>
      <c r="C55" s="66"/>
      <c r="D55" s="53"/>
      <c r="E55" s="66"/>
      <c r="F55" s="66"/>
      <c r="G55" s="66"/>
    </row>
    <row r="56" spans="1:27" x14ac:dyDescent="0.2">
      <c r="A56" s="64"/>
    </row>
    <row r="57" spans="1:27" x14ac:dyDescent="0.2">
      <c r="A57" s="68" t="s">
        <v>261</v>
      </c>
      <c r="B57" s="69" t="s">
        <v>201</v>
      </c>
      <c r="C57" s="846" t="s">
        <v>262</v>
      </c>
      <c r="D57" s="847"/>
      <c r="E57" s="847"/>
      <c r="F57" s="847"/>
      <c r="G57" s="847"/>
      <c r="H57" s="847"/>
      <c r="I57" s="847"/>
      <c r="J57" s="847"/>
      <c r="K57" s="848"/>
      <c r="L57" s="841" t="s">
        <v>263</v>
      </c>
      <c r="M57" s="842"/>
      <c r="N57" s="842"/>
      <c r="O57" s="842"/>
      <c r="P57" s="842"/>
      <c r="Q57" s="842"/>
      <c r="R57" s="842"/>
      <c r="S57" s="842"/>
      <c r="T57" s="842"/>
      <c r="U57" s="842"/>
      <c r="V57" s="842"/>
      <c r="W57" s="842"/>
      <c r="X57" s="842"/>
      <c r="Y57" s="842"/>
      <c r="Z57" s="843"/>
      <c r="AA57" s="388" t="s">
        <v>264</v>
      </c>
    </row>
    <row r="58" spans="1:27" ht="43.5" customHeight="1" x14ac:dyDescent="0.2">
      <c r="A58" s="75" t="s">
        <v>354</v>
      </c>
      <c r="B58" s="76" t="s">
        <v>355</v>
      </c>
      <c r="C58" s="77" t="s">
        <v>356</v>
      </c>
      <c r="D58" s="48" t="s">
        <v>973</v>
      </c>
      <c r="E58" s="49" t="s">
        <v>338</v>
      </c>
      <c r="F58" s="48" t="s">
        <v>357</v>
      </c>
      <c r="G58" s="48" t="s">
        <v>358</v>
      </c>
      <c r="H58" s="49" t="s">
        <v>359</v>
      </c>
      <c r="I58" s="49" t="s">
        <v>360</v>
      </c>
      <c r="J58" s="49" t="s">
        <v>68</v>
      </c>
      <c r="K58" s="49" t="s">
        <v>2306</v>
      </c>
      <c r="L58" s="78" t="s">
        <v>1376</v>
      </c>
      <c r="M58" s="80" t="s">
        <v>1377</v>
      </c>
      <c r="N58" s="80" t="s">
        <v>2168</v>
      </c>
      <c r="O58" s="79" t="s">
        <v>1378</v>
      </c>
      <c r="P58" s="79" t="s">
        <v>2003</v>
      </c>
      <c r="Q58" s="79" t="s">
        <v>2001</v>
      </c>
      <c r="R58" s="79" t="s">
        <v>2002</v>
      </c>
      <c r="S58" s="80" t="s">
        <v>361</v>
      </c>
      <c r="T58" s="80" t="s">
        <v>265</v>
      </c>
      <c r="U58" s="80" t="s">
        <v>756</v>
      </c>
      <c r="V58" s="80" t="s">
        <v>77</v>
      </c>
      <c r="W58" s="80" t="s">
        <v>266</v>
      </c>
      <c r="X58" s="80" t="s">
        <v>2302</v>
      </c>
      <c r="Y58" s="80" t="s">
        <v>2303</v>
      </c>
      <c r="Z58" s="81" t="s">
        <v>2305</v>
      </c>
      <c r="AA58" s="82" t="s">
        <v>1100</v>
      </c>
    </row>
    <row r="59" spans="1:27" x14ac:dyDescent="0.2">
      <c r="A59" s="54" t="s">
        <v>267</v>
      </c>
      <c r="B59" s="53" t="s">
        <v>366</v>
      </c>
      <c r="C59" t="str">
        <f>Localization!B83</f>
        <v>Index</v>
      </c>
      <c r="E59" t="s">
        <v>268</v>
      </c>
      <c r="F59" s="83">
        <v>1964</v>
      </c>
      <c r="G59">
        <f ca="1">YEAR(TODAY())</f>
        <v>2016</v>
      </c>
      <c r="H59" s="53" t="s">
        <v>368</v>
      </c>
      <c r="I59" s="53" t="s">
        <v>368</v>
      </c>
      <c r="J59" s="492"/>
      <c r="K59" s="492"/>
      <c r="L59" s="52"/>
      <c r="M59" s="52"/>
      <c r="O59" s="52"/>
      <c r="P59" s="399"/>
      <c r="Q59" s="52"/>
      <c r="R59" s="52"/>
      <c r="S59" s="52"/>
    </row>
    <row r="60" spans="1:27" x14ac:dyDescent="0.2">
      <c r="A60" s="66" t="s">
        <v>2044</v>
      </c>
      <c r="B60" s="53" t="s">
        <v>366</v>
      </c>
      <c r="C60" t="str">
        <f>Localization!B84</f>
        <v>Status</v>
      </c>
      <c r="D60" s="29"/>
      <c r="E60" s="29" t="s">
        <v>269</v>
      </c>
      <c r="F60" s="29"/>
      <c r="G60" s="29"/>
      <c r="H60" s="53" t="s">
        <v>368</v>
      </c>
      <c r="I60" s="53" t="s">
        <v>368</v>
      </c>
      <c r="J60" s="492"/>
      <c r="K60" s="492"/>
      <c r="M60" s="52"/>
      <c r="O60" s="52"/>
      <c r="P60" s="399"/>
      <c r="Q60" s="52"/>
      <c r="R60" s="52"/>
      <c r="S60" s="52"/>
      <c r="AA60" s="52" t="s">
        <v>270</v>
      </c>
    </row>
    <row r="61" spans="1:27" x14ac:dyDescent="0.2">
      <c r="G61"/>
      <c r="H61" s="52"/>
      <c r="I61" s="52"/>
      <c r="J61" s="493"/>
      <c r="K61" s="493"/>
      <c r="S61" s="50"/>
      <c r="T61" s="50"/>
      <c r="U61" s="50"/>
      <c r="V61" s="50"/>
      <c r="W61" s="50"/>
    </row>
    <row r="62" spans="1:27" x14ac:dyDescent="0.2">
      <c r="A62" s="68" t="s">
        <v>261</v>
      </c>
      <c r="B62" s="69" t="s">
        <v>204</v>
      </c>
      <c r="C62" s="846" t="s">
        <v>262</v>
      </c>
      <c r="D62" s="847"/>
      <c r="E62" s="847"/>
      <c r="F62" s="847"/>
      <c r="G62" s="847"/>
      <c r="H62" s="847"/>
      <c r="I62" s="847"/>
      <c r="J62" s="847"/>
      <c r="K62" s="848"/>
      <c r="L62" s="841" t="s">
        <v>263</v>
      </c>
      <c r="M62" s="842"/>
      <c r="N62" s="842"/>
      <c r="O62" s="842"/>
      <c r="P62" s="842"/>
      <c r="Q62" s="842"/>
      <c r="R62" s="842"/>
      <c r="S62" s="842"/>
      <c r="T62" s="842"/>
      <c r="U62" s="842"/>
      <c r="V62" s="842"/>
      <c r="W62" s="842"/>
      <c r="X62" s="842"/>
      <c r="Y62" s="842"/>
      <c r="Z62" s="843"/>
      <c r="AA62" s="388" t="s">
        <v>264</v>
      </c>
    </row>
    <row r="63" spans="1:27" ht="38.25" x14ac:dyDescent="0.2">
      <c r="A63" s="75" t="s">
        <v>354</v>
      </c>
      <c r="B63" s="84" t="s">
        <v>355</v>
      </c>
      <c r="C63" s="77" t="s">
        <v>356</v>
      </c>
      <c r="D63" s="48" t="s">
        <v>973</v>
      </c>
      <c r="E63" s="49" t="s">
        <v>338</v>
      </c>
      <c r="F63" s="48" t="s">
        <v>357</v>
      </c>
      <c r="G63" s="48" t="s">
        <v>358</v>
      </c>
      <c r="H63" s="49" t="s">
        <v>359</v>
      </c>
      <c r="I63" s="49" t="s">
        <v>360</v>
      </c>
      <c r="J63" s="49" t="s">
        <v>68</v>
      </c>
      <c r="K63" s="49" t="s">
        <v>2306</v>
      </c>
      <c r="L63" s="78" t="s">
        <v>1376</v>
      </c>
      <c r="M63" s="80" t="s">
        <v>1377</v>
      </c>
      <c r="N63" s="80" t="s">
        <v>2168</v>
      </c>
      <c r="O63" s="79" t="s">
        <v>1378</v>
      </c>
      <c r="P63" s="79" t="s">
        <v>2003</v>
      </c>
      <c r="Q63" s="79" t="s">
        <v>2001</v>
      </c>
      <c r="R63" s="79" t="s">
        <v>2002</v>
      </c>
      <c r="S63" s="80" t="s">
        <v>361</v>
      </c>
      <c r="T63" s="80" t="s">
        <v>265</v>
      </c>
      <c r="U63" s="80" t="s">
        <v>756</v>
      </c>
      <c r="V63" s="80" t="s">
        <v>77</v>
      </c>
      <c r="W63" s="80" t="s">
        <v>266</v>
      </c>
      <c r="X63" s="80" t="s">
        <v>2302</v>
      </c>
      <c r="Y63" s="80" t="s">
        <v>2303</v>
      </c>
      <c r="Z63" s="81" t="s">
        <v>2305</v>
      </c>
      <c r="AA63" s="82" t="s">
        <v>1100</v>
      </c>
    </row>
    <row r="64" spans="1:27" x14ac:dyDescent="0.2">
      <c r="A64" s="54" t="s">
        <v>267</v>
      </c>
      <c r="B64" s="53" t="s">
        <v>366</v>
      </c>
      <c r="C64" t="str">
        <f>Localization!B85</f>
        <v>Index</v>
      </c>
      <c r="E64" t="s">
        <v>268</v>
      </c>
      <c r="F64" s="83">
        <v>1964</v>
      </c>
      <c r="G64">
        <f ca="1">YEAR(TODAY())</f>
        <v>2016</v>
      </c>
      <c r="H64" s="53" t="s">
        <v>368</v>
      </c>
      <c r="I64" s="53" t="s">
        <v>368</v>
      </c>
      <c r="J64" s="492"/>
      <c r="K64" s="492"/>
      <c r="M64" s="52"/>
      <c r="O64" s="52"/>
      <c r="P64" s="399"/>
      <c r="Q64" s="52"/>
      <c r="R64" s="52"/>
      <c r="S64" s="52" t="s">
        <v>366</v>
      </c>
      <c r="T64" s="52"/>
    </row>
    <row r="65" spans="1:29" ht="12.75" customHeight="1" x14ac:dyDescent="0.2">
      <c r="A65" s="66" t="s">
        <v>271</v>
      </c>
      <c r="B65" s="53" t="s">
        <v>366</v>
      </c>
      <c r="C65" t="str">
        <f>Localization!B86</f>
        <v>Pay</v>
      </c>
      <c r="D65" s="29" t="s">
        <v>2161</v>
      </c>
      <c r="E65" s="29" t="s">
        <v>1118</v>
      </c>
      <c r="F65" s="57" t="s">
        <v>1547</v>
      </c>
      <c r="G65" s="57" t="s">
        <v>272</v>
      </c>
      <c r="H65" s="53" t="s">
        <v>374</v>
      </c>
      <c r="I65" s="53" t="s">
        <v>368</v>
      </c>
      <c r="J65" s="492"/>
      <c r="K65" s="492"/>
      <c r="O65" t="b">
        <f>[2]!NewValueNumber()&gt;([2]!GetProfileNumber("pay","Pay",,"Last")*1.5)</f>
        <v>0</v>
      </c>
      <c r="P65" s="393" t="str">
        <f>Localization!B108</f>
        <v>Value can not increase by more than 50%.</v>
      </c>
      <c r="S65" s="52" t="s">
        <v>366</v>
      </c>
      <c r="T65" s="52"/>
      <c r="AA65" s="52" t="s">
        <v>270</v>
      </c>
    </row>
    <row r="66" spans="1:29" x14ac:dyDescent="0.2">
      <c r="A66" s="66" t="s">
        <v>273</v>
      </c>
      <c r="B66" s="53" t="s">
        <v>366</v>
      </c>
      <c r="C66" t="str">
        <f>Localization!B87</f>
        <v>Hours</v>
      </c>
      <c r="D66" s="29" t="s">
        <v>2160</v>
      </c>
      <c r="E66" s="29" t="s">
        <v>1546</v>
      </c>
      <c r="F66" s="57" t="s">
        <v>1547</v>
      </c>
      <c r="G66" s="57" t="s">
        <v>275</v>
      </c>
      <c r="H66" s="53" t="s">
        <v>374</v>
      </c>
      <c r="I66" s="53" t="s">
        <v>374</v>
      </c>
      <c r="J66" s="492"/>
      <c r="K66" s="492"/>
      <c r="S66" s="52" t="s">
        <v>366</v>
      </c>
      <c r="T66" s="52"/>
      <c r="AA66" s="52" t="s">
        <v>270</v>
      </c>
    </row>
    <row r="67" spans="1:29" x14ac:dyDescent="0.2">
      <c r="G67"/>
      <c r="H67" s="52"/>
      <c r="I67" s="52"/>
      <c r="J67" s="493"/>
      <c r="K67" s="493"/>
      <c r="S67" s="50"/>
      <c r="T67" s="50"/>
      <c r="U67" s="50"/>
      <c r="V67" s="50"/>
      <c r="W67" s="50"/>
    </row>
    <row r="68" spans="1:29" x14ac:dyDescent="0.2">
      <c r="A68" s="68" t="s">
        <v>261</v>
      </c>
      <c r="B68" s="69" t="s">
        <v>1845</v>
      </c>
      <c r="C68" s="849" t="s">
        <v>262</v>
      </c>
      <c r="D68" s="850"/>
      <c r="E68" s="850"/>
      <c r="F68" s="850"/>
      <c r="G68" s="850"/>
      <c r="H68" s="850"/>
      <c r="I68" s="850"/>
      <c r="J68" s="850"/>
      <c r="K68" s="851"/>
      <c r="L68" s="844" t="s">
        <v>263</v>
      </c>
      <c r="M68" s="845"/>
      <c r="N68" s="845"/>
      <c r="O68" s="845"/>
      <c r="P68" s="845"/>
      <c r="Q68" s="845"/>
      <c r="R68" s="845"/>
      <c r="S68" s="845"/>
      <c r="T68" s="845"/>
      <c r="U68" s="845"/>
      <c r="V68" s="845"/>
      <c r="W68" s="845"/>
      <c r="X68" s="845"/>
      <c r="Y68" s="845"/>
      <c r="Z68" s="845"/>
    </row>
    <row r="69" spans="1:29" ht="38.25" x14ac:dyDescent="0.2">
      <c r="A69" s="75" t="s">
        <v>354</v>
      </c>
      <c r="B69" s="84" t="s">
        <v>355</v>
      </c>
      <c r="C69" s="77" t="s">
        <v>356</v>
      </c>
      <c r="D69" s="48" t="s">
        <v>973</v>
      </c>
      <c r="E69" s="49" t="s">
        <v>338</v>
      </c>
      <c r="F69" s="48" t="s">
        <v>357</v>
      </c>
      <c r="G69" s="48" t="s">
        <v>358</v>
      </c>
      <c r="H69" s="49" t="s">
        <v>359</v>
      </c>
      <c r="I69" s="49" t="s">
        <v>360</v>
      </c>
      <c r="J69" s="49" t="s">
        <v>68</v>
      </c>
      <c r="K69" s="49" t="s">
        <v>2306</v>
      </c>
      <c r="L69" s="78" t="s">
        <v>1376</v>
      </c>
      <c r="M69" s="80" t="s">
        <v>1377</v>
      </c>
      <c r="N69" s="80" t="s">
        <v>2168</v>
      </c>
      <c r="O69" s="79" t="s">
        <v>1378</v>
      </c>
      <c r="P69" s="79" t="s">
        <v>2003</v>
      </c>
      <c r="Q69" s="79" t="s">
        <v>2001</v>
      </c>
      <c r="R69" s="79" t="s">
        <v>2002</v>
      </c>
      <c r="S69" s="80" t="s">
        <v>361</v>
      </c>
      <c r="T69" s="80" t="s">
        <v>265</v>
      </c>
      <c r="U69" s="80" t="s">
        <v>756</v>
      </c>
      <c r="V69" s="80" t="s">
        <v>77</v>
      </c>
      <c r="W69" s="80" t="s">
        <v>266</v>
      </c>
      <c r="X69" s="80" t="s">
        <v>2302</v>
      </c>
      <c r="Y69" s="80" t="s">
        <v>2303</v>
      </c>
      <c r="Z69" s="81" t="s">
        <v>2305</v>
      </c>
    </row>
    <row r="70" spans="1:29" x14ac:dyDescent="0.2">
      <c r="A70" s="54" t="s">
        <v>267</v>
      </c>
      <c r="B70" s="53" t="s">
        <v>366</v>
      </c>
      <c r="C70" t="str">
        <f>Localization!B88</f>
        <v>Hire</v>
      </c>
      <c r="E70" s="29" t="s">
        <v>2051</v>
      </c>
      <c r="F70" s="55">
        <v>23377</v>
      </c>
      <c r="G70" s="55">
        <f ca="1">TODAY()</f>
        <v>42583</v>
      </c>
      <c r="H70" s="53" t="s">
        <v>368</v>
      </c>
      <c r="I70" s="53" t="s">
        <v>368</v>
      </c>
      <c r="J70" s="492"/>
      <c r="K70" s="492"/>
      <c r="L70" s="53"/>
      <c r="M70" s="29"/>
      <c r="N70" s="66"/>
      <c r="O70" s="29"/>
      <c r="P70" s="394"/>
      <c r="Q70" s="29"/>
      <c r="R70" s="29"/>
      <c r="S70" s="52"/>
      <c r="T70" s="50"/>
      <c r="U70" s="50"/>
      <c r="V70" s="50"/>
      <c r="W70" s="50"/>
      <c r="X70" s="50"/>
      <c r="Y70" s="50"/>
      <c r="Z70" s="50"/>
      <c r="AA70" s="52"/>
      <c r="AB70" s="52"/>
      <c r="AC70" s="52"/>
    </row>
    <row r="71" spans="1:29" x14ac:dyDescent="0.2">
      <c r="A71" s="66" t="s">
        <v>389</v>
      </c>
      <c r="B71" s="53" t="s">
        <v>366</v>
      </c>
      <c r="C71" t="str">
        <f>Localization!B89</f>
        <v>Term</v>
      </c>
      <c r="D71" s="29"/>
      <c r="E71" s="29" t="s">
        <v>2051</v>
      </c>
      <c r="F71" s="55">
        <v>23377</v>
      </c>
      <c r="G71" s="55">
        <f ca="1">TODAY()</f>
        <v>42583</v>
      </c>
      <c r="H71" s="53" t="s">
        <v>374</v>
      </c>
      <c r="I71" s="53"/>
      <c r="J71" s="492"/>
      <c r="K71" s="492"/>
      <c r="L71" s="53"/>
      <c r="M71" s="29"/>
      <c r="N71" s="66"/>
      <c r="O71" s="29"/>
      <c r="P71" s="394"/>
      <c r="Q71" s="29"/>
      <c r="R71" s="29"/>
      <c r="S71" s="52"/>
      <c r="T71" s="53"/>
      <c r="U71" s="53"/>
      <c r="V71" s="53"/>
      <c r="W71" s="53"/>
      <c r="X71" s="53"/>
      <c r="Y71" s="53"/>
      <c r="Z71" s="53"/>
      <c r="AA71" s="52"/>
      <c r="AB71" s="52"/>
      <c r="AC71" s="52"/>
    </row>
    <row r="72" spans="1:29" x14ac:dyDescent="0.2">
      <c r="G72"/>
      <c r="H72" s="52"/>
      <c r="I72" s="52"/>
      <c r="J72" s="493"/>
      <c r="K72" s="493"/>
      <c r="S72" s="50"/>
      <c r="T72" s="50"/>
      <c r="U72" s="50"/>
      <c r="V72" s="50"/>
      <c r="W72" s="50"/>
    </row>
    <row r="73" spans="1:29" x14ac:dyDescent="0.2">
      <c r="A73" s="68" t="s">
        <v>261</v>
      </c>
      <c r="B73" s="69" t="s">
        <v>1408</v>
      </c>
      <c r="C73" s="846" t="s">
        <v>262</v>
      </c>
      <c r="D73" s="847"/>
      <c r="E73" s="847"/>
      <c r="F73" s="847"/>
      <c r="G73" s="847"/>
      <c r="H73" s="847"/>
      <c r="I73" s="847"/>
      <c r="J73" s="847"/>
      <c r="K73" s="848"/>
      <c r="L73" s="841" t="s">
        <v>263</v>
      </c>
      <c r="M73" s="842"/>
      <c r="N73" s="842"/>
      <c r="O73" s="842"/>
      <c r="P73" s="842"/>
      <c r="Q73" s="842"/>
      <c r="R73" s="842"/>
      <c r="S73" s="842"/>
      <c r="T73" s="842"/>
      <c r="U73" s="842"/>
      <c r="V73" s="842"/>
      <c r="W73" s="842"/>
      <c r="X73" s="842"/>
      <c r="Y73" s="842"/>
      <c r="Z73" s="843"/>
      <c r="AA73" s="388" t="s">
        <v>264</v>
      </c>
    </row>
    <row r="74" spans="1:29" s="29" customFormat="1" ht="38.25" x14ac:dyDescent="0.2">
      <c r="A74" s="75" t="s">
        <v>354</v>
      </c>
      <c r="B74" s="84" t="s">
        <v>355</v>
      </c>
      <c r="C74" s="77" t="s">
        <v>356</v>
      </c>
      <c r="D74" s="48" t="s">
        <v>973</v>
      </c>
      <c r="E74" s="49" t="s">
        <v>338</v>
      </c>
      <c r="F74" s="48" t="s">
        <v>357</v>
      </c>
      <c r="G74" s="48" t="s">
        <v>358</v>
      </c>
      <c r="H74" s="49" t="s">
        <v>359</v>
      </c>
      <c r="I74" s="49" t="s">
        <v>360</v>
      </c>
      <c r="J74" s="49" t="s">
        <v>68</v>
      </c>
      <c r="K74" s="49" t="s">
        <v>2306</v>
      </c>
      <c r="L74" s="78" t="s">
        <v>1376</v>
      </c>
      <c r="M74" s="80" t="s">
        <v>1377</v>
      </c>
      <c r="N74" s="80" t="s">
        <v>2168</v>
      </c>
      <c r="O74" s="79" t="s">
        <v>1378</v>
      </c>
      <c r="P74" s="79" t="s">
        <v>2003</v>
      </c>
      <c r="Q74" s="79" t="s">
        <v>2001</v>
      </c>
      <c r="R74" s="79" t="s">
        <v>2002</v>
      </c>
      <c r="S74" s="80" t="s">
        <v>361</v>
      </c>
      <c r="T74" s="80" t="s">
        <v>265</v>
      </c>
      <c r="U74" s="80" t="s">
        <v>756</v>
      </c>
      <c r="V74" s="80" t="s">
        <v>77</v>
      </c>
      <c r="W74" s="80" t="s">
        <v>266</v>
      </c>
      <c r="X74" s="80" t="s">
        <v>2302</v>
      </c>
      <c r="Y74" s="80" t="s">
        <v>2303</v>
      </c>
      <c r="Z74" s="81" t="s">
        <v>2305</v>
      </c>
      <c r="AA74" s="82" t="s">
        <v>1103</v>
      </c>
    </row>
    <row r="75" spans="1:29" x14ac:dyDescent="0.2">
      <c r="A75" s="54" t="s">
        <v>267</v>
      </c>
      <c r="B75" s="53" t="s">
        <v>366</v>
      </c>
      <c r="C75" t="str">
        <f>Localization!B90</f>
        <v>Index</v>
      </c>
      <c r="D75" s="29" t="s">
        <v>1847</v>
      </c>
      <c r="E75" s="29" t="s">
        <v>1848</v>
      </c>
      <c r="F75" s="29">
        <v>1</v>
      </c>
      <c r="G75" s="29">
        <v>999</v>
      </c>
      <c r="H75" s="53" t="s">
        <v>368</v>
      </c>
      <c r="I75" s="53" t="s">
        <v>368</v>
      </c>
      <c r="J75" s="492"/>
      <c r="K75" s="492"/>
      <c r="M75" s="53"/>
      <c r="N75" s="66"/>
      <c r="O75" s="53"/>
      <c r="P75" s="400"/>
      <c r="Q75" s="53"/>
      <c r="R75" s="53"/>
      <c r="S75" s="53"/>
      <c r="T75" s="50"/>
      <c r="U75" s="50"/>
      <c r="V75" s="50">
        <v>3</v>
      </c>
      <c r="W75" s="50"/>
      <c r="X75" s="50"/>
      <c r="Y75" s="50"/>
      <c r="Z75" s="50"/>
      <c r="AA75" s="52" t="s">
        <v>366</v>
      </c>
      <c r="AC75" s="52"/>
    </row>
    <row r="76" spans="1:29" x14ac:dyDescent="0.2">
      <c r="A76" s="66" t="s">
        <v>1849</v>
      </c>
      <c r="B76" s="53" t="s">
        <v>366</v>
      </c>
      <c r="C76" t="str">
        <f>Localization!B91</f>
        <v>Amount</v>
      </c>
      <c r="D76" s="29" t="s">
        <v>2161</v>
      </c>
      <c r="E76" s="29" t="s">
        <v>1118</v>
      </c>
      <c r="F76" s="57" t="s">
        <v>1547</v>
      </c>
      <c r="G76" s="57" t="s">
        <v>272</v>
      </c>
      <c r="H76" s="53" t="s">
        <v>374</v>
      </c>
      <c r="I76" s="53" t="s">
        <v>368</v>
      </c>
      <c r="J76" s="492"/>
      <c r="K76" s="492"/>
      <c r="L76" s="29"/>
      <c r="M76" s="29"/>
      <c r="N76" s="66"/>
      <c r="O76" s="29"/>
      <c r="P76" s="394"/>
      <c r="Q76" s="29"/>
      <c r="R76" s="29"/>
      <c r="S76" s="29"/>
      <c r="T76" s="50"/>
      <c r="U76" s="50"/>
      <c r="V76" s="50"/>
      <c r="W76" s="50"/>
      <c r="X76" s="50"/>
      <c r="Y76" s="50"/>
      <c r="Z76" s="50"/>
      <c r="AA76" s="52" t="s">
        <v>366</v>
      </c>
      <c r="AC76" s="52"/>
    </row>
    <row r="77" spans="1:29" x14ac:dyDescent="0.2">
      <c r="A77" s="66" t="s">
        <v>1851</v>
      </c>
      <c r="B77" s="53" t="s">
        <v>366</v>
      </c>
      <c r="C77" t="str">
        <f>Localization!B92</f>
        <v>Frequency</v>
      </c>
      <c r="D77" s="29"/>
      <c r="E77" s="29" t="s">
        <v>1853</v>
      </c>
      <c r="F77" s="29"/>
      <c r="G77" s="29"/>
      <c r="H77" s="53" t="s">
        <v>368</v>
      </c>
      <c r="I77" s="52" t="s">
        <v>368</v>
      </c>
      <c r="J77" s="494"/>
      <c r="K77" s="494"/>
      <c r="L77" s="29"/>
      <c r="M77" s="29"/>
      <c r="N77" s="66"/>
      <c r="O77" s="29"/>
      <c r="P77" s="394"/>
      <c r="Q77" s="29"/>
      <c r="R77" s="29"/>
      <c r="S77" s="29"/>
      <c r="T77" s="50"/>
      <c r="U77" s="50"/>
      <c r="V77" s="50"/>
      <c r="W77" s="50"/>
      <c r="X77" s="50"/>
      <c r="Y77" s="50"/>
      <c r="Z77" s="50"/>
      <c r="AA77" s="52" t="s">
        <v>366</v>
      </c>
      <c r="AC77" s="52"/>
    </row>
    <row r="78" spans="1:29" x14ac:dyDescent="0.2">
      <c r="A78" s="66" t="s">
        <v>1854</v>
      </c>
      <c r="B78" s="53" t="s">
        <v>366</v>
      </c>
      <c r="C78" t="str">
        <f>Localization!B93</f>
        <v>Form</v>
      </c>
      <c r="D78" s="29"/>
      <c r="E78" s="29" t="s">
        <v>1856</v>
      </c>
      <c r="F78" s="29"/>
      <c r="G78" s="29"/>
      <c r="H78" s="53" t="s">
        <v>368</v>
      </c>
      <c r="I78" s="52" t="s">
        <v>368</v>
      </c>
      <c r="J78" s="494"/>
      <c r="K78" s="494"/>
      <c r="L78" s="29"/>
      <c r="M78" s="29"/>
      <c r="N78" s="66"/>
      <c r="O78" s="29"/>
      <c r="P78" s="394"/>
      <c r="Q78" s="29"/>
      <c r="R78" s="29"/>
      <c r="S78" s="29"/>
      <c r="T78" s="50"/>
      <c r="U78" s="50"/>
      <c r="V78" s="50"/>
      <c r="W78" s="50"/>
      <c r="X78" s="50"/>
      <c r="Y78" s="50"/>
      <c r="Z78" s="50"/>
      <c r="AA78" s="52" t="s">
        <v>366</v>
      </c>
      <c r="AC78" s="52"/>
    </row>
    <row r="79" spans="1:29" x14ac:dyDescent="0.2">
      <c r="A79" s="66" t="s">
        <v>1857</v>
      </c>
      <c r="B79" s="53" t="s">
        <v>366</v>
      </c>
      <c r="C79" t="str">
        <f>Localization!B94</f>
        <v>Start</v>
      </c>
      <c r="D79" s="29"/>
      <c r="E79" s="29" t="s">
        <v>2051</v>
      </c>
      <c r="F79" s="55">
        <f>[2]!GetProfileDate("date-hire")</f>
        <v>34828</v>
      </c>
      <c r="G79" s="55">
        <f>[2]!AddYears( [2]!GetProfileDate("date-hire"), 100 )</f>
        <v>71353</v>
      </c>
      <c r="H79" s="53" t="s">
        <v>374</v>
      </c>
      <c r="I79" s="52" t="s">
        <v>368</v>
      </c>
      <c r="J79" s="494"/>
      <c r="K79" s="494"/>
      <c r="L79" s="29"/>
      <c r="M79" s="29"/>
      <c r="N79" s="66"/>
      <c r="O79" s="29"/>
      <c r="P79" s="394"/>
      <c r="Q79" s="29"/>
      <c r="R79" s="29"/>
      <c r="S79" s="29"/>
      <c r="T79" s="50"/>
      <c r="U79" s="50"/>
      <c r="V79" s="50"/>
      <c r="W79" s="50"/>
      <c r="X79" s="50"/>
      <c r="Y79" s="50"/>
      <c r="Z79" s="50"/>
      <c r="AA79" s="52" t="s">
        <v>366</v>
      </c>
      <c r="AC79" s="52"/>
    </row>
    <row r="80" spans="1:29" x14ac:dyDescent="0.2">
      <c r="A80" s="66" t="s">
        <v>284</v>
      </c>
      <c r="B80" s="53" t="s">
        <v>366</v>
      </c>
      <c r="C80" t="str">
        <f>Localization!B95</f>
        <v>End</v>
      </c>
      <c r="D80" s="29"/>
      <c r="E80" s="29" t="s">
        <v>2051</v>
      </c>
      <c r="F80" s="55">
        <f>[2]!GetProfileDate("date-hire")</f>
        <v>34828</v>
      </c>
      <c r="G80" s="55">
        <f>[2]!AddYears( [2]!GetProfileDate("date-hire"), 100 )</f>
        <v>71353</v>
      </c>
      <c r="H80" s="53" t="s">
        <v>374</v>
      </c>
      <c r="I80" s="52"/>
      <c r="J80" s="494"/>
      <c r="K80" s="494"/>
      <c r="L80" s="29"/>
      <c r="M80" s="29"/>
      <c r="N80" s="66"/>
      <c r="O80" s="29"/>
      <c r="P80" s="394"/>
      <c r="Q80" s="29"/>
      <c r="R80" s="29"/>
      <c r="S80" s="29"/>
      <c r="T80" s="52" t="s">
        <v>366</v>
      </c>
      <c r="U80" s="52"/>
      <c r="V80" s="52"/>
      <c r="W80" s="52"/>
      <c r="X80" s="52"/>
      <c r="Y80" s="52"/>
      <c r="Z80" s="52"/>
      <c r="AA80" s="52" t="s">
        <v>366</v>
      </c>
      <c r="AC80" s="52"/>
    </row>
    <row r="81" spans="1:29" x14ac:dyDescent="0.2">
      <c r="A81" s="66" t="s">
        <v>286</v>
      </c>
      <c r="B81" s="53" t="s">
        <v>366</v>
      </c>
      <c r="C81" t="str">
        <f>Localization!B96</f>
        <v>Stop</v>
      </c>
      <c r="D81" s="29"/>
      <c r="E81" s="29" t="s">
        <v>2051</v>
      </c>
      <c r="F81" s="55">
        <f>[2]!GetProfileDate("date-hire")</f>
        <v>34828</v>
      </c>
      <c r="G81" s="55">
        <f>[2]!AddYears( [2]!GetProfileDate("date-hire"), 100 )</f>
        <v>71353</v>
      </c>
      <c r="H81" s="53" t="s">
        <v>374</v>
      </c>
      <c r="I81" s="52"/>
      <c r="J81" s="494"/>
      <c r="K81" s="494"/>
      <c r="L81" s="29"/>
      <c r="M81" s="29"/>
      <c r="N81" s="66"/>
      <c r="O81" s="29"/>
      <c r="P81" s="394"/>
      <c r="Q81" s="29"/>
      <c r="R81" s="29"/>
      <c r="S81" s="29"/>
      <c r="T81" s="52" t="s">
        <v>366</v>
      </c>
      <c r="U81" s="52"/>
      <c r="V81" s="52"/>
      <c r="W81" s="52"/>
      <c r="X81" s="52"/>
      <c r="Y81" s="52"/>
      <c r="Z81" s="52"/>
      <c r="AA81" s="52" t="s">
        <v>366</v>
      </c>
      <c r="AC81" s="52"/>
    </row>
    <row r="82" spans="1:29" x14ac:dyDescent="0.2">
      <c r="A82" s="54" t="s">
        <v>288</v>
      </c>
      <c r="B82" s="53" t="s">
        <v>366</v>
      </c>
      <c r="C82" t="str">
        <f>Localization!B97</f>
        <v>Payable</v>
      </c>
      <c r="E82" s="29" t="s">
        <v>367</v>
      </c>
      <c r="J82" s="494"/>
      <c r="K82" s="494"/>
      <c r="T82" s="52" t="s">
        <v>366</v>
      </c>
      <c r="U82" s="52"/>
      <c r="V82" s="52"/>
      <c r="W82" s="52"/>
      <c r="X82" s="52"/>
      <c r="Y82" s="52"/>
      <c r="Z82" s="52"/>
      <c r="AA82" s="52" t="s">
        <v>366</v>
      </c>
      <c r="AC82" s="52"/>
    </row>
    <row r="83" spans="1:29" s="29" customFormat="1" x14ac:dyDescent="0.2">
      <c r="A83" s="54"/>
      <c r="B83"/>
      <c r="D83"/>
      <c r="E83"/>
      <c r="F83" s="52"/>
      <c r="G83" s="52"/>
      <c r="H83"/>
      <c r="I83"/>
      <c r="J83" s="97"/>
      <c r="K83" s="97"/>
      <c r="M83" s="50"/>
      <c r="N83" s="64"/>
      <c r="O83" s="50"/>
      <c r="P83" s="392"/>
      <c r="Q83" s="50"/>
      <c r="R83" s="50"/>
      <c r="S83" s="50"/>
      <c r="T83" s="50"/>
      <c r="U83" s="50"/>
      <c r="V83" s="50"/>
      <c r="W83" s="50"/>
      <c r="X83" s="50"/>
      <c r="Y83" s="50"/>
      <c r="Z83" s="50"/>
      <c r="AA83" s="50"/>
      <c r="AB83" s="50"/>
      <c r="AC83"/>
    </row>
    <row r="84" spans="1:29" x14ac:dyDescent="0.2">
      <c r="A84" s="68" t="s">
        <v>261</v>
      </c>
      <c r="B84" s="69" t="s">
        <v>290</v>
      </c>
      <c r="C84" s="849" t="s">
        <v>262</v>
      </c>
      <c r="D84" s="850"/>
      <c r="E84" s="850"/>
      <c r="F84" s="850"/>
      <c r="G84" s="850"/>
      <c r="H84" s="850"/>
      <c r="I84" s="850"/>
      <c r="J84" s="850"/>
      <c r="K84" s="851"/>
      <c r="L84" s="844" t="s">
        <v>263</v>
      </c>
      <c r="M84" s="845"/>
      <c r="N84" s="845"/>
      <c r="O84" s="845"/>
      <c r="P84" s="845"/>
      <c r="Q84" s="845"/>
      <c r="R84" s="845"/>
      <c r="S84" s="845"/>
      <c r="T84" s="845"/>
      <c r="U84" s="845"/>
      <c r="V84" s="845"/>
      <c r="W84" s="845"/>
      <c r="X84" s="845"/>
      <c r="Y84" s="845"/>
      <c r="Z84" s="845"/>
    </row>
    <row r="85" spans="1:29" s="29" customFormat="1" ht="38.25" x14ac:dyDescent="0.2">
      <c r="A85" s="75" t="s">
        <v>354</v>
      </c>
      <c r="B85" s="84" t="s">
        <v>355</v>
      </c>
      <c r="C85" s="77" t="s">
        <v>356</v>
      </c>
      <c r="D85" s="48" t="s">
        <v>973</v>
      </c>
      <c r="E85" s="49" t="s">
        <v>338</v>
      </c>
      <c r="F85" s="48" t="s">
        <v>357</v>
      </c>
      <c r="G85" s="48" t="s">
        <v>358</v>
      </c>
      <c r="H85" s="49" t="s">
        <v>359</v>
      </c>
      <c r="I85" s="49" t="s">
        <v>360</v>
      </c>
      <c r="J85" s="49" t="s">
        <v>68</v>
      </c>
      <c r="K85" s="49" t="s">
        <v>2306</v>
      </c>
      <c r="L85" s="78" t="s">
        <v>1376</v>
      </c>
      <c r="M85" s="80" t="s">
        <v>1377</v>
      </c>
      <c r="N85" s="80" t="s">
        <v>2168</v>
      </c>
      <c r="O85" s="79" t="s">
        <v>1378</v>
      </c>
      <c r="P85" s="79" t="s">
        <v>2003</v>
      </c>
      <c r="Q85" s="79" t="s">
        <v>2001</v>
      </c>
      <c r="R85" s="79" t="s">
        <v>2002</v>
      </c>
      <c r="S85" s="80" t="s">
        <v>361</v>
      </c>
      <c r="T85" s="80" t="s">
        <v>265</v>
      </c>
      <c r="U85" s="80" t="s">
        <v>756</v>
      </c>
      <c r="V85" s="80" t="s">
        <v>77</v>
      </c>
      <c r="W85" s="80" t="s">
        <v>266</v>
      </c>
      <c r="X85" s="80" t="s">
        <v>2302</v>
      </c>
      <c r="Y85" s="80" t="s">
        <v>2303</v>
      </c>
      <c r="Z85" s="81" t="s">
        <v>2305</v>
      </c>
    </row>
    <row r="86" spans="1:29" x14ac:dyDescent="0.2">
      <c r="A86" s="85" t="s">
        <v>267</v>
      </c>
      <c r="B86" s="86" t="s">
        <v>366</v>
      </c>
      <c r="C86" s="61" t="str">
        <f>Localization!B98</f>
        <v>SSN</v>
      </c>
      <c r="D86" s="31" t="s">
        <v>291</v>
      </c>
      <c r="E86" s="31" t="s">
        <v>1848</v>
      </c>
      <c r="F86" s="31">
        <v>1</v>
      </c>
      <c r="G86" s="31">
        <v>999999999</v>
      </c>
      <c r="H86" s="86" t="s">
        <v>368</v>
      </c>
      <c r="I86" s="86" t="s">
        <v>368</v>
      </c>
      <c r="J86" s="387"/>
      <c r="K86" s="387"/>
      <c r="M86" s="53"/>
      <c r="N86" s="66"/>
      <c r="O86" s="53"/>
      <c r="P86" s="400"/>
      <c r="Q86" s="53"/>
      <c r="R86" s="53"/>
      <c r="V86">
        <v>9</v>
      </c>
    </row>
    <row r="87" spans="1:29" x14ac:dyDescent="0.2">
      <c r="A87" s="85" t="s">
        <v>342</v>
      </c>
      <c r="B87" s="86" t="s">
        <v>366</v>
      </c>
      <c r="C87" s="61" t="str">
        <f>Localization!B99</f>
        <v>Last Name</v>
      </c>
      <c r="D87" s="31"/>
      <c r="E87" s="31" t="s">
        <v>367</v>
      </c>
      <c r="F87" s="31"/>
      <c r="G87" s="31"/>
      <c r="H87" s="86"/>
      <c r="I87" s="86" t="s">
        <v>374</v>
      </c>
      <c r="J87" s="387"/>
      <c r="K87" s="387"/>
      <c r="L87" s="53"/>
      <c r="M87" s="29"/>
      <c r="N87" s="66"/>
      <c r="O87" s="29"/>
      <c r="P87" s="394"/>
      <c r="Q87" s="29"/>
      <c r="R87" s="29"/>
    </row>
    <row r="88" spans="1:29" x14ac:dyDescent="0.2">
      <c r="A88" s="85" t="s">
        <v>344</v>
      </c>
      <c r="B88" s="86" t="s">
        <v>366</v>
      </c>
      <c r="C88" s="61" t="str">
        <f>Localization!B100</f>
        <v>First Name</v>
      </c>
      <c r="D88" s="31"/>
      <c r="E88" s="31" t="s">
        <v>367</v>
      </c>
      <c r="F88" s="31"/>
      <c r="G88" s="31"/>
      <c r="H88" s="86"/>
      <c r="I88" s="86" t="s">
        <v>374</v>
      </c>
      <c r="J88" s="387"/>
      <c r="K88" s="387"/>
      <c r="L88" s="53"/>
      <c r="M88" s="29"/>
      <c r="N88" s="66"/>
      <c r="O88" s="29"/>
      <c r="P88" s="394"/>
      <c r="Q88" s="29"/>
      <c r="R88" s="29"/>
    </row>
    <row r="89" spans="1:29" x14ac:dyDescent="0.2">
      <c r="A89" s="85" t="s">
        <v>369</v>
      </c>
      <c r="B89" s="86" t="s">
        <v>366</v>
      </c>
      <c r="C89" s="61" t="str">
        <f>Localization!B101</f>
        <v>Middle Initial</v>
      </c>
      <c r="D89" s="31"/>
      <c r="E89" s="31" t="s">
        <v>367</v>
      </c>
      <c r="F89" s="31"/>
      <c r="G89" s="31"/>
      <c r="H89" s="86"/>
      <c r="I89" s="86" t="s">
        <v>374</v>
      </c>
      <c r="J89" s="387"/>
      <c r="K89" s="387"/>
      <c r="L89" s="53"/>
      <c r="M89" s="29"/>
      <c r="N89" s="66"/>
      <c r="O89" s="29"/>
      <c r="P89" s="394"/>
      <c r="Q89" s="29"/>
      <c r="R89" s="29"/>
    </row>
    <row r="90" spans="1:29" x14ac:dyDescent="0.2">
      <c r="A90" s="85" t="s">
        <v>371</v>
      </c>
      <c r="B90" s="86" t="s">
        <v>366</v>
      </c>
      <c r="C90" s="61" t="str">
        <f>Localization!B102</f>
        <v>Sex</v>
      </c>
      <c r="D90" s="31"/>
      <c r="E90" s="61" t="s">
        <v>373</v>
      </c>
      <c r="F90" s="31"/>
      <c r="G90" s="31"/>
      <c r="H90" s="86" t="s">
        <v>368</v>
      </c>
      <c r="I90" s="86" t="s">
        <v>374</v>
      </c>
      <c r="J90" s="387"/>
      <c r="K90" s="387"/>
      <c r="L90" s="53"/>
      <c r="M90" s="29"/>
      <c r="N90" s="66"/>
      <c r="O90" s="29"/>
      <c r="P90" s="394"/>
      <c r="Q90" s="29"/>
      <c r="R90" s="29"/>
    </row>
    <row r="91" spans="1:29" x14ac:dyDescent="0.2">
      <c r="A91" s="85" t="s">
        <v>2042</v>
      </c>
      <c r="B91" s="86" t="s">
        <v>366</v>
      </c>
      <c r="C91" s="61" t="str">
        <f>Localization!B103</f>
        <v>Date of Birth</v>
      </c>
      <c r="D91" s="31"/>
      <c r="E91" s="31" t="s">
        <v>2051</v>
      </c>
      <c r="F91" s="87">
        <v>1</v>
      </c>
      <c r="G91" s="87">
        <f ca="1">[2]!AddYears( TODAY(),-16 )</f>
        <v>36739</v>
      </c>
      <c r="H91" s="86" t="s">
        <v>374</v>
      </c>
      <c r="I91" s="86" t="s">
        <v>368</v>
      </c>
      <c r="J91" s="387"/>
      <c r="K91" s="387"/>
      <c r="L91" s="52"/>
      <c r="M91" s="29"/>
      <c r="N91" s="66"/>
      <c r="O91" s="29"/>
      <c r="P91" s="394"/>
      <c r="Q91" s="29"/>
      <c r="R91" s="29"/>
    </row>
    <row r="92" spans="1:29" x14ac:dyDescent="0.2">
      <c r="F92" s="52"/>
      <c r="S92" s="52"/>
      <c r="T92" s="52"/>
      <c r="U92" s="52"/>
      <c r="V92" s="52"/>
      <c r="W92" s="52"/>
    </row>
    <row r="93" spans="1:29" x14ac:dyDescent="0.2">
      <c r="A93" s="68" t="s">
        <v>261</v>
      </c>
      <c r="B93" s="69" t="s">
        <v>1257</v>
      </c>
      <c r="C93" s="849" t="s">
        <v>262</v>
      </c>
      <c r="D93" s="850"/>
      <c r="E93" s="850"/>
      <c r="F93" s="850"/>
      <c r="G93" s="850"/>
      <c r="H93" s="850"/>
      <c r="I93" s="850"/>
      <c r="J93" s="850"/>
      <c r="K93" s="851"/>
      <c r="L93" s="844" t="s">
        <v>263</v>
      </c>
      <c r="M93" s="845"/>
      <c r="N93" s="845"/>
      <c r="O93" s="845"/>
      <c r="P93" s="845"/>
      <c r="Q93" s="845"/>
      <c r="R93" s="845"/>
      <c r="S93" s="845"/>
      <c r="T93" s="845"/>
      <c r="U93" s="845"/>
      <c r="V93" s="845"/>
      <c r="W93" s="845"/>
      <c r="X93" s="845"/>
      <c r="Y93" s="845"/>
      <c r="Z93" s="845"/>
    </row>
    <row r="94" spans="1:29" ht="38.25" x14ac:dyDescent="0.2">
      <c r="A94" s="75" t="s">
        <v>354</v>
      </c>
      <c r="B94" s="84" t="s">
        <v>355</v>
      </c>
      <c r="C94" s="77" t="s">
        <v>356</v>
      </c>
      <c r="D94" s="48" t="s">
        <v>973</v>
      </c>
      <c r="E94" s="49" t="s">
        <v>338</v>
      </c>
      <c r="F94" s="48" t="s">
        <v>357</v>
      </c>
      <c r="G94" s="48" t="s">
        <v>358</v>
      </c>
      <c r="H94" s="49" t="s">
        <v>359</v>
      </c>
      <c r="I94" s="49" t="s">
        <v>360</v>
      </c>
      <c r="J94" s="49" t="s">
        <v>68</v>
      </c>
      <c r="K94" s="49" t="s">
        <v>2306</v>
      </c>
      <c r="L94" s="78" t="s">
        <v>1376</v>
      </c>
      <c r="M94" s="80" t="s">
        <v>1377</v>
      </c>
      <c r="N94" s="80" t="s">
        <v>2168</v>
      </c>
      <c r="O94" s="79" t="s">
        <v>1378</v>
      </c>
      <c r="P94" s="79" t="s">
        <v>2003</v>
      </c>
      <c r="Q94" s="79" t="s">
        <v>2001</v>
      </c>
      <c r="R94" s="79" t="s">
        <v>2002</v>
      </c>
      <c r="S94" s="80" t="s">
        <v>361</v>
      </c>
      <c r="T94" s="80" t="s">
        <v>265</v>
      </c>
      <c r="U94" s="80" t="s">
        <v>756</v>
      </c>
      <c r="V94" s="80" t="s">
        <v>77</v>
      </c>
      <c r="W94" s="80" t="s">
        <v>266</v>
      </c>
      <c r="X94" s="80" t="s">
        <v>2302</v>
      </c>
      <c r="Y94" s="80" t="s">
        <v>2303</v>
      </c>
      <c r="Z94" s="81" t="s">
        <v>2305</v>
      </c>
    </row>
    <row r="95" spans="1:29" x14ac:dyDescent="0.2">
      <c r="A95" t="s">
        <v>267</v>
      </c>
      <c r="B95" s="53" t="s">
        <v>366</v>
      </c>
      <c r="C95" t="str">
        <f>Localization!B104</f>
        <v>Index</v>
      </c>
      <c r="D95" s="83"/>
      <c r="E95" t="s">
        <v>367</v>
      </c>
      <c r="F95" s="83"/>
      <c r="G95"/>
      <c r="H95" s="53"/>
      <c r="I95" s="53" t="s">
        <v>368</v>
      </c>
      <c r="J95" s="492" t="str">
        <f>[2]!FormatValue(A96,"{0:yyyy-MM-dd}")&amp;"-"&amp;A97</f>
        <v>[FormatValue(date-status, "{0:yyyy-MM-dd}")]-appendix</v>
      </c>
      <c r="K95" s="492"/>
      <c r="L95" s="53"/>
      <c r="S95" s="52"/>
      <c r="AA95" s="52"/>
      <c r="AB95" s="52"/>
      <c r="AC95" s="52"/>
    </row>
    <row r="96" spans="1:29" x14ac:dyDescent="0.2">
      <c r="A96" s="66" t="s">
        <v>293</v>
      </c>
      <c r="B96" s="53" t="s">
        <v>366</v>
      </c>
      <c r="C96" t="str">
        <f>Localization!B105</f>
        <v>Status Date</v>
      </c>
      <c r="D96" s="29"/>
      <c r="E96" s="29" t="s">
        <v>2051</v>
      </c>
      <c r="F96" s="58">
        <v>1</v>
      </c>
      <c r="G96" s="55">
        <f ca="1">TODAY()</f>
        <v>42583</v>
      </c>
      <c r="H96" s="53" t="s">
        <v>374</v>
      </c>
      <c r="I96" s="53" t="s">
        <v>368</v>
      </c>
      <c r="J96" s="492"/>
      <c r="K96" s="492"/>
      <c r="L96" s="53"/>
      <c r="M96" s="29"/>
      <c r="N96" s="66"/>
      <c r="O96" s="29"/>
      <c r="P96" s="394"/>
      <c r="Q96" s="29"/>
      <c r="R96" s="29"/>
      <c r="S96" s="52"/>
      <c r="AA96" s="52"/>
    </row>
    <row r="97" spans="1:27" x14ac:dyDescent="0.2">
      <c r="A97" s="66" t="s">
        <v>295</v>
      </c>
      <c r="B97" s="53" t="s">
        <v>366</v>
      </c>
      <c r="C97" t="str">
        <f>Localization!B106</f>
        <v>Appendix</v>
      </c>
      <c r="D97" s="29"/>
      <c r="E97" s="29" t="s">
        <v>297</v>
      </c>
      <c r="F97" s="57"/>
      <c r="G97" s="57"/>
      <c r="H97" s="53"/>
      <c r="I97" s="53" t="s">
        <v>368</v>
      </c>
      <c r="J97" s="492"/>
      <c r="K97" s="492"/>
      <c r="L97" s="53"/>
      <c r="M97" s="29"/>
      <c r="N97" s="66"/>
      <c r="O97" s="29"/>
      <c r="P97" s="394"/>
      <c r="Q97" s="29"/>
      <c r="R97" s="29"/>
      <c r="S97" s="52"/>
      <c r="AA97" s="52"/>
    </row>
    <row r="98" spans="1:27" x14ac:dyDescent="0.2">
      <c r="A98" s="66" t="s">
        <v>2044</v>
      </c>
      <c r="B98" s="53" t="s">
        <v>366</v>
      </c>
      <c r="C98" t="str">
        <f>Localization!B107</f>
        <v>Status</v>
      </c>
      <c r="D98" s="29"/>
      <c r="E98" s="29" t="s">
        <v>269</v>
      </c>
      <c r="F98" s="57"/>
      <c r="G98" s="57"/>
      <c r="H98" s="53"/>
      <c r="I98" s="53" t="s">
        <v>368</v>
      </c>
      <c r="J98" s="492"/>
      <c r="K98" s="492"/>
      <c r="L98" s="53"/>
      <c r="M98" s="29"/>
      <c r="N98" s="66"/>
      <c r="O98" s="29"/>
      <c r="P98" s="394"/>
      <c r="Q98" s="29"/>
      <c r="R98" s="29"/>
      <c r="S98" s="52"/>
      <c r="AA98" s="52"/>
    </row>
  </sheetData>
  <mergeCells count="12">
    <mergeCell ref="L73:Z73"/>
    <mergeCell ref="L84:Z84"/>
    <mergeCell ref="L93:Z93"/>
    <mergeCell ref="C73:K73"/>
    <mergeCell ref="C84:K84"/>
    <mergeCell ref="C93:K93"/>
    <mergeCell ref="L57:Z57"/>
    <mergeCell ref="L62:Z62"/>
    <mergeCell ref="L68:Z68"/>
    <mergeCell ref="C57:K57"/>
    <mergeCell ref="C62:K62"/>
    <mergeCell ref="C68:K68"/>
  </mergeCells>
  <phoneticPr fontId="0" type="noConversion"/>
  <dataValidations count="9">
    <dataValidation type="list" errorStyle="information" allowBlank="1" showErrorMessage="1" error="Please select a value from the drop down list." sqref="E85 E74 E69 E63 E58 E94">
      <formula1>HiddenBTR_ValidFieldTypes</formula1>
    </dataValidation>
    <dataValidation type="list" showInputMessage="1" showErrorMessage="1" sqref="B3">
      <formula1>"Historical Data"</formula1>
    </dataValidation>
    <dataValidation type="list" allowBlank="1" showInputMessage="1" showErrorMessage="1" sqref="D48:D54">
      <formula1>"Ascending,Descending"</formula1>
    </dataValidation>
    <dataValidation type="list" errorStyle="information" allowBlank="1" showErrorMessage="1" error="Please select a value from the drop down list." sqref="E59:E60">
      <formula1>HiddenBTR_ValidFieldTypes</formula1>
    </dataValidation>
    <dataValidation type="list" errorStyle="information" allowBlank="1" showErrorMessage="1" error="Please select a value from the drop down list." sqref="E64:E66">
      <formula1>HiddenBTR_ValidFieldTypes</formula1>
    </dataValidation>
    <dataValidation type="list" errorStyle="information" allowBlank="1" showErrorMessage="1" error="Please select a value from the drop down list." sqref="E70:E71">
      <formula1>HiddenBTR_ValidFieldTypes</formula1>
    </dataValidation>
    <dataValidation type="list" errorStyle="information" allowBlank="1" showErrorMessage="1" error="Please select a value from the drop down list." sqref="E75:E82">
      <formula1>HiddenBTR_ValidFieldTypes</formula1>
    </dataValidation>
    <dataValidation type="list" errorStyle="information" allowBlank="1" showErrorMessage="1" error="Please select a value from the drop down list." sqref="E86:E91">
      <formula1>HiddenBTR_ValidFieldTypes</formula1>
    </dataValidation>
    <dataValidation type="list" errorStyle="information" allowBlank="1" showErrorMessage="1" error="Please select a value from the drop down list." sqref="E95:E98">
      <formula1>HiddenBTR_ValidFieldTypes</formula1>
    </dataValidation>
  </dataValidations>
  <pageMargins left="0.75" right="0.75" top="1" bottom="1" header="0.5" footer="0.5"/>
  <pageSetup orientation="portrait" horizontalDpi="300" verticalDpi="300" r:id="rId1"/>
  <headerFooter alignWithMargins="0"/>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iddenBTR"/>
  <dimension ref="A1:B32"/>
  <sheetViews>
    <sheetView workbookViewId="0"/>
  </sheetViews>
  <sheetFormatPr defaultRowHeight="12.75" x14ac:dyDescent="0.2"/>
  <sheetData>
    <row r="1" spans="1:2" x14ac:dyDescent="0.2">
      <c r="A1" t="s">
        <v>1217</v>
      </c>
      <c r="B1" t="s">
        <v>2010</v>
      </c>
    </row>
    <row r="2" spans="1:2" x14ac:dyDescent="0.2">
      <c r="A2" t="s">
        <v>752</v>
      </c>
      <c r="B2" t="s">
        <v>2011</v>
      </c>
    </row>
    <row r="3" spans="1:2" x14ac:dyDescent="0.2">
      <c r="A3" t="s">
        <v>742</v>
      </c>
      <c r="B3" t="s">
        <v>2012</v>
      </c>
    </row>
    <row r="4" spans="1:2" x14ac:dyDescent="0.2">
      <c r="A4" t="s">
        <v>1118</v>
      </c>
      <c r="B4" t="s">
        <v>2013</v>
      </c>
    </row>
    <row r="5" spans="1:2" x14ac:dyDescent="0.2">
      <c r="A5" t="s">
        <v>2051</v>
      </c>
      <c r="B5" t="s">
        <v>1058</v>
      </c>
    </row>
    <row r="6" spans="1:2" x14ac:dyDescent="0.2">
      <c r="A6" t="s">
        <v>1218</v>
      </c>
      <c r="B6" t="s">
        <v>1059</v>
      </c>
    </row>
    <row r="7" spans="1:2" x14ac:dyDescent="0.2">
      <c r="A7" t="s">
        <v>1546</v>
      </c>
      <c r="B7" t="s">
        <v>1060</v>
      </c>
    </row>
    <row r="8" spans="1:2" x14ac:dyDescent="0.2">
      <c r="A8" t="s">
        <v>1848</v>
      </c>
      <c r="B8" t="s">
        <v>1061</v>
      </c>
    </row>
    <row r="9" spans="1:2" x14ac:dyDescent="0.2">
      <c r="A9" t="s">
        <v>2972</v>
      </c>
      <c r="B9" t="s">
        <v>3</v>
      </c>
    </row>
    <row r="10" spans="1:2" x14ac:dyDescent="0.2">
      <c r="A10" t="s">
        <v>367</v>
      </c>
      <c r="B10" t="s">
        <v>1062</v>
      </c>
    </row>
    <row r="11" spans="1:2" x14ac:dyDescent="0.2">
      <c r="A11" t="s">
        <v>2973</v>
      </c>
      <c r="B11" t="s">
        <v>1063</v>
      </c>
    </row>
    <row r="12" spans="1:2" x14ac:dyDescent="0.2">
      <c r="A12" t="s">
        <v>2974</v>
      </c>
      <c r="B12" t="s">
        <v>1064</v>
      </c>
    </row>
    <row r="13" spans="1:2" x14ac:dyDescent="0.2">
      <c r="A13" t="s">
        <v>268</v>
      </c>
      <c r="B13" t="s">
        <v>1065</v>
      </c>
    </row>
    <row r="14" spans="1:2" x14ac:dyDescent="0.2">
      <c r="A14" t="s">
        <v>297</v>
      </c>
    </row>
    <row r="15" spans="1:2" x14ac:dyDescent="0.2">
      <c r="A15" t="s">
        <v>2975</v>
      </c>
    </row>
    <row r="16" spans="1:2" x14ac:dyDescent="0.2">
      <c r="A16" t="s">
        <v>1528</v>
      </c>
    </row>
    <row r="17" spans="1:1" x14ac:dyDescent="0.2">
      <c r="A17" t="s">
        <v>2976</v>
      </c>
    </row>
    <row r="18" spans="1:1" x14ac:dyDescent="0.2">
      <c r="A18" t="s">
        <v>2977</v>
      </c>
    </row>
    <row r="19" spans="1:1" x14ac:dyDescent="0.2">
      <c r="A19" t="s">
        <v>2978</v>
      </c>
    </row>
    <row r="20" spans="1:1" x14ac:dyDescent="0.2">
      <c r="A20" t="s">
        <v>381</v>
      </c>
    </row>
    <row r="21" spans="1:1" x14ac:dyDescent="0.2">
      <c r="A21" t="s">
        <v>1856</v>
      </c>
    </row>
    <row r="22" spans="1:1" x14ac:dyDescent="0.2">
      <c r="A22" t="s">
        <v>1853</v>
      </c>
    </row>
    <row r="23" spans="1:1" x14ac:dyDescent="0.2">
      <c r="A23" t="s">
        <v>384</v>
      </c>
    </row>
    <row r="24" spans="1:1" x14ac:dyDescent="0.2">
      <c r="A24" t="s">
        <v>2979</v>
      </c>
    </row>
    <row r="25" spans="1:1" x14ac:dyDescent="0.2">
      <c r="A25" t="s">
        <v>762</v>
      </c>
    </row>
    <row r="26" spans="1:1" x14ac:dyDescent="0.2">
      <c r="A26" t="s">
        <v>766</v>
      </c>
    </row>
    <row r="27" spans="1:1" x14ac:dyDescent="0.2">
      <c r="A27" t="s">
        <v>373</v>
      </c>
    </row>
    <row r="28" spans="1:1" x14ac:dyDescent="0.2">
      <c r="A28" t="s">
        <v>1011</v>
      </c>
    </row>
    <row r="29" spans="1:1" x14ac:dyDescent="0.2">
      <c r="A29" t="s">
        <v>269</v>
      </c>
    </row>
    <row r="30" spans="1:1" x14ac:dyDescent="0.2">
      <c r="A30" t="s">
        <v>1686</v>
      </c>
    </row>
    <row r="31" spans="1:1" x14ac:dyDescent="0.2">
      <c r="A31" t="s">
        <v>1690</v>
      </c>
    </row>
    <row r="32" spans="1:1" x14ac:dyDescent="0.2">
      <c r="A32" t="s">
        <v>1562</v>
      </c>
    </row>
  </sheetData>
  <phoneticPr fontId="28" type="noConversion"/>
  <pageMargins left="0.75" right="0.75" top="1" bottom="1" header="0.5" footer="0.5"/>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HAReports">
    <tabColor theme="1"/>
  </sheetPr>
  <dimension ref="A1:L90"/>
  <sheetViews>
    <sheetView workbookViewId="0"/>
  </sheetViews>
  <sheetFormatPr defaultRowHeight="12.75" x14ac:dyDescent="0.2"/>
  <cols>
    <col min="1" max="1" width="43" bestFit="1" customWidth="1"/>
    <col min="2" max="2" width="28" customWidth="1"/>
    <col min="3" max="3" width="65.5703125" customWidth="1"/>
    <col min="4" max="4" width="31" customWidth="1"/>
    <col min="5" max="5" width="29.5703125" customWidth="1"/>
    <col min="6" max="6" width="25.140625" bestFit="1" customWidth="1"/>
    <col min="7" max="8" width="14.7109375" customWidth="1"/>
    <col min="9" max="9" width="18.140625" bestFit="1" customWidth="1"/>
    <col min="10" max="10" width="21.7109375" customWidth="1"/>
    <col min="11" max="11" width="18.140625" bestFit="1" customWidth="1"/>
    <col min="12" max="12" width="12.5703125" bestFit="1" customWidth="1"/>
  </cols>
  <sheetData>
    <row r="1" spans="1:12" s="3" customFormat="1" x14ac:dyDescent="0.2">
      <c r="A1" s="1" t="s">
        <v>1148</v>
      </c>
      <c r="B1" s="2"/>
    </row>
    <row r="2" spans="1:12" x14ac:dyDescent="0.2">
      <c r="A2" s="4" t="s">
        <v>209</v>
      </c>
      <c r="B2" s="5">
        <v>6</v>
      </c>
      <c r="C2" s="7"/>
    </row>
    <row r="3" spans="1:12" x14ac:dyDescent="0.2">
      <c r="A3" s="8" t="s">
        <v>1149</v>
      </c>
      <c r="B3" s="9" t="s">
        <v>556</v>
      </c>
      <c r="C3" s="11"/>
    </row>
    <row r="4" spans="1:12" x14ac:dyDescent="0.2">
      <c r="A4" s="8" t="s">
        <v>1151</v>
      </c>
      <c r="B4" s="10"/>
      <c r="C4" s="11"/>
      <c r="D4" s="61"/>
      <c r="E4" s="61"/>
      <c r="F4" s="61"/>
      <c r="G4" s="61"/>
      <c r="H4" s="61"/>
      <c r="I4" s="61"/>
      <c r="J4" s="61"/>
    </row>
    <row r="5" spans="1:12" x14ac:dyDescent="0.2">
      <c r="A5" s="17" t="s">
        <v>557</v>
      </c>
      <c r="B5" s="10"/>
      <c r="C5" s="11"/>
      <c r="D5" s="61"/>
      <c r="E5" s="61"/>
      <c r="F5" s="61"/>
      <c r="G5" s="61"/>
      <c r="H5" s="61"/>
      <c r="I5" s="61"/>
      <c r="J5" s="61"/>
    </row>
    <row r="6" spans="1:12" x14ac:dyDescent="0.2">
      <c r="A6" s="17"/>
      <c r="B6" s="10"/>
      <c r="C6" s="11"/>
      <c r="D6" s="61"/>
      <c r="E6" s="61"/>
      <c r="F6" s="61"/>
      <c r="G6" s="61"/>
      <c r="H6" s="61"/>
      <c r="I6" s="61"/>
      <c r="J6" s="61"/>
    </row>
    <row r="7" spans="1:12" x14ac:dyDescent="0.2">
      <c r="A7" s="14" t="s">
        <v>1410</v>
      </c>
      <c r="B7" s="12"/>
      <c r="C7" s="11"/>
      <c r="D7" s="61"/>
      <c r="E7" s="61"/>
      <c r="F7" s="61"/>
      <c r="G7" s="61"/>
      <c r="H7" s="61"/>
      <c r="I7" s="61"/>
      <c r="J7" s="61"/>
    </row>
    <row r="8" spans="1:12" x14ac:dyDescent="0.2">
      <c r="A8" s="14"/>
      <c r="B8" s="12"/>
      <c r="C8" s="11"/>
      <c r="D8" s="61"/>
      <c r="E8" s="61"/>
      <c r="F8" s="61"/>
      <c r="G8" s="61"/>
      <c r="H8" s="61"/>
      <c r="I8" s="61"/>
      <c r="J8" s="61"/>
    </row>
    <row r="9" spans="1:12" x14ac:dyDescent="0.2">
      <c r="A9" s="14" t="s">
        <v>1858</v>
      </c>
      <c r="B9" s="12"/>
      <c r="C9" s="11"/>
      <c r="D9" s="61"/>
      <c r="E9" s="61"/>
      <c r="F9" s="61"/>
      <c r="G9" s="61"/>
      <c r="H9" s="61"/>
      <c r="I9" s="61"/>
      <c r="J9" s="61"/>
    </row>
    <row r="10" spans="1:12" x14ac:dyDescent="0.2">
      <c r="A10" s="14"/>
      <c r="B10" s="12"/>
      <c r="C10" s="11"/>
      <c r="D10" s="61"/>
      <c r="E10" s="61"/>
      <c r="F10" s="61"/>
      <c r="G10" s="61"/>
      <c r="H10" s="61"/>
      <c r="I10" s="61"/>
      <c r="J10" s="61"/>
    </row>
    <row r="11" spans="1:12" x14ac:dyDescent="0.2">
      <c r="A11" s="233" t="s">
        <v>1411</v>
      </c>
      <c r="B11" s="23"/>
      <c r="C11" s="24"/>
      <c r="D11" s="61"/>
      <c r="E11" s="61"/>
      <c r="F11" s="61"/>
      <c r="G11" s="61"/>
      <c r="H11" s="61"/>
      <c r="I11" s="61"/>
      <c r="J11" s="61"/>
    </row>
    <row r="12" spans="1:12" x14ac:dyDescent="0.2">
      <c r="A12" s="61"/>
      <c r="B12" s="61"/>
      <c r="C12" s="61"/>
      <c r="D12" s="61"/>
      <c r="E12" s="61"/>
      <c r="F12" s="61"/>
      <c r="G12" s="61"/>
      <c r="H12" s="61"/>
      <c r="I12" s="61"/>
      <c r="J12" s="61"/>
      <c r="K12" s="61"/>
      <c r="L12" s="61"/>
    </row>
    <row r="13" spans="1:12" x14ac:dyDescent="0.2">
      <c r="A13" s="65" t="s">
        <v>2214</v>
      </c>
      <c r="B13" s="65"/>
      <c r="C13" s="65"/>
      <c r="D13" s="65"/>
      <c r="E13" s="65"/>
      <c r="F13" s="65"/>
      <c r="G13" s="65"/>
      <c r="H13" s="65"/>
      <c r="I13" s="65"/>
      <c r="J13" s="65"/>
      <c r="K13" s="61"/>
      <c r="L13" s="61"/>
    </row>
    <row r="14" spans="1:12" ht="25.5" x14ac:dyDescent="0.2">
      <c r="A14" s="65" t="s">
        <v>2206</v>
      </c>
      <c r="B14" s="65" t="s">
        <v>961</v>
      </c>
      <c r="C14" s="65" t="s">
        <v>962</v>
      </c>
      <c r="D14" s="65" t="s">
        <v>963</v>
      </c>
      <c r="E14" s="65" t="s">
        <v>253</v>
      </c>
      <c r="F14" s="65" t="s">
        <v>254</v>
      </c>
      <c r="G14" s="65" t="s">
        <v>252</v>
      </c>
      <c r="H14" s="65" t="s">
        <v>964</v>
      </c>
      <c r="I14" s="48" t="s">
        <v>965</v>
      </c>
      <c r="J14" s="48" t="s">
        <v>966</v>
      </c>
      <c r="K14" s="61"/>
      <c r="L14" s="61"/>
    </row>
    <row r="15" spans="1:12" x14ac:dyDescent="0.2">
      <c r="A15" s="61"/>
      <c r="B15" s="562"/>
      <c r="C15" s="61"/>
      <c r="D15" s="61"/>
      <c r="E15" s="61"/>
      <c r="F15" s="61"/>
      <c r="G15" s="61"/>
      <c r="H15" s="61"/>
      <c r="I15" s="61"/>
      <c r="J15" s="61"/>
    </row>
    <row r="16" spans="1:12" x14ac:dyDescent="0.2">
      <c r="A16" s="61"/>
      <c r="B16" s="562"/>
      <c r="C16" s="61"/>
      <c r="D16" s="61"/>
      <c r="E16" s="61"/>
      <c r="F16" s="61"/>
      <c r="G16" s="61"/>
      <c r="H16" s="61"/>
      <c r="I16" s="61"/>
      <c r="J16" s="61"/>
      <c r="K16" s="61"/>
    </row>
    <row r="17" spans="1:12" x14ac:dyDescent="0.2">
      <c r="A17" s="65" t="s">
        <v>2215</v>
      </c>
      <c r="B17" s="65"/>
      <c r="C17" s="65"/>
      <c r="D17" s="65"/>
      <c r="E17" s="65"/>
      <c r="F17" s="65"/>
      <c r="G17" s="65"/>
      <c r="H17" s="65"/>
      <c r="I17" s="65"/>
      <c r="J17" s="65"/>
      <c r="K17" s="65"/>
    </row>
    <row r="18" spans="1:12" ht="29.25" customHeight="1" x14ac:dyDescent="0.2">
      <c r="A18" s="373" t="s">
        <v>2020</v>
      </c>
      <c r="B18" s="65" t="s">
        <v>355</v>
      </c>
      <c r="C18" s="65" t="s">
        <v>1151</v>
      </c>
      <c r="D18" s="65" t="s">
        <v>2206</v>
      </c>
      <c r="E18" s="65" t="s">
        <v>2207</v>
      </c>
      <c r="F18" s="48" t="s">
        <v>2219</v>
      </c>
      <c r="G18" s="48" t="s">
        <v>2296</v>
      </c>
      <c r="H18" s="48" t="s">
        <v>2220</v>
      </c>
      <c r="I18" s="48" t="s">
        <v>2297</v>
      </c>
      <c r="J18" s="65" t="s">
        <v>2208</v>
      </c>
      <c r="K18" s="65" t="s">
        <v>2282</v>
      </c>
    </row>
    <row r="19" spans="1:12" x14ac:dyDescent="0.2">
      <c r="A19" s="54" t="str">
        <f>Localization!B356</f>
        <v>Status Count</v>
      </c>
      <c r="B19" s="52" t="s">
        <v>366</v>
      </c>
      <c r="C19" t="str">
        <f>Localization!B369</f>
        <v>Displays summary counts of each status for all employees.</v>
      </c>
      <c r="D19" t="s">
        <v>2211</v>
      </c>
      <c r="F19" t="str">
        <f>[2]!GetDataConfig("status","Status",,"Last")</f>
        <v>[Status:Position{Last}]status</v>
      </c>
      <c r="G19" t="str">
        <f>Localization!B399</f>
        <v>Current Status</v>
      </c>
      <c r="H19" s="53"/>
      <c r="I19" s="53"/>
      <c r="K19">
        <v>5</v>
      </c>
    </row>
    <row r="20" spans="1:12" x14ac:dyDescent="0.2">
      <c r="A20" s="54" t="str">
        <f>Localization!B357</f>
        <v>Status/Location Grid</v>
      </c>
      <c r="B20" s="52" t="s">
        <v>366</v>
      </c>
      <c r="C20" t="str">
        <f>Localization!B370</f>
        <v>Displays counts by Status and Location for all employees.</v>
      </c>
      <c r="D20" t="s">
        <v>2212</v>
      </c>
      <c r="F20" t="str">
        <f>[2]!GetDataConfig("status","Status",,"Last")</f>
        <v>[Status:Position{Last}]status</v>
      </c>
      <c r="G20" t="str">
        <f>Localization!B399</f>
        <v>Current Status</v>
      </c>
      <c r="H20" t="str">
        <f>[2]!GetDataConfig("location")</f>
        <v>location</v>
      </c>
      <c r="I20" t="str">
        <f>Localization!B393</f>
        <v>Location</v>
      </c>
      <c r="K20">
        <v>5</v>
      </c>
    </row>
    <row r="21" spans="1:12" x14ac:dyDescent="0.2">
      <c r="A21" s="54" t="str">
        <f>Localization!B358</f>
        <v>Flow of Lives</v>
      </c>
      <c r="B21" s="52" t="s">
        <v>366</v>
      </c>
      <c r="C21" t="str">
        <f>Localization!B371</f>
        <v>Displays flow of lives based on status.</v>
      </c>
      <c r="D21" t="s">
        <v>2213</v>
      </c>
      <c r="F21" t="str">
        <f>[2]!GetDataConfig("status","Status",,"Last")</f>
        <v>[Status:Position{Last}]status</v>
      </c>
      <c r="G21" t="str">
        <f>Localization!B399</f>
        <v>Current Status</v>
      </c>
      <c r="H21" t="str">
        <f>[2]!GetDataConfig("status","Status",,"Last-1")</f>
        <v>[Status:Position{Last-1}]status</v>
      </c>
      <c r="I21" t="str">
        <f>Localization!B400</f>
        <v>Previous Status</v>
      </c>
      <c r="K21">
        <v>5</v>
      </c>
    </row>
    <row r="22" spans="1:12" x14ac:dyDescent="0.2">
      <c r="A22" s="54"/>
      <c r="B22" s="52"/>
      <c r="F22" s="53"/>
      <c r="G22" s="53"/>
      <c r="H22" s="53"/>
    </row>
    <row r="23" spans="1:12" x14ac:dyDescent="0.2">
      <c r="A23" s="54"/>
      <c r="B23" s="52"/>
      <c r="F23" s="53"/>
      <c r="G23" s="53"/>
      <c r="H23" s="53"/>
    </row>
    <row r="24" spans="1:12" x14ac:dyDescent="0.2">
      <c r="A24" s="65" t="s">
        <v>2216</v>
      </c>
      <c r="B24" s="65"/>
      <c r="C24" s="65"/>
      <c r="D24" s="65"/>
      <c r="E24" s="65"/>
      <c r="F24" s="65"/>
      <c r="G24" s="65"/>
      <c r="H24" s="65"/>
      <c r="I24" s="65"/>
      <c r="J24" s="65"/>
      <c r="K24" s="65"/>
      <c r="L24" s="65"/>
    </row>
    <row r="25" spans="1:12" ht="29.25" customHeight="1" x14ac:dyDescent="0.2">
      <c r="A25" s="373" t="s">
        <v>2020</v>
      </c>
      <c r="B25" s="65" t="s">
        <v>355</v>
      </c>
      <c r="C25" s="65" t="s">
        <v>1151</v>
      </c>
      <c r="D25" s="65" t="s">
        <v>2206</v>
      </c>
      <c r="E25" s="65" t="s">
        <v>2207</v>
      </c>
      <c r="F25" s="48" t="s">
        <v>558</v>
      </c>
      <c r="G25" s="48" t="s">
        <v>89</v>
      </c>
      <c r="H25" s="48" t="s">
        <v>90</v>
      </c>
      <c r="I25" s="65" t="s">
        <v>2208</v>
      </c>
      <c r="J25" s="65" t="s">
        <v>2282</v>
      </c>
      <c r="K25" s="65" t="s">
        <v>255</v>
      </c>
      <c r="L25" s="65" t="s">
        <v>2604</v>
      </c>
    </row>
    <row r="26" spans="1:12" x14ac:dyDescent="0.2">
      <c r="A26" t="str">
        <f>Localization!B359</f>
        <v>Valuation Data</v>
      </c>
      <c r="B26" s="52" t="s">
        <v>366</v>
      </c>
      <c r="C26" t="str">
        <f>Localization!B372</f>
        <v>Excel formatted report containing valuation for all participants.</v>
      </c>
      <c r="D26" t="s">
        <v>2221</v>
      </c>
      <c r="E26" t="str">
        <f ca="1">[2]!StringFormat(Localization!B382, [2]!FormatValue(TODAY(),"{0:yyyy_MM_dd}"))</f>
        <v>AZI_Valuation_[FormatValue(08/01/2016, "{0:yyyy_MM_dd}")].csv</v>
      </c>
      <c r="F26" s="53" t="s">
        <v>366</v>
      </c>
      <c r="G26" s="53" t="s">
        <v>366</v>
      </c>
      <c r="H26" s="53"/>
      <c r="J26">
        <v>5</v>
      </c>
      <c r="K26">
        <v>0</v>
      </c>
    </row>
    <row r="27" spans="1:12" x14ac:dyDescent="0.2">
      <c r="A27" t="str">
        <f>Localization!B360</f>
        <v>Mailing Labels</v>
      </c>
      <c r="B27" s="52" t="s">
        <v>366</v>
      </c>
      <c r="C27" t="str">
        <f>Localization!B373</f>
        <v>Excel formatted report containing mailing information for all participants.</v>
      </c>
      <c r="D27" t="s">
        <v>2222</v>
      </c>
      <c r="E27" t="str">
        <f>Localization!B383</f>
        <v>AZI_Mailing_Labels.csv</v>
      </c>
      <c r="F27" s="53" t="s">
        <v>366</v>
      </c>
      <c r="G27" s="53" t="s">
        <v>366</v>
      </c>
      <c r="H27" s="53"/>
      <c r="J27">
        <v>5</v>
      </c>
      <c r="K27">
        <v>0</v>
      </c>
    </row>
    <row r="28" spans="1:12" x14ac:dyDescent="0.2">
      <c r="A28" t="str">
        <f>Localization!B361</f>
        <v>Benefit Payable History</v>
      </c>
      <c r="B28" s="52" t="s">
        <v>366</v>
      </c>
      <c r="C28" t="str">
        <f>Localization!B374</f>
        <v>Excel formatted report containing all benefit records for all participants.</v>
      </c>
      <c r="D28" t="s">
        <v>2223</v>
      </c>
      <c r="E28" t="str">
        <f ca="1">[2]!StringFormat(Localization!B384, [2]!FormatValue(TODAY(),"{0:yyyy_MM_dd}"))</f>
        <v>AZI_BenPay_History_[FormatValue(08/01/2016, "{0:yyyy_MM_dd}")].csv</v>
      </c>
      <c r="F28" s="53" t="s">
        <v>366</v>
      </c>
      <c r="G28" s="53" t="s">
        <v>366</v>
      </c>
      <c r="H28" s="98" t="s">
        <v>366</v>
      </c>
      <c r="J28">
        <v>5</v>
      </c>
      <c r="K28">
        <v>0</v>
      </c>
    </row>
    <row r="29" spans="1:12" x14ac:dyDescent="0.2">
      <c r="A29" t="str">
        <f>Localization!B362</f>
        <v>Calculation Testing Audit</v>
      </c>
      <c r="B29" s="52" t="s">
        <v>928</v>
      </c>
      <c r="C29" t="str">
        <f>Localization!B375</f>
        <v>Excel formatted report containing test runs for everyone in Control group.</v>
      </c>
      <c r="D29" t="s">
        <v>2224</v>
      </c>
      <c r="E29" t="str">
        <f>Localization!B385</f>
        <v>AZI_Calc_Audit.csv</v>
      </c>
      <c r="F29" s="53" t="s">
        <v>366</v>
      </c>
      <c r="G29" s="53" t="s">
        <v>366</v>
      </c>
      <c r="H29" s="98" t="s">
        <v>366</v>
      </c>
      <c r="I29" t="b">
        <f>NOT([2]!IsNull([2]!GetProfileString("test-calc-ind")))</f>
        <v>1</v>
      </c>
      <c r="J29">
        <v>5</v>
      </c>
      <c r="K29">
        <v>0</v>
      </c>
    </row>
    <row r="30" spans="1:12" x14ac:dyDescent="0.2">
      <c r="A30" t="str">
        <f>Localization!B363</f>
        <v>Batch Indicators</v>
      </c>
      <c r="B30" s="52" t="s">
        <v>366</v>
      </c>
      <c r="C30" t="str">
        <f>Localization!B376</f>
        <v>Excel formatted report containing Batch Indicator for all participants who have one assigned.</v>
      </c>
      <c r="D30" t="s">
        <v>2225</v>
      </c>
      <c r="E30" t="str">
        <f>Localization!B386</f>
        <v>AZI_Batch_Indicators.csv</v>
      </c>
      <c r="F30" s="53" t="s">
        <v>366</v>
      </c>
      <c r="G30" s="53" t="s">
        <v>366</v>
      </c>
      <c r="H30" s="53"/>
      <c r="I30" t="b">
        <f>NOT([2]!IsNull([2]!GetProfileString("batch-ind")))</f>
        <v>1</v>
      </c>
      <c r="J30">
        <v>5</v>
      </c>
      <c r="K30">
        <v>0</v>
      </c>
    </row>
    <row r="31" spans="1:12" x14ac:dyDescent="0.2">
      <c r="B31" s="52"/>
    </row>
    <row r="32" spans="1:12" x14ac:dyDescent="0.2">
      <c r="B32" s="52"/>
    </row>
    <row r="33" spans="1:11" x14ac:dyDescent="0.2">
      <c r="A33" s="65" t="s">
        <v>2217</v>
      </c>
      <c r="B33" s="65"/>
      <c r="C33" s="65"/>
      <c r="D33" s="65"/>
      <c r="E33" s="65"/>
      <c r="F33" s="65"/>
      <c r="G33" s="65"/>
      <c r="H33" s="65"/>
      <c r="I33" s="65"/>
      <c r="J33" s="65"/>
      <c r="K33" s="65"/>
    </row>
    <row r="34" spans="1:11" ht="29.25" customHeight="1" x14ac:dyDescent="0.2">
      <c r="A34" s="373" t="s">
        <v>2020</v>
      </c>
      <c r="B34" s="65" t="s">
        <v>355</v>
      </c>
      <c r="C34" s="65" t="s">
        <v>1151</v>
      </c>
      <c r="D34" s="65" t="s">
        <v>2206</v>
      </c>
      <c r="E34" s="65" t="s">
        <v>2207</v>
      </c>
      <c r="F34" s="48" t="s">
        <v>558</v>
      </c>
      <c r="G34" s="65" t="s">
        <v>2208</v>
      </c>
      <c r="H34" s="48" t="s">
        <v>2282</v>
      </c>
      <c r="I34" s="65" t="s">
        <v>255</v>
      </c>
      <c r="J34" s="65" t="s">
        <v>2465</v>
      </c>
      <c r="K34" s="65" t="s">
        <v>2604</v>
      </c>
    </row>
    <row r="35" spans="1:11" x14ac:dyDescent="0.2">
      <c r="A35" t="str">
        <f>Localization!B364</f>
        <v>Simple Calculated Report</v>
      </c>
      <c r="B35" s="52" t="s">
        <v>366</v>
      </c>
      <c r="C35" t="str">
        <f>Localization!B377</f>
        <v>Excel formatted report contains fields exported from simple ad hoc report process.</v>
      </c>
      <c r="D35" s="29" t="s">
        <v>2427</v>
      </c>
      <c r="E35" t="str">
        <f>Localization!B390</f>
        <v>AZI_Simple.csv</v>
      </c>
      <c r="H35">
        <v>5</v>
      </c>
      <c r="I35">
        <v>0</v>
      </c>
    </row>
    <row r="36" spans="1:11" x14ac:dyDescent="0.2">
      <c r="A36" t="str">
        <f>Localization!B365</f>
        <v>Complex Calculated Report</v>
      </c>
      <c r="B36" s="52" t="s">
        <v>366</v>
      </c>
      <c r="C36" t="str">
        <f>Localization!B378</f>
        <v>Excel formatted report contains fields exported from complex ad hoc report process.</v>
      </c>
      <c r="D36" s="29" t="s">
        <v>2436</v>
      </c>
      <c r="E36" t="str">
        <f>Localization!B391</f>
        <v>AZI_Complex.csv</v>
      </c>
      <c r="H36">
        <v>5</v>
      </c>
      <c r="I36">
        <v>0</v>
      </c>
    </row>
    <row r="37" spans="1:11" x14ac:dyDescent="0.2">
      <c r="B37" s="52"/>
    </row>
    <row r="38" spans="1:11" x14ac:dyDescent="0.2">
      <c r="B38" s="52"/>
    </row>
    <row r="39" spans="1:11" x14ac:dyDescent="0.2">
      <c r="A39" s="65" t="s">
        <v>2218</v>
      </c>
      <c r="B39" s="65"/>
      <c r="C39" s="65"/>
      <c r="D39" s="65"/>
      <c r="E39" s="65"/>
      <c r="F39" s="65"/>
      <c r="G39" s="61"/>
    </row>
    <row r="40" spans="1:11" ht="29.25" customHeight="1" x14ac:dyDescent="0.2">
      <c r="A40" s="373" t="s">
        <v>2020</v>
      </c>
      <c r="B40" s="65" t="s">
        <v>355</v>
      </c>
      <c r="C40" s="65" t="s">
        <v>1151</v>
      </c>
      <c r="D40" s="65" t="s">
        <v>2206</v>
      </c>
      <c r="E40" s="65" t="s">
        <v>2207</v>
      </c>
      <c r="F40" s="65" t="s">
        <v>2208</v>
      </c>
    </row>
    <row r="41" spans="1:11" x14ac:dyDescent="0.2">
      <c r="B41" s="52"/>
    </row>
    <row r="42" spans="1:11" x14ac:dyDescent="0.2">
      <c r="B42" s="52"/>
    </row>
    <row r="43" spans="1:11" x14ac:dyDescent="0.2">
      <c r="B43" s="52"/>
    </row>
    <row r="44" spans="1:11" s="29" customFormat="1" x14ac:dyDescent="0.2">
      <c r="A44"/>
      <c r="B44" s="52"/>
      <c r="C44"/>
      <c r="D44"/>
      <c r="E44"/>
      <c r="F44"/>
      <c r="G44"/>
      <c r="H44"/>
      <c r="I44"/>
      <c r="J44"/>
    </row>
    <row r="45" spans="1:11" x14ac:dyDescent="0.2">
      <c r="B45" s="52"/>
    </row>
    <row r="46" spans="1:11" x14ac:dyDescent="0.2">
      <c r="B46" s="52"/>
    </row>
    <row r="47" spans="1:11" x14ac:dyDescent="0.2">
      <c r="B47" s="52"/>
    </row>
    <row r="48" spans="1:11" x14ac:dyDescent="0.2">
      <c r="B48" s="52"/>
    </row>
    <row r="49" spans="1:10" x14ac:dyDescent="0.2">
      <c r="B49" s="52"/>
    </row>
    <row r="50" spans="1:10" x14ac:dyDescent="0.2">
      <c r="B50" s="52"/>
    </row>
    <row r="51" spans="1:10" x14ac:dyDescent="0.2">
      <c r="B51" s="52"/>
    </row>
    <row r="52" spans="1:10" x14ac:dyDescent="0.2">
      <c r="B52" s="52"/>
    </row>
    <row r="54" spans="1:10" s="29" customFormat="1" x14ac:dyDescent="0.2">
      <c r="A54"/>
      <c r="B54"/>
      <c r="C54"/>
      <c r="D54"/>
      <c r="E54"/>
      <c r="F54"/>
      <c r="G54"/>
      <c r="H54"/>
      <c r="I54"/>
      <c r="J54"/>
    </row>
    <row r="55" spans="1:10" s="29" customFormat="1" x14ac:dyDescent="0.2">
      <c r="A55"/>
      <c r="B55"/>
      <c r="C55"/>
      <c r="D55"/>
      <c r="E55"/>
      <c r="F55"/>
      <c r="G55"/>
      <c r="H55"/>
      <c r="I55"/>
      <c r="J55"/>
    </row>
    <row r="64" spans="1:10" s="29" customFormat="1" x14ac:dyDescent="0.2">
      <c r="A64"/>
      <c r="B64"/>
      <c r="C64"/>
      <c r="D64"/>
      <c r="E64"/>
      <c r="F64"/>
      <c r="G64"/>
      <c r="H64"/>
      <c r="I64"/>
      <c r="J64"/>
    </row>
    <row r="65" spans="1:10" s="29" customFormat="1" x14ac:dyDescent="0.2">
      <c r="A65"/>
      <c r="B65"/>
      <c r="C65"/>
      <c r="D65"/>
      <c r="E65"/>
      <c r="F65"/>
      <c r="G65"/>
      <c r="H65"/>
      <c r="I65"/>
      <c r="J65"/>
    </row>
    <row r="66" spans="1:10" s="29" customFormat="1" x14ac:dyDescent="0.2">
      <c r="A66"/>
      <c r="B66"/>
      <c r="C66"/>
      <c r="D66"/>
      <c r="E66"/>
      <c r="F66"/>
      <c r="G66"/>
      <c r="H66"/>
      <c r="I66"/>
      <c r="J66"/>
    </row>
    <row r="67" spans="1:10" s="29" customFormat="1" x14ac:dyDescent="0.2">
      <c r="A67"/>
      <c r="B67"/>
      <c r="C67"/>
      <c r="D67"/>
      <c r="E67"/>
      <c r="F67"/>
      <c r="G67"/>
      <c r="H67"/>
      <c r="I67"/>
      <c r="J67"/>
    </row>
    <row r="68" spans="1:10" s="29" customFormat="1" x14ac:dyDescent="0.2">
      <c r="A68"/>
      <c r="B68"/>
      <c r="C68"/>
      <c r="D68"/>
      <c r="E68"/>
      <c r="F68"/>
      <c r="G68"/>
      <c r="H68"/>
      <c r="I68"/>
      <c r="J68"/>
    </row>
    <row r="69" spans="1:10" s="29" customFormat="1" x14ac:dyDescent="0.2">
      <c r="A69"/>
      <c r="B69"/>
      <c r="C69"/>
      <c r="D69"/>
      <c r="E69"/>
      <c r="F69"/>
      <c r="G69"/>
      <c r="H69"/>
      <c r="I69"/>
      <c r="J69"/>
    </row>
    <row r="86" spans="1:10" ht="12.75" customHeight="1" x14ac:dyDescent="0.2"/>
    <row r="90" spans="1:10" s="29" customFormat="1" x14ac:dyDescent="0.2">
      <c r="A90"/>
      <c r="B90"/>
      <c r="C90"/>
      <c r="D90"/>
      <c r="E90"/>
      <c r="F90"/>
      <c r="G90"/>
      <c r="H90"/>
      <c r="I90"/>
      <c r="J90"/>
    </row>
  </sheetData>
  <phoneticPr fontId="0" type="noConversion"/>
  <dataValidations disablePrompts="1" count="1">
    <dataValidation type="list" showInputMessage="1" showErrorMessage="1" sqref="B3">
      <formula1>"Reports"</formula1>
    </dataValidation>
  </dataValidations>
  <pageMargins left="0.75" right="0.75" top="1" bottom="1" header="0.5" footer="0.5"/>
  <pageSetup orientation="portrait" horizontalDpi="300" verticalDpi="300" r:id="rId1"/>
  <headerFooter alignWithMargins="0"/>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HADataLookupTables">
    <tabColor theme="1"/>
  </sheetPr>
  <dimension ref="A1:T60"/>
  <sheetViews>
    <sheetView workbookViewId="0"/>
  </sheetViews>
  <sheetFormatPr defaultRowHeight="12.75" x14ac:dyDescent="0.2"/>
  <cols>
    <col min="1" max="1" width="22.85546875" customWidth="1"/>
    <col min="2" max="2" width="32.5703125" customWidth="1"/>
    <col min="3" max="3" width="9.28515625" customWidth="1"/>
    <col min="4" max="4" width="4" customWidth="1"/>
    <col min="5" max="5" width="16.28515625" bestFit="1" customWidth="1"/>
    <col min="6" max="6" width="27" bestFit="1" customWidth="1"/>
    <col min="7" max="7" width="9.28515625" customWidth="1"/>
    <col min="8" max="8" width="5.140625" customWidth="1"/>
    <col min="9" max="9" width="16.28515625" bestFit="1" customWidth="1"/>
    <col min="10" max="10" width="22.42578125" customWidth="1"/>
    <col min="11" max="11" width="5.140625" customWidth="1"/>
    <col min="12" max="12" width="16.28515625" bestFit="1" customWidth="1"/>
    <col min="13" max="13" width="22.42578125" customWidth="1"/>
    <col min="14" max="14" width="5.140625" customWidth="1"/>
    <col min="15" max="15" width="16.28515625" bestFit="1" customWidth="1"/>
    <col min="16" max="16" width="62.85546875" bestFit="1" customWidth="1"/>
    <col min="17" max="17" width="5.140625" customWidth="1"/>
    <col min="18" max="18" width="16.28515625" bestFit="1" customWidth="1"/>
    <col min="19" max="19" width="22.42578125" customWidth="1"/>
    <col min="20" max="20" width="9.28515625" customWidth="1"/>
    <col min="21" max="21" width="5.140625" customWidth="1"/>
    <col min="22" max="22" width="5" customWidth="1"/>
  </cols>
  <sheetData>
    <row r="1" spans="1:9" s="3" customFormat="1" x14ac:dyDescent="0.2">
      <c r="A1" s="1" t="s">
        <v>1148</v>
      </c>
      <c r="B1" s="2"/>
    </row>
    <row r="2" spans="1:9" x14ac:dyDescent="0.2">
      <c r="A2" s="4" t="s">
        <v>209</v>
      </c>
      <c r="B2" s="5">
        <v>6</v>
      </c>
      <c r="C2" s="6"/>
      <c r="D2" s="6"/>
      <c r="E2" s="6"/>
      <c r="F2" s="6"/>
      <c r="G2" s="6"/>
      <c r="H2" s="6"/>
      <c r="I2" s="7"/>
    </row>
    <row r="3" spans="1:9" x14ac:dyDescent="0.2">
      <c r="A3" s="8" t="s">
        <v>1149</v>
      </c>
      <c r="B3" s="9" t="s">
        <v>69</v>
      </c>
      <c r="C3" s="10"/>
      <c r="D3" s="10"/>
      <c r="E3" s="10"/>
      <c r="F3" s="10"/>
      <c r="G3" s="10"/>
      <c r="H3" s="10"/>
      <c r="I3" s="11"/>
    </row>
    <row r="4" spans="1:9" x14ac:dyDescent="0.2">
      <c r="A4" s="8" t="s">
        <v>70</v>
      </c>
      <c r="B4" s="9" t="s">
        <v>71</v>
      </c>
      <c r="C4" s="10"/>
      <c r="D4" s="10"/>
      <c r="E4" s="10"/>
      <c r="F4" s="10"/>
      <c r="G4" s="10"/>
      <c r="H4" s="10"/>
      <c r="I4" s="11"/>
    </row>
    <row r="5" spans="1:9" x14ac:dyDescent="0.2">
      <c r="A5" s="8" t="s">
        <v>1151</v>
      </c>
      <c r="B5" s="12" t="s">
        <v>711</v>
      </c>
      <c r="C5" s="10"/>
      <c r="D5" s="10"/>
      <c r="E5" s="10"/>
      <c r="F5" s="10"/>
      <c r="G5" s="10"/>
      <c r="H5" s="10"/>
      <c r="I5" s="11"/>
    </row>
    <row r="6" spans="1:9" x14ac:dyDescent="0.2">
      <c r="A6" s="8"/>
      <c r="B6" s="12" t="s">
        <v>712</v>
      </c>
      <c r="C6" s="10"/>
      <c r="D6" s="10"/>
      <c r="E6" s="10"/>
      <c r="F6" s="10"/>
      <c r="G6" s="10"/>
      <c r="H6" s="10"/>
      <c r="I6" s="11"/>
    </row>
    <row r="7" spans="1:9" x14ac:dyDescent="0.2">
      <c r="A7" s="8"/>
      <c r="B7" s="12"/>
      <c r="C7" s="10"/>
      <c r="D7" s="10"/>
      <c r="E7" s="10"/>
      <c r="F7" s="10"/>
      <c r="G7" s="10"/>
      <c r="H7" s="10"/>
      <c r="I7" s="11"/>
    </row>
    <row r="8" spans="1:9" x14ac:dyDescent="0.2">
      <c r="A8" s="13"/>
      <c r="B8" s="10" t="s">
        <v>72</v>
      </c>
      <c r="C8" s="10"/>
      <c r="D8" s="10"/>
      <c r="E8" s="10"/>
      <c r="F8" s="10"/>
      <c r="G8" s="10"/>
      <c r="H8" s="10"/>
      <c r="I8" s="11"/>
    </row>
    <row r="9" spans="1:9" x14ac:dyDescent="0.2">
      <c r="A9" s="13"/>
      <c r="B9" s="10" t="s">
        <v>181</v>
      </c>
      <c r="C9" s="10"/>
      <c r="D9" s="10"/>
      <c r="E9" s="10"/>
      <c r="F9" s="10"/>
      <c r="G9" s="10"/>
      <c r="H9" s="10"/>
      <c r="I9" s="11"/>
    </row>
    <row r="10" spans="1:9" x14ac:dyDescent="0.2">
      <c r="A10" s="13"/>
      <c r="B10" s="88" t="s">
        <v>182</v>
      </c>
      <c r="C10" s="10"/>
      <c r="D10" s="10"/>
      <c r="E10" s="10"/>
      <c r="F10" s="10"/>
      <c r="G10" s="10"/>
      <c r="H10" s="10"/>
      <c r="I10" s="11"/>
    </row>
    <row r="11" spans="1:9" x14ac:dyDescent="0.2">
      <c r="A11" s="13"/>
      <c r="B11" s="12"/>
      <c r="C11" s="10"/>
      <c r="D11" s="10"/>
      <c r="E11" s="10"/>
      <c r="F11" s="10"/>
      <c r="G11" s="10"/>
      <c r="H11" s="10"/>
      <c r="I11" s="11"/>
    </row>
    <row r="12" spans="1:9" x14ac:dyDescent="0.2">
      <c r="A12" s="13"/>
      <c r="B12" s="89" t="s">
        <v>183</v>
      </c>
      <c r="C12" s="10"/>
      <c r="D12" s="10"/>
      <c r="E12" s="10"/>
      <c r="F12" s="10"/>
      <c r="G12" s="10"/>
      <c r="H12" s="10"/>
      <c r="I12" s="11"/>
    </row>
    <row r="13" spans="1:9" x14ac:dyDescent="0.2">
      <c r="A13" s="13"/>
      <c r="B13" s="90" t="s">
        <v>184</v>
      </c>
      <c r="C13" s="10"/>
      <c r="D13" s="10"/>
      <c r="E13" s="10"/>
      <c r="F13" s="10"/>
      <c r="G13" s="10"/>
      <c r="H13" s="10"/>
      <c r="I13" s="11"/>
    </row>
    <row r="14" spans="1:9" x14ac:dyDescent="0.2">
      <c r="A14" s="13"/>
      <c r="B14" s="12" t="s">
        <v>922</v>
      </c>
      <c r="C14" s="10"/>
      <c r="D14" s="10"/>
      <c r="E14" s="10"/>
      <c r="F14" s="10"/>
      <c r="G14" s="10"/>
      <c r="H14" s="10"/>
      <c r="I14" s="11"/>
    </row>
    <row r="15" spans="1:9" x14ac:dyDescent="0.2">
      <c r="A15" s="13"/>
      <c r="B15" s="12" t="s">
        <v>923</v>
      </c>
      <c r="C15" s="10"/>
      <c r="D15" s="10"/>
      <c r="E15" s="10"/>
      <c r="F15" s="10"/>
      <c r="G15" s="10"/>
      <c r="H15" s="10"/>
      <c r="I15" s="11"/>
    </row>
    <row r="16" spans="1:9" x14ac:dyDescent="0.2">
      <c r="A16" s="13"/>
      <c r="B16" s="12" t="s">
        <v>185</v>
      </c>
      <c r="C16" s="10"/>
      <c r="D16" s="10"/>
      <c r="E16" s="10"/>
      <c r="F16" s="10"/>
      <c r="G16" s="10"/>
      <c r="H16" s="10"/>
      <c r="I16" s="11"/>
    </row>
    <row r="17" spans="1:20" x14ac:dyDescent="0.2">
      <c r="A17" s="13"/>
      <c r="B17" s="12"/>
      <c r="C17" s="10"/>
      <c r="D17" s="10"/>
      <c r="E17" s="10"/>
      <c r="F17" s="10"/>
      <c r="G17" s="10"/>
      <c r="H17" s="10"/>
      <c r="I17" s="11"/>
    </row>
    <row r="18" spans="1:20" x14ac:dyDescent="0.2">
      <c r="A18" s="13"/>
      <c r="B18" s="89" t="s">
        <v>186</v>
      </c>
      <c r="C18" s="10"/>
      <c r="D18" s="10"/>
      <c r="E18" s="10"/>
      <c r="F18" s="10"/>
      <c r="G18" s="10"/>
      <c r="H18" s="10"/>
      <c r="I18" s="11"/>
    </row>
    <row r="19" spans="1:20" x14ac:dyDescent="0.2">
      <c r="A19" s="13"/>
      <c r="B19" s="91" t="s">
        <v>1958</v>
      </c>
      <c r="C19" s="10"/>
      <c r="D19" s="10"/>
      <c r="E19" s="10"/>
      <c r="F19" s="10"/>
      <c r="G19" s="10"/>
      <c r="H19" s="10"/>
      <c r="I19" s="11"/>
    </row>
    <row r="20" spans="1:20" x14ac:dyDescent="0.2">
      <c r="A20" s="13"/>
      <c r="B20" s="92" t="s">
        <v>1959</v>
      </c>
      <c r="C20" s="10"/>
      <c r="D20" s="10"/>
      <c r="E20" s="10"/>
      <c r="F20" s="10"/>
      <c r="G20" s="10"/>
      <c r="H20" s="10"/>
      <c r="I20" s="11"/>
    </row>
    <row r="21" spans="1:20" x14ac:dyDescent="0.2">
      <c r="A21" s="13"/>
      <c r="B21" s="91" t="s">
        <v>1960</v>
      </c>
      <c r="C21" s="10"/>
      <c r="D21" s="10"/>
      <c r="E21" s="10"/>
      <c r="F21" s="10"/>
      <c r="G21" s="10"/>
      <c r="H21" s="10"/>
      <c r="I21" s="11"/>
    </row>
    <row r="22" spans="1:20" x14ac:dyDescent="0.2">
      <c r="A22" s="13"/>
      <c r="B22" s="92" t="s">
        <v>924</v>
      </c>
      <c r="C22" s="10"/>
      <c r="D22" s="10"/>
      <c r="E22" s="10"/>
      <c r="F22" s="10"/>
      <c r="G22" s="10"/>
      <c r="H22" s="10"/>
      <c r="I22" s="11"/>
    </row>
    <row r="23" spans="1:20" x14ac:dyDescent="0.2">
      <c r="A23" s="13"/>
      <c r="B23" s="12"/>
      <c r="C23" s="10"/>
      <c r="D23" s="10"/>
      <c r="E23" s="10"/>
      <c r="F23" s="10"/>
      <c r="G23" s="10"/>
      <c r="H23" s="10"/>
      <c r="I23" s="11"/>
    </row>
    <row r="24" spans="1:20" x14ac:dyDescent="0.2">
      <c r="A24" s="13"/>
      <c r="B24" s="89" t="s">
        <v>1961</v>
      </c>
      <c r="C24" s="10"/>
      <c r="D24" s="10"/>
      <c r="E24" s="10"/>
      <c r="F24" s="10"/>
      <c r="G24" s="10"/>
      <c r="H24" s="10"/>
      <c r="I24" s="11"/>
    </row>
    <row r="25" spans="1:20" x14ac:dyDescent="0.2">
      <c r="A25" s="13"/>
      <c r="B25" s="12" t="s">
        <v>1210</v>
      </c>
      <c r="C25" s="10"/>
      <c r="D25" s="10"/>
      <c r="E25" s="10"/>
      <c r="F25" s="10"/>
      <c r="G25" s="10"/>
      <c r="H25" s="10"/>
      <c r="I25" s="11"/>
    </row>
    <row r="26" spans="1:20" x14ac:dyDescent="0.2">
      <c r="A26" s="13"/>
      <c r="B26" s="12" t="s">
        <v>1211</v>
      </c>
      <c r="C26" s="10"/>
      <c r="D26" s="10"/>
      <c r="E26" s="10"/>
      <c r="F26" s="10"/>
      <c r="G26" s="10"/>
      <c r="H26" s="10"/>
      <c r="I26" s="11"/>
    </row>
    <row r="27" spans="1:20" x14ac:dyDescent="0.2">
      <c r="A27" s="46"/>
      <c r="B27" s="47" t="s">
        <v>925</v>
      </c>
      <c r="C27" s="23"/>
      <c r="D27" s="23"/>
      <c r="E27" s="23"/>
      <c r="F27" s="23"/>
      <c r="G27" s="23"/>
      <c r="H27" s="23"/>
      <c r="I27" s="24"/>
    </row>
    <row r="28" spans="1:20" x14ac:dyDescent="0.2">
      <c r="A28" s="25"/>
      <c r="B28" s="29"/>
    </row>
    <row r="29" spans="1:20" x14ac:dyDescent="0.2">
      <c r="A29" s="50" t="s">
        <v>926</v>
      </c>
      <c r="B29" t="s">
        <v>2045</v>
      </c>
      <c r="E29" s="50" t="s">
        <v>926</v>
      </c>
      <c r="F29" t="s">
        <v>927</v>
      </c>
      <c r="G29" s="53"/>
      <c r="I29" s="50" t="s">
        <v>926</v>
      </c>
      <c r="J29" t="s">
        <v>383</v>
      </c>
      <c r="L29" s="50" t="s">
        <v>926</v>
      </c>
      <c r="M29" t="s">
        <v>380</v>
      </c>
      <c r="O29" s="50" t="s">
        <v>926</v>
      </c>
      <c r="P29" t="s">
        <v>296</v>
      </c>
      <c r="R29" s="50" t="s">
        <v>926</v>
      </c>
      <c r="S29" t="s">
        <v>372</v>
      </c>
      <c r="T29" s="53"/>
    </row>
    <row r="30" spans="1:20" x14ac:dyDescent="0.2">
      <c r="A30" s="50" t="s">
        <v>929</v>
      </c>
      <c r="B30" s="66" t="s">
        <v>366</v>
      </c>
      <c r="E30" s="50" t="s">
        <v>929</v>
      </c>
      <c r="F30" t="s">
        <v>366</v>
      </c>
      <c r="I30" s="50" t="s">
        <v>929</v>
      </c>
      <c r="J30" t="s">
        <v>366</v>
      </c>
      <c r="L30" s="50" t="s">
        <v>929</v>
      </c>
      <c r="M30" t="s">
        <v>366</v>
      </c>
      <c r="O30" s="50" t="s">
        <v>929</v>
      </c>
      <c r="P30" t="s">
        <v>366</v>
      </c>
      <c r="R30" s="50" t="s">
        <v>929</v>
      </c>
      <c r="S30" t="s">
        <v>1055</v>
      </c>
    </row>
    <row r="31" spans="1:20" x14ac:dyDescent="0.2">
      <c r="A31" s="65" t="s">
        <v>930</v>
      </c>
      <c r="B31" s="65" t="s">
        <v>367</v>
      </c>
      <c r="C31" s="65" t="s">
        <v>355</v>
      </c>
      <c r="E31" s="65" t="s">
        <v>930</v>
      </c>
      <c r="F31" s="65" t="s">
        <v>367</v>
      </c>
      <c r="G31" s="65" t="s">
        <v>355</v>
      </c>
      <c r="I31" s="65" t="s">
        <v>930</v>
      </c>
      <c r="J31" s="65" t="s">
        <v>367</v>
      </c>
      <c r="L31" s="65" t="s">
        <v>930</v>
      </c>
      <c r="M31" s="65" t="s">
        <v>367</v>
      </c>
      <c r="O31" s="65" t="s">
        <v>930</v>
      </c>
      <c r="P31" s="65" t="s">
        <v>367</v>
      </c>
      <c r="R31" s="65" t="s">
        <v>930</v>
      </c>
      <c r="S31" s="65" t="s">
        <v>367</v>
      </c>
      <c r="T31" s="65" t="s">
        <v>355</v>
      </c>
    </row>
    <row r="32" spans="1:20" x14ac:dyDescent="0.2">
      <c r="A32" s="93" t="s">
        <v>931</v>
      </c>
      <c r="B32" t="str">
        <f>Localization!B109</f>
        <v>Active</v>
      </c>
      <c r="C32" s="53" t="s">
        <v>366</v>
      </c>
      <c r="E32" t="s">
        <v>933</v>
      </c>
      <c r="F32" t="str">
        <f>Localization!B127</f>
        <v>100% J&amp;S</v>
      </c>
      <c r="G32" s="53"/>
      <c r="I32" s="56" t="s">
        <v>935</v>
      </c>
      <c r="J32" t="str">
        <f>Localization!B156</f>
        <v>Location 01</v>
      </c>
      <c r="L32" t="s">
        <v>937</v>
      </c>
      <c r="M32" t="str">
        <f>Localization!B158</f>
        <v>Texas Heiroglyphics</v>
      </c>
      <c r="O32" s="56" t="s">
        <v>935</v>
      </c>
      <c r="P32" t="str">
        <f>Localization!B160</f>
        <v>Salaried and Non Union Hourly Employees</v>
      </c>
      <c r="R32" t="s">
        <v>940</v>
      </c>
      <c r="S32" t="str">
        <f>Localization!B178</f>
        <v>Unknown</v>
      </c>
      <c r="T32" s="53" t="s">
        <v>366</v>
      </c>
    </row>
    <row r="33" spans="1:20" x14ac:dyDescent="0.2">
      <c r="A33" s="94" t="s">
        <v>942</v>
      </c>
      <c r="B33" t="str">
        <f>Localization!B110</f>
        <v>Alternate Payee in Pay Status</v>
      </c>
      <c r="C33" s="53" t="s">
        <v>366</v>
      </c>
      <c r="E33" t="s">
        <v>944</v>
      </c>
      <c r="F33" t="str">
        <f>Localization!B128</f>
        <v>100% J&amp;S w/POP Up</v>
      </c>
      <c r="G33" s="53"/>
      <c r="I33" s="56" t="s">
        <v>946</v>
      </c>
      <c r="J33" t="str">
        <f>Localization!B157</f>
        <v>Location 02</v>
      </c>
      <c r="L33" t="s">
        <v>948</v>
      </c>
      <c r="M33" t="str">
        <f>Localization!B159</f>
        <v>Alabama Tiki Huts</v>
      </c>
      <c r="O33" s="56" t="s">
        <v>946</v>
      </c>
      <c r="P33" t="str">
        <f>Localization!B161</f>
        <v>Union: Kalamazoo</v>
      </c>
      <c r="R33" t="s">
        <v>928</v>
      </c>
      <c r="S33" t="s">
        <v>951</v>
      </c>
      <c r="T33" s="53" t="s">
        <v>952</v>
      </c>
    </row>
    <row r="34" spans="1:20" x14ac:dyDescent="0.2">
      <c r="A34" s="94" t="s">
        <v>953</v>
      </c>
      <c r="B34" t="str">
        <f>Localization!B111</f>
        <v>Alternate Payee in Deferred Status</v>
      </c>
      <c r="C34" s="53" t="s">
        <v>928</v>
      </c>
      <c r="E34" t="s">
        <v>955</v>
      </c>
      <c r="F34" t="str">
        <f>Localization!B129</f>
        <v>10 Year Certain</v>
      </c>
      <c r="G34" s="53"/>
      <c r="O34" s="56" t="s">
        <v>1158</v>
      </c>
      <c r="P34" t="str">
        <f>Localization!B162</f>
        <v>Union:Menasha and Wausau/USW</v>
      </c>
      <c r="T34" s="53"/>
    </row>
    <row r="35" spans="1:20" x14ac:dyDescent="0.2">
      <c r="A35" s="93" t="s">
        <v>80</v>
      </c>
      <c r="B35" t="str">
        <f>Localization!B112</f>
        <v>Beneficiary in Deferred Status</v>
      </c>
      <c r="C35" s="53" t="s">
        <v>366</v>
      </c>
      <c r="E35" t="s">
        <v>82</v>
      </c>
      <c r="F35" t="str">
        <f>Localization!B130</f>
        <v>10 Year CL</v>
      </c>
      <c r="G35" s="53" t="s">
        <v>366</v>
      </c>
      <c r="O35" s="56" t="s">
        <v>1159</v>
      </c>
      <c r="P35" t="str">
        <f>Localization!B163</f>
        <v>Union: Charlotte</v>
      </c>
      <c r="T35" s="53"/>
    </row>
    <row r="36" spans="1:20" x14ac:dyDescent="0.2">
      <c r="A36" s="93" t="s">
        <v>85</v>
      </c>
      <c r="B36" t="str">
        <f>Localization!B113</f>
        <v>Beneficiary in Pay Status</v>
      </c>
      <c r="C36" s="53" t="s">
        <v>366</v>
      </c>
      <c r="E36" t="s">
        <v>87</v>
      </c>
      <c r="F36" t="str">
        <f>Localization!B131</f>
        <v>15 Year Certain</v>
      </c>
      <c r="G36" s="53"/>
      <c r="O36" s="56" t="s">
        <v>1160</v>
      </c>
      <c r="P36" t="str">
        <f>Localization!B164</f>
        <v>Union: Gordonsville</v>
      </c>
    </row>
    <row r="37" spans="1:20" x14ac:dyDescent="0.2">
      <c r="A37" s="95" t="s">
        <v>676</v>
      </c>
      <c r="B37" t="str">
        <f>Localization!B114</f>
        <v>Cashout</v>
      </c>
      <c r="C37" s="53" t="s">
        <v>366</v>
      </c>
      <c r="E37" t="s">
        <v>678</v>
      </c>
      <c r="F37" t="str">
        <f>Localization!B132</f>
        <v>15 Year CL</v>
      </c>
      <c r="G37" s="53"/>
      <c r="O37" s="56" t="s">
        <v>1161</v>
      </c>
      <c r="P37" t="str">
        <f>Localization!B165</f>
        <v>Union: Garden Grove (closed)</v>
      </c>
    </row>
    <row r="38" spans="1:20" x14ac:dyDescent="0.2">
      <c r="A38" s="93" t="s">
        <v>681</v>
      </c>
      <c r="B38" t="str">
        <f>Localization!B115</f>
        <v>CertainPd.Expired</v>
      </c>
      <c r="C38" s="53" t="s">
        <v>366</v>
      </c>
      <c r="E38" t="s">
        <v>683</v>
      </c>
      <c r="F38" t="str">
        <f>Localization!B133</f>
        <v>1% Increasing Annuity</v>
      </c>
      <c r="G38" s="53"/>
      <c r="O38" s="56" t="s">
        <v>1162</v>
      </c>
      <c r="P38" t="str">
        <f>Localization!B166</f>
        <v>Union: Perrrysburg (closed)</v>
      </c>
    </row>
    <row r="39" spans="1:20" x14ac:dyDescent="0.2">
      <c r="A39" s="93" t="s">
        <v>18</v>
      </c>
      <c r="B39" t="str">
        <f>Localization!B116</f>
        <v>Deceased</v>
      </c>
      <c r="C39" s="53" t="s">
        <v>366</v>
      </c>
      <c r="E39" t="s">
        <v>20</v>
      </c>
      <c r="F39" t="str">
        <f>Localization!B134</f>
        <v>20 Year Certain</v>
      </c>
      <c r="G39" s="53"/>
      <c r="O39" s="56" t="s">
        <v>1163</v>
      </c>
      <c r="P39" t="str">
        <f>Localization!B167</f>
        <v>Union: North Portland</v>
      </c>
    </row>
    <row r="40" spans="1:20" x14ac:dyDescent="0.2">
      <c r="A40" s="96" t="s">
        <v>1413</v>
      </c>
      <c r="B40" t="str">
        <f>Localization!B117</f>
        <v>Disabled</v>
      </c>
      <c r="C40" s="53" t="s">
        <v>366</v>
      </c>
      <c r="E40" t="s">
        <v>1415</v>
      </c>
      <c r="F40" t="str">
        <f>Localization!B135</f>
        <v>20 Year CL</v>
      </c>
      <c r="G40" s="53"/>
      <c r="O40" s="56" t="s">
        <v>1164</v>
      </c>
      <c r="P40" t="str">
        <f>Localization!B168</f>
        <v>Union:GCC/IBT</v>
      </c>
    </row>
    <row r="41" spans="1:20" x14ac:dyDescent="0.2">
      <c r="A41" s="93" t="s">
        <v>1418</v>
      </c>
      <c r="B41" t="str">
        <f>Localization!B118</f>
        <v>Leave</v>
      </c>
      <c r="C41" s="53" t="s">
        <v>366</v>
      </c>
      <c r="E41" t="s">
        <v>1420</v>
      </c>
      <c r="F41" t="str">
        <f>Localization!B136</f>
        <v>25% J&amp;S</v>
      </c>
      <c r="G41" s="53"/>
      <c r="O41" s="56" t="s">
        <v>1165</v>
      </c>
      <c r="P41" t="str">
        <f>Localization!B169</f>
        <v>Benefit earned under prior Universal Packaging Corporation Pension Plan</v>
      </c>
    </row>
    <row r="42" spans="1:20" x14ac:dyDescent="0.2">
      <c r="A42" s="95" t="s">
        <v>1423</v>
      </c>
      <c r="B42" t="str">
        <f>Localization!B119</f>
        <v>Non Participant</v>
      </c>
      <c r="C42" s="53" t="s">
        <v>366</v>
      </c>
      <c r="E42" t="s">
        <v>1425</v>
      </c>
      <c r="F42" t="str">
        <f>Localization!B137</f>
        <v>25% J&amp;S w/POP Up</v>
      </c>
      <c r="G42" s="53"/>
      <c r="O42" s="56" t="s">
        <v>1166</v>
      </c>
      <c r="P42" t="str">
        <f>Localization!B170</f>
        <v>N/A</v>
      </c>
    </row>
    <row r="43" spans="1:20" x14ac:dyDescent="0.2">
      <c r="A43" s="93" t="s">
        <v>1428</v>
      </c>
      <c r="B43" t="str">
        <f>Localization!B120</f>
        <v>Non Vested Term</v>
      </c>
      <c r="C43" s="53" t="s">
        <v>366</v>
      </c>
      <c r="E43" t="s">
        <v>1430</v>
      </c>
      <c r="F43" t="str">
        <f>Localization!B138</f>
        <v>2% Increasing Annuity</v>
      </c>
      <c r="G43" s="53"/>
      <c r="O43" s="56" t="s">
        <v>1167</v>
      </c>
      <c r="P43" t="str">
        <f>Localization!B171</f>
        <v>Bakersfield</v>
      </c>
    </row>
    <row r="44" spans="1:20" x14ac:dyDescent="0.2">
      <c r="A44" s="93" t="s">
        <v>1433</v>
      </c>
      <c r="B44" t="str">
        <f>Localization!B121</f>
        <v>Not Eligible</v>
      </c>
      <c r="C44" s="53" t="s">
        <v>366</v>
      </c>
      <c r="E44" t="s">
        <v>1435</v>
      </c>
      <c r="F44" t="str">
        <f>Localization!B139</f>
        <v>3% Increasing Annuity</v>
      </c>
      <c r="G44" s="53"/>
      <c r="O44" s="56" t="s">
        <v>1168</v>
      </c>
      <c r="P44" t="str">
        <f>Localization!B172</f>
        <v>Cincinnati</v>
      </c>
    </row>
    <row r="45" spans="1:20" x14ac:dyDescent="0.2">
      <c r="A45" s="93" t="s">
        <v>1438</v>
      </c>
      <c r="B45" t="str">
        <f>Localization!B122</f>
        <v>Retiree</v>
      </c>
      <c r="C45" s="53" t="s">
        <v>366</v>
      </c>
      <c r="E45" t="s">
        <v>1440</v>
      </c>
      <c r="F45" t="str">
        <f>Localization!B140</f>
        <v>4% Increasing Annuity</v>
      </c>
      <c r="G45" s="53"/>
      <c r="O45" s="56" t="s">
        <v>1169</v>
      </c>
      <c r="P45" t="str">
        <f>Localization!B173</f>
        <v>Clinton</v>
      </c>
    </row>
    <row r="46" spans="1:20" x14ac:dyDescent="0.2">
      <c r="A46" s="94" t="s">
        <v>1443</v>
      </c>
      <c r="B46" t="str">
        <f>Localization!B123</f>
        <v>Severance</v>
      </c>
      <c r="C46" s="53" t="s">
        <v>928</v>
      </c>
      <c r="E46" t="s">
        <v>1445</v>
      </c>
      <c r="F46" t="str">
        <f>Localization!B141</f>
        <v>50% J&amp;S</v>
      </c>
      <c r="G46" s="53" t="s">
        <v>366</v>
      </c>
      <c r="O46" s="56" t="s">
        <v>1170</v>
      </c>
      <c r="P46" t="str">
        <f>Localization!B174</f>
        <v>Fort Atkinson</v>
      </c>
    </row>
    <row r="47" spans="1:20" x14ac:dyDescent="0.2">
      <c r="A47" s="93" t="s">
        <v>1448</v>
      </c>
      <c r="B47" t="str">
        <f>Localization!B124</f>
        <v>Terminated Vested</v>
      </c>
      <c r="C47" s="53" t="s">
        <v>366</v>
      </c>
      <c r="E47" t="s">
        <v>299</v>
      </c>
      <c r="F47" t="str">
        <f>Localization!B142</f>
        <v>50% Joint and Contingent</v>
      </c>
      <c r="G47" s="53"/>
      <c r="O47" s="56" t="s">
        <v>1171</v>
      </c>
      <c r="P47" t="str">
        <f>Localization!B175</f>
        <v>Packaging</v>
      </c>
    </row>
    <row r="48" spans="1:20" x14ac:dyDescent="0.2">
      <c r="A48" s="94" t="s">
        <v>302</v>
      </c>
      <c r="B48" t="str">
        <f>Localization!B125</f>
        <v>Not Eligible - Age Restriction</v>
      </c>
      <c r="C48" s="98" t="s">
        <v>366</v>
      </c>
      <c r="E48" t="s">
        <v>304</v>
      </c>
      <c r="F48" t="str">
        <f>Localization!B143</f>
        <v>50% J&amp;S w/POP Up</v>
      </c>
      <c r="G48" s="53"/>
      <c r="O48" s="56" t="s">
        <v>1172</v>
      </c>
      <c r="P48" t="str">
        <f>Localization!B176</f>
        <v>Paperboard Macon</v>
      </c>
    </row>
    <row r="49" spans="1:16" x14ac:dyDescent="0.2">
      <c r="A49" s="94" t="s">
        <v>307</v>
      </c>
      <c r="B49" t="str">
        <f>Localization!B126</f>
        <v>Transferred Out</v>
      </c>
      <c r="C49" s="53" t="s">
        <v>366</v>
      </c>
      <c r="E49" t="s">
        <v>309</v>
      </c>
      <c r="F49" t="str">
        <f>Localization!B144</f>
        <v>5 Year Certain</v>
      </c>
      <c r="G49" s="53"/>
      <c r="O49" s="56" t="s">
        <v>1173</v>
      </c>
      <c r="P49" t="str">
        <f>Localization!B177</f>
        <v>Paperboard West Monroe</v>
      </c>
    </row>
    <row r="50" spans="1:16" x14ac:dyDescent="0.2">
      <c r="E50" t="s">
        <v>312</v>
      </c>
      <c r="F50" t="str">
        <f>Localization!B145</f>
        <v>5 Year CL</v>
      </c>
      <c r="G50" s="53"/>
    </row>
    <row r="51" spans="1:16" x14ac:dyDescent="0.2">
      <c r="E51" t="s">
        <v>314</v>
      </c>
      <c r="F51" t="str">
        <f>Localization!B146</f>
        <v>5% Increasing Annuity</v>
      </c>
      <c r="G51" s="53"/>
    </row>
    <row r="52" spans="1:16" x14ac:dyDescent="0.2">
      <c r="E52" t="s">
        <v>316</v>
      </c>
      <c r="F52" t="str">
        <f>Localization!B147</f>
        <v>66% J&amp;S</v>
      </c>
      <c r="G52" s="53"/>
    </row>
    <row r="53" spans="1:16" x14ac:dyDescent="0.2">
      <c r="E53" t="s">
        <v>318</v>
      </c>
      <c r="F53" t="str">
        <f>Localization!B148</f>
        <v>66% J&amp;S w/POP Up</v>
      </c>
      <c r="G53" s="53"/>
    </row>
    <row r="54" spans="1:16" x14ac:dyDescent="0.2">
      <c r="E54" t="s">
        <v>320</v>
      </c>
      <c r="F54" t="str">
        <f>Localization!B149</f>
        <v>75% J&amp;S</v>
      </c>
      <c r="G54" s="53"/>
    </row>
    <row r="55" spans="1:16" x14ac:dyDescent="0.2">
      <c r="E55" t="s">
        <v>322</v>
      </c>
      <c r="F55" t="str">
        <f>Localization!B150</f>
        <v>75'% J&amp;S w/POP Up</v>
      </c>
      <c r="G55" s="53"/>
    </row>
    <row r="56" spans="1:16" x14ac:dyDescent="0.2">
      <c r="E56" t="s">
        <v>324</v>
      </c>
      <c r="F56" t="str">
        <f>Localization!B151</f>
        <v>Cashout</v>
      </c>
      <c r="G56" s="53" t="s">
        <v>366</v>
      </c>
    </row>
    <row r="57" spans="1:16" x14ac:dyDescent="0.2">
      <c r="E57" t="s">
        <v>325</v>
      </c>
      <c r="F57" t="str">
        <f>Localization!B152</f>
        <v>Level Option</v>
      </c>
      <c r="G57" s="53"/>
    </row>
    <row r="58" spans="1:16" x14ac:dyDescent="0.2">
      <c r="E58" t="s">
        <v>327</v>
      </c>
      <c r="F58" t="str">
        <f>Localization!B153</f>
        <v>Single Life Annuity</v>
      </c>
      <c r="G58" s="53" t="s">
        <v>366</v>
      </c>
    </row>
    <row r="59" spans="1:16" x14ac:dyDescent="0.2">
      <c r="E59" t="s">
        <v>329</v>
      </c>
      <c r="F59" t="str">
        <f>Localization!B154</f>
        <v>50% J&amp;S w/10 years certain</v>
      </c>
      <c r="G59" s="53" t="s">
        <v>366</v>
      </c>
    </row>
    <row r="60" spans="1:16" x14ac:dyDescent="0.2">
      <c r="E60" t="s">
        <v>331</v>
      </c>
      <c r="F60" t="str">
        <f>Localization!B155</f>
        <v>100% J&amp;S w/10 years certain</v>
      </c>
      <c r="G60" s="53" t="s">
        <v>366</v>
      </c>
    </row>
  </sheetData>
  <phoneticPr fontId="0" type="noConversion"/>
  <dataValidations count="1">
    <dataValidation type="list" showInputMessage="1" showErrorMessage="1" sqref="B3">
      <formula1>"Data Lookup Tables"</formula1>
    </dataValidation>
  </dataValidations>
  <pageMargins left="0.75" right="0.75" top="1" bottom="1" header="0.5" footer="0.5"/>
  <pageSetup orientation="portrait" horizontalDpi="4294967293" verticalDpi="4294967293" r:id="rId1"/>
  <headerFooter alignWithMargins="0"/>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HAFrameworkLookupTables">
    <tabColor theme="1"/>
  </sheetPr>
  <dimension ref="A1:BT42"/>
  <sheetViews>
    <sheetView workbookViewId="0"/>
  </sheetViews>
  <sheetFormatPr defaultRowHeight="12.75" x14ac:dyDescent="0.2"/>
  <cols>
    <col min="1" max="1" width="26.7109375" customWidth="1"/>
    <col min="2" max="2" width="34" customWidth="1"/>
    <col min="3" max="3" width="43" bestFit="1" customWidth="1"/>
    <col min="4" max="4" width="43" customWidth="1"/>
    <col min="5" max="5" width="7.7109375" bestFit="1" customWidth="1"/>
    <col min="6" max="6" width="10.42578125" customWidth="1"/>
    <col min="7" max="8" width="23.5703125" bestFit="1" customWidth="1"/>
    <col min="9" max="9" width="19" customWidth="1"/>
    <col min="10" max="10" width="22.140625" customWidth="1"/>
    <col min="11" max="11" width="23.7109375" bestFit="1" customWidth="1"/>
    <col min="12" max="12" width="8.7109375" customWidth="1"/>
    <col min="13" max="14" width="23.7109375" bestFit="1" customWidth="1"/>
    <col min="15" max="15" width="40.7109375" customWidth="1"/>
    <col min="16" max="16" width="7.7109375" bestFit="1" customWidth="1"/>
    <col min="17" max="17" width="7.85546875" customWidth="1"/>
    <col min="18" max="18" width="6.140625" bestFit="1" customWidth="1"/>
    <col min="19" max="19" width="18.28515625" bestFit="1" customWidth="1"/>
    <col min="20" max="24" width="18.28515625" customWidth="1"/>
    <col min="25" max="25" width="7.7109375" bestFit="1" customWidth="1"/>
    <col min="26" max="26" width="6.42578125" customWidth="1"/>
    <col min="27" max="27" width="6.140625" bestFit="1" customWidth="1"/>
    <col min="28" max="28" width="19.5703125" bestFit="1" customWidth="1"/>
    <col min="29" max="31" width="19.5703125" customWidth="1"/>
    <col min="32" max="32" width="7.7109375" bestFit="1" customWidth="1"/>
    <col min="33" max="33" width="7.140625" customWidth="1"/>
    <col min="34" max="34" width="6.140625" bestFit="1" customWidth="1"/>
    <col min="35" max="35" width="23.28515625" bestFit="1" customWidth="1"/>
    <col min="36" max="39" width="23.28515625" customWidth="1"/>
    <col min="40" max="40" width="7.7109375" bestFit="1" customWidth="1"/>
    <col min="41" max="41" width="6.7109375" customWidth="1"/>
    <col min="42" max="42" width="6.140625" bestFit="1" customWidth="1"/>
    <col min="43" max="43" width="15.140625" bestFit="1" customWidth="1"/>
    <col min="44" max="44" width="16.42578125" bestFit="1" customWidth="1"/>
    <col min="45" max="45" width="16.42578125" customWidth="1"/>
    <col min="46" max="46" width="23.28515625" customWidth="1"/>
    <col min="47" max="47" width="7.7109375" bestFit="1" customWidth="1"/>
    <col min="48" max="48" width="7.28515625" customWidth="1"/>
    <col min="49" max="49" width="6.140625" bestFit="1" customWidth="1"/>
    <col min="50" max="50" width="9.7109375" customWidth="1"/>
    <col min="51" max="51" width="14.42578125" customWidth="1"/>
    <col min="52" max="52" width="24.140625" bestFit="1" customWidth="1"/>
    <col min="53" max="53" width="16.42578125" customWidth="1"/>
    <col min="54" max="54" width="24" bestFit="1" customWidth="1"/>
    <col min="55" max="59" width="24" customWidth="1"/>
    <col min="60" max="61" width="23.28515625" customWidth="1"/>
    <col min="62" max="62" width="7.28515625" customWidth="1"/>
    <col min="63" max="63" width="16.28515625" bestFit="1" customWidth="1"/>
    <col min="64" max="64" width="41.42578125" bestFit="1" customWidth="1"/>
    <col min="65" max="65" width="5.140625" customWidth="1"/>
    <col min="66" max="66" width="16.28515625" bestFit="1" customWidth="1"/>
    <col min="67" max="67" width="15.140625" bestFit="1" customWidth="1"/>
    <col min="68" max="68" width="5.140625" customWidth="1"/>
    <col min="69" max="69" width="8" bestFit="1" customWidth="1"/>
    <col min="70" max="70" width="16.7109375" bestFit="1" customWidth="1"/>
    <col min="71" max="71" width="23.5703125" bestFit="1" customWidth="1"/>
    <col min="72" max="72" width="13.28515625" bestFit="1" customWidth="1"/>
  </cols>
  <sheetData>
    <row r="1" spans="1:5" s="3" customFormat="1" x14ac:dyDescent="0.2">
      <c r="A1" s="1" t="s">
        <v>1148</v>
      </c>
      <c r="B1" s="2"/>
    </row>
    <row r="2" spans="1:5" x14ac:dyDescent="0.2">
      <c r="A2" s="4" t="s">
        <v>209</v>
      </c>
      <c r="B2" s="99">
        <v>6</v>
      </c>
      <c r="C2" s="6"/>
      <c r="D2" s="6"/>
      <c r="E2" s="7"/>
    </row>
    <row r="3" spans="1:5" x14ac:dyDescent="0.2">
      <c r="A3" s="8" t="s">
        <v>1149</v>
      </c>
      <c r="B3" s="9" t="s">
        <v>333</v>
      </c>
      <c r="C3" s="10"/>
      <c r="D3" s="10"/>
      <c r="E3" s="11"/>
    </row>
    <row r="4" spans="1:5" x14ac:dyDescent="0.2">
      <c r="A4" s="8" t="s">
        <v>70</v>
      </c>
      <c r="B4" s="100" t="s">
        <v>851</v>
      </c>
      <c r="C4" s="10"/>
      <c r="D4" s="10"/>
      <c r="E4" s="11"/>
    </row>
    <row r="5" spans="1:5" x14ac:dyDescent="0.2">
      <c r="A5" s="8" t="s">
        <v>1151</v>
      </c>
      <c r="B5" s="12" t="s">
        <v>1212</v>
      </c>
      <c r="C5" s="10"/>
      <c r="D5" s="10"/>
      <c r="E5" s="11"/>
    </row>
    <row r="6" spans="1:5" x14ac:dyDescent="0.2">
      <c r="A6" s="13"/>
      <c r="B6" s="12"/>
      <c r="C6" s="10"/>
      <c r="D6" s="10"/>
      <c r="E6" s="11"/>
    </row>
    <row r="7" spans="1:5" x14ac:dyDescent="0.2">
      <c r="A7" s="13"/>
      <c r="B7" s="89" t="s">
        <v>186</v>
      </c>
      <c r="C7" s="10"/>
      <c r="D7" s="10"/>
      <c r="E7" s="11"/>
    </row>
    <row r="8" spans="1:5" x14ac:dyDescent="0.2">
      <c r="A8" s="13"/>
      <c r="B8" s="91" t="s">
        <v>1213</v>
      </c>
      <c r="C8" s="10"/>
      <c r="D8" s="10"/>
      <c r="E8" s="11"/>
    </row>
    <row r="9" spans="1:5" x14ac:dyDescent="0.2">
      <c r="A9" s="13"/>
      <c r="B9" s="91" t="s">
        <v>2009</v>
      </c>
      <c r="C9" s="10"/>
      <c r="D9" s="10"/>
      <c r="E9" s="11"/>
    </row>
    <row r="10" spans="1:5" x14ac:dyDescent="0.2">
      <c r="A10" s="13"/>
      <c r="B10" s="63" t="s">
        <v>754</v>
      </c>
      <c r="C10" s="10"/>
      <c r="D10" s="10"/>
      <c r="E10" s="11"/>
    </row>
    <row r="11" spans="1:5" x14ac:dyDescent="0.2">
      <c r="A11" s="13"/>
      <c r="B11" s="386" t="s">
        <v>2008</v>
      </c>
      <c r="C11" s="10"/>
      <c r="D11" s="10"/>
      <c r="E11" s="11"/>
    </row>
    <row r="12" spans="1:5" x14ac:dyDescent="0.2">
      <c r="A12" s="13"/>
      <c r="B12" s="101" t="s">
        <v>1214</v>
      </c>
      <c r="C12" s="10"/>
      <c r="D12" s="10"/>
      <c r="E12" s="11"/>
    </row>
    <row r="13" spans="1:5" x14ac:dyDescent="0.2">
      <c r="A13" s="13"/>
      <c r="B13" s="12"/>
      <c r="C13" s="10"/>
      <c r="D13" s="10"/>
      <c r="E13" s="11"/>
    </row>
    <row r="14" spans="1:5" x14ac:dyDescent="0.2">
      <c r="A14" s="13"/>
      <c r="B14" s="89" t="s">
        <v>849</v>
      </c>
      <c r="C14" s="10"/>
      <c r="D14" s="10"/>
      <c r="E14" s="11"/>
    </row>
    <row r="15" spans="1:5" x14ac:dyDescent="0.2">
      <c r="A15" s="13"/>
      <c r="B15" s="63" t="s">
        <v>850</v>
      </c>
      <c r="C15" s="10"/>
      <c r="D15" s="10"/>
      <c r="E15" s="11"/>
    </row>
    <row r="16" spans="1:5" x14ac:dyDescent="0.2">
      <c r="A16" s="13"/>
      <c r="B16" s="12"/>
      <c r="C16" s="10"/>
      <c r="D16" s="10"/>
      <c r="E16" s="11"/>
    </row>
    <row r="17" spans="1:72" x14ac:dyDescent="0.2">
      <c r="A17" s="46"/>
      <c r="B17" s="102" t="s">
        <v>1215</v>
      </c>
      <c r="C17" s="23"/>
      <c r="D17" s="23"/>
      <c r="E17" s="24"/>
    </row>
    <row r="18" spans="1:72" ht="13.5" thickBot="1" x14ac:dyDescent="0.25">
      <c r="A18" s="25"/>
      <c r="B18" s="29"/>
    </row>
    <row r="19" spans="1:72" x14ac:dyDescent="0.2">
      <c r="A19" s="103" t="s">
        <v>926</v>
      </c>
      <c r="B19" s="104" t="s">
        <v>2227</v>
      </c>
      <c r="C19" s="105"/>
      <c r="D19" s="105"/>
      <c r="E19" s="105"/>
      <c r="G19" s="103" t="s">
        <v>926</v>
      </c>
      <c r="H19" s="104" t="s">
        <v>787</v>
      </c>
      <c r="I19" s="104"/>
      <c r="J19" s="104"/>
      <c r="K19" s="105"/>
      <c r="M19" s="103" t="s">
        <v>926</v>
      </c>
      <c r="N19" s="104" t="s">
        <v>2014</v>
      </c>
      <c r="O19" s="105"/>
      <c r="P19" s="105"/>
      <c r="R19" s="103" t="s">
        <v>926</v>
      </c>
      <c r="S19" s="104" t="s">
        <v>2015</v>
      </c>
      <c r="T19" s="104"/>
      <c r="U19" s="104"/>
      <c r="V19" s="104"/>
      <c r="W19" s="104"/>
      <c r="X19" s="104"/>
      <c r="Y19" s="105"/>
      <c r="AA19" s="103" t="s">
        <v>926</v>
      </c>
      <c r="AB19" s="637" t="s">
        <v>2016</v>
      </c>
      <c r="AC19" s="104"/>
      <c r="AD19" s="104"/>
      <c r="AE19" s="104"/>
      <c r="AF19" s="105"/>
      <c r="AH19" s="103" t="s">
        <v>926</v>
      </c>
      <c r="AI19" s="637" t="s">
        <v>2017</v>
      </c>
      <c r="AJ19" s="104"/>
      <c r="AK19" s="104"/>
      <c r="AL19" s="104"/>
      <c r="AM19" s="104"/>
      <c r="AN19" s="105"/>
      <c r="AP19" s="103" t="s">
        <v>926</v>
      </c>
      <c r="AQ19" s="104" t="s">
        <v>2018</v>
      </c>
      <c r="AR19" s="104"/>
      <c r="AS19" s="104"/>
      <c r="AT19" s="104"/>
      <c r="AU19" s="105"/>
      <c r="AW19" s="103" t="s">
        <v>926</v>
      </c>
      <c r="AX19" s="104" t="s">
        <v>2186</v>
      </c>
      <c r="AY19" s="105"/>
      <c r="AZ19" s="104"/>
      <c r="BA19" s="104"/>
      <c r="BB19" s="104"/>
      <c r="BC19" s="104"/>
      <c r="BD19" s="104"/>
      <c r="BE19" s="104"/>
      <c r="BF19" s="104"/>
      <c r="BG19" s="104"/>
      <c r="BH19" s="104"/>
      <c r="BI19" s="104"/>
      <c r="BK19" s="103" t="s">
        <v>926</v>
      </c>
      <c r="BL19" s="104" t="s">
        <v>1221</v>
      </c>
      <c r="BN19" s="103" t="s">
        <v>926</v>
      </c>
      <c r="BO19" s="637" t="s">
        <v>1312</v>
      </c>
      <c r="BQ19" s="103" t="s">
        <v>926</v>
      </c>
      <c r="BR19" s="104" t="s">
        <v>2019</v>
      </c>
      <c r="BS19" s="105"/>
      <c r="BT19" s="104"/>
    </row>
    <row r="20" spans="1:72" x14ac:dyDescent="0.2">
      <c r="A20" s="65" t="s">
        <v>930</v>
      </c>
      <c r="B20" s="65" t="s">
        <v>2020</v>
      </c>
      <c r="C20" s="65" t="s">
        <v>367</v>
      </c>
      <c r="D20" s="65" t="s">
        <v>2021</v>
      </c>
      <c r="E20" s="65" t="s">
        <v>355</v>
      </c>
      <c r="G20" s="65" t="s">
        <v>930</v>
      </c>
      <c r="H20" s="65" t="s">
        <v>2020</v>
      </c>
      <c r="I20" s="65" t="s">
        <v>2021</v>
      </c>
      <c r="J20" s="65" t="s">
        <v>1151</v>
      </c>
      <c r="K20" s="65" t="s">
        <v>355</v>
      </c>
      <c r="M20" s="65" t="s">
        <v>930</v>
      </c>
      <c r="N20" s="65" t="s">
        <v>2020</v>
      </c>
      <c r="O20" s="65" t="s">
        <v>1151</v>
      </c>
      <c r="P20" s="65" t="s">
        <v>355</v>
      </c>
      <c r="R20" s="65" t="s">
        <v>930</v>
      </c>
      <c r="S20" s="65" t="s">
        <v>338</v>
      </c>
      <c r="T20" s="65" t="s">
        <v>367</v>
      </c>
      <c r="U20" s="65" t="s">
        <v>30</v>
      </c>
      <c r="V20" s="65" t="s">
        <v>298</v>
      </c>
      <c r="W20" s="65" t="s">
        <v>852</v>
      </c>
      <c r="X20" s="65" t="s">
        <v>2339</v>
      </c>
      <c r="Y20" s="65" t="s">
        <v>355</v>
      </c>
      <c r="AA20" s="65" t="s">
        <v>930</v>
      </c>
      <c r="AB20" s="65" t="s">
        <v>338</v>
      </c>
      <c r="AC20" s="65" t="s">
        <v>367</v>
      </c>
      <c r="AD20" s="65" t="s">
        <v>30</v>
      </c>
      <c r="AE20" s="65" t="s">
        <v>298</v>
      </c>
      <c r="AF20" s="65" t="s">
        <v>355</v>
      </c>
      <c r="AH20" s="65" t="s">
        <v>930</v>
      </c>
      <c r="AI20" s="65" t="s">
        <v>367</v>
      </c>
      <c r="AJ20" s="65" t="s">
        <v>2445</v>
      </c>
      <c r="AK20" s="635" t="s">
        <v>298</v>
      </c>
      <c r="AL20" s="65" t="s">
        <v>2442</v>
      </c>
      <c r="AM20" s="65" t="s">
        <v>252</v>
      </c>
      <c r="AN20" s="65" t="s">
        <v>355</v>
      </c>
      <c r="AP20" s="65" t="s">
        <v>930</v>
      </c>
      <c r="AQ20" s="65" t="s">
        <v>367</v>
      </c>
      <c r="AR20" s="65" t="s">
        <v>298</v>
      </c>
      <c r="AS20" s="65" t="s">
        <v>2442</v>
      </c>
      <c r="AT20" s="65" t="s">
        <v>252</v>
      </c>
      <c r="AU20" s="65" t="s">
        <v>355</v>
      </c>
      <c r="AW20" s="65" t="s">
        <v>930</v>
      </c>
      <c r="AX20" s="65" t="s">
        <v>355</v>
      </c>
      <c r="AY20" s="65" t="s">
        <v>367</v>
      </c>
      <c r="AZ20" s="65" t="s">
        <v>2189</v>
      </c>
      <c r="BA20" s="65" t="s">
        <v>2197</v>
      </c>
      <c r="BB20" s="65" t="s">
        <v>2193</v>
      </c>
      <c r="BC20" s="65" t="s">
        <v>2194</v>
      </c>
      <c r="BD20" s="65" t="s">
        <v>2195</v>
      </c>
      <c r="BE20" s="65" t="s">
        <v>2199</v>
      </c>
      <c r="BF20" s="65" t="s">
        <v>2492</v>
      </c>
      <c r="BG20" s="65" t="s">
        <v>2196</v>
      </c>
      <c r="BH20" s="65" t="s">
        <v>252</v>
      </c>
      <c r="BI20" s="65" t="s">
        <v>2423</v>
      </c>
      <c r="BK20" s="65" t="s">
        <v>930</v>
      </c>
      <c r="BL20" s="65" t="s">
        <v>367</v>
      </c>
      <c r="BN20" s="65" t="s">
        <v>930</v>
      </c>
      <c r="BO20" s="65" t="s">
        <v>367</v>
      </c>
      <c r="BQ20" s="65" t="s">
        <v>930</v>
      </c>
      <c r="BR20" s="65" t="s">
        <v>367</v>
      </c>
      <c r="BS20" s="65" t="s">
        <v>2472</v>
      </c>
      <c r="BT20" s="65" t="s">
        <v>355</v>
      </c>
    </row>
    <row r="21" spans="1:72" x14ac:dyDescent="0.2">
      <c r="A21" s="31" t="s">
        <v>2022</v>
      </c>
      <c r="B21" s="31" t="str">
        <f>Localization!B179</f>
        <v>Plan Name</v>
      </c>
      <c r="C21" t="s">
        <v>2023</v>
      </c>
      <c r="E21" s="53" t="str">
        <f t="shared" ref="E21:E34" si="0">IF(ISBLANK(C21),"N","Y")</f>
        <v>Y</v>
      </c>
      <c r="G21" s="29" t="s">
        <v>129</v>
      </c>
      <c r="H21" s="29" t="str">
        <f>Localization!B205</f>
        <v>Summary Plan Description</v>
      </c>
      <c r="I21" s="29" t="s">
        <v>1379</v>
      </c>
      <c r="J21" s="29" t="str">
        <f>Localization!B208</f>
        <v>Download the latest Plan Description to review all provisions being applied.</v>
      </c>
      <c r="K21" s="66" t="s">
        <v>366</v>
      </c>
      <c r="M21" s="29" t="s">
        <v>138</v>
      </c>
      <c r="N21" s="29" t="str">
        <f>Localization!B209</f>
        <v>Account Balance</v>
      </c>
      <c r="O21" s="29" t="str">
        <f>Localization!B213</f>
        <v>The sum of the participant's Opening Account Balance, Deposit Credits (based on years of service) and Investment Credits</v>
      </c>
      <c r="P21" s="66" t="s">
        <v>928</v>
      </c>
      <c r="R21">
        <v>1</v>
      </c>
      <c r="S21" t="s">
        <v>1274</v>
      </c>
      <c r="T21" t="str">
        <f>Localization!B220</f>
        <v>Estimate</v>
      </c>
      <c r="U21" t="str">
        <f>Localization!B224</f>
        <v>Estimate Calculations</v>
      </c>
      <c r="V21" t="s">
        <v>541</v>
      </c>
      <c r="X21" s="29" t="s">
        <v>2324</v>
      </c>
      <c r="Y21" s="53" t="s">
        <v>366</v>
      </c>
      <c r="AA21">
        <v>1</v>
      </c>
      <c r="AB21" t="s">
        <v>1275</v>
      </c>
      <c r="AC21" t="str">
        <f>Localization!B228</f>
        <v>Retire</v>
      </c>
      <c r="AD21" t="str">
        <f>Localization!B233</f>
        <v>Retirement Calculations</v>
      </c>
      <c r="AE21" t="s">
        <v>547</v>
      </c>
      <c r="AF21" s="53" t="s">
        <v>366</v>
      </c>
      <c r="AH21" t="s">
        <v>1276</v>
      </c>
      <c r="AI21" t="str">
        <f>Localization!B217</f>
        <v>Custom Batch Process #1</v>
      </c>
      <c r="AJ21" t="s">
        <v>553</v>
      </c>
      <c r="AN21" s="53" t="s">
        <v>366</v>
      </c>
      <c r="AP21" t="s">
        <v>1278</v>
      </c>
      <c r="AQ21" t="str">
        <f>Localization!B219</f>
        <v>Adhoc Report</v>
      </c>
      <c r="AS21" t="s">
        <v>555</v>
      </c>
      <c r="AU21" s="53" t="s">
        <v>366</v>
      </c>
      <c r="AW21" t="s">
        <v>2187</v>
      </c>
      <c r="AX21" s="52" t="s">
        <v>928</v>
      </c>
      <c r="AY21" t="s">
        <v>2188</v>
      </c>
      <c r="AZ21" t="s">
        <v>2190</v>
      </c>
      <c r="BC21" s="52" t="s">
        <v>366</v>
      </c>
      <c r="BD21" s="52">
        <v>50</v>
      </c>
      <c r="BE21" t="s">
        <v>2187</v>
      </c>
      <c r="BK21">
        <v>1</v>
      </c>
      <c r="BL21" t="str">
        <f>Localization!B241</f>
        <v>Unused Calculation</v>
      </c>
      <c r="BN21">
        <v>1</v>
      </c>
      <c r="BO21" t="str">
        <f>Localization!B253</f>
        <v>Lump Sum</v>
      </c>
      <c r="BQ21" t="s">
        <v>481</v>
      </c>
      <c r="BR21" t="str">
        <f>Localization!B239</f>
        <v>Batch Indicator</v>
      </c>
      <c r="BS21" s="53"/>
      <c r="BT21" s="53" t="s">
        <v>366</v>
      </c>
    </row>
    <row r="22" spans="1:72" x14ac:dyDescent="0.2">
      <c r="A22" t="s">
        <v>1281</v>
      </c>
      <c r="B22" s="31" t="str">
        <f>Localization!B180</f>
        <v>Plan Sponsor</v>
      </c>
      <c r="C22" t="s">
        <v>1282</v>
      </c>
      <c r="E22" s="53" t="str">
        <f t="shared" si="0"/>
        <v>Y</v>
      </c>
      <c r="G22" s="31" t="s">
        <v>473</v>
      </c>
      <c r="H22" s="29" t="str">
        <f>Localization!B206</f>
        <v>Summary Annual Report</v>
      </c>
      <c r="I22" t="s">
        <v>1380</v>
      </c>
      <c r="K22" s="66" t="s">
        <v>366</v>
      </c>
      <c r="M22" s="31" t="s">
        <v>474</v>
      </c>
      <c r="N22" s="29" t="str">
        <f>Localization!B210</f>
        <v>Minimum Account Balance</v>
      </c>
      <c r="O22" s="29" t="str">
        <f>Localization!B214</f>
        <v>Amount equal to $2000 on the later of January 1, 2002 or Date of Hire, credited with interest only each January 1 and July 1</v>
      </c>
      <c r="P22" s="66" t="s">
        <v>928</v>
      </c>
      <c r="R22">
        <v>2</v>
      </c>
      <c r="S22" t="s">
        <v>1275</v>
      </c>
      <c r="T22" t="str">
        <f>Localization!B221</f>
        <v>Retirement</v>
      </c>
      <c r="U22" t="str">
        <f>Localization!B225</f>
        <v>Retirement Calculations</v>
      </c>
      <c r="V22" t="s">
        <v>541</v>
      </c>
      <c r="X22" s="29" t="s">
        <v>2324</v>
      </c>
      <c r="Y22" s="53" t="s">
        <v>366</v>
      </c>
      <c r="AA22">
        <v>2</v>
      </c>
      <c r="AB22" t="s">
        <v>1274</v>
      </c>
      <c r="AC22" t="str">
        <f>Localization!B229</f>
        <v>Estimate</v>
      </c>
      <c r="AD22" t="str">
        <f>Localization!B234</f>
        <v>Estimate Calculations</v>
      </c>
      <c r="AE22" t="s">
        <v>547</v>
      </c>
      <c r="AF22" s="53" t="s">
        <v>366</v>
      </c>
      <c r="AH22" t="s">
        <v>1</v>
      </c>
      <c r="AI22" t="s">
        <v>2</v>
      </c>
      <c r="AJ22" t="s">
        <v>4</v>
      </c>
      <c r="AN22" s="53" t="s">
        <v>366</v>
      </c>
      <c r="AU22" s="53"/>
      <c r="AW22" t="s">
        <v>2201</v>
      </c>
      <c r="AX22" s="52" t="s">
        <v>928</v>
      </c>
      <c r="AY22" t="s">
        <v>2200</v>
      </c>
      <c r="AZ22" t="s">
        <v>2192</v>
      </c>
      <c r="BA22" t="s">
        <v>2198</v>
      </c>
      <c r="BB22" s="52" t="s">
        <v>366</v>
      </c>
      <c r="BC22" s="52" t="s">
        <v>366</v>
      </c>
      <c r="BD22" s="52">
        <v>50</v>
      </c>
      <c r="BE22" t="s">
        <v>2191</v>
      </c>
      <c r="BG22" s="52"/>
      <c r="BK22">
        <v>2</v>
      </c>
      <c r="BL22" t="str">
        <f>Localization!B242</f>
        <v>Initial Benefit Calculation</v>
      </c>
      <c r="BQ22" t="s">
        <v>1395</v>
      </c>
      <c r="BR22" t="str">
        <f>Localization!B240</f>
        <v>Current Participant</v>
      </c>
      <c r="BS22" s="53"/>
      <c r="BT22" s="53" t="s">
        <v>366</v>
      </c>
    </row>
    <row r="23" spans="1:72" x14ac:dyDescent="0.2">
      <c r="A23" t="s">
        <v>482</v>
      </c>
      <c r="B23" s="31" t="str">
        <f>Localization!B181</f>
        <v>Employer Identification Number</v>
      </c>
      <c r="C23" t="s">
        <v>483</v>
      </c>
      <c r="E23" s="53" t="str">
        <f t="shared" si="0"/>
        <v>Y</v>
      </c>
      <c r="G23" s="31" t="s">
        <v>1390</v>
      </c>
      <c r="H23" s="29" t="str">
        <f>Localization!B207</f>
        <v>Decision Guide</v>
      </c>
      <c r="I23" t="s">
        <v>1381</v>
      </c>
      <c r="K23" s="66" t="s">
        <v>928</v>
      </c>
      <c r="M23" s="31" t="s">
        <v>1391</v>
      </c>
      <c r="N23" s="29" t="str">
        <f>Localization!B211</f>
        <v>Years of Service</v>
      </c>
      <c r="O23" s="29" t="str">
        <f>Localization!B215</f>
        <v>Plan Years with at least 1000 hours worked</v>
      </c>
      <c r="P23" s="66" t="s">
        <v>928</v>
      </c>
      <c r="R23">
        <v>3</v>
      </c>
      <c r="S23" t="s">
        <v>1393</v>
      </c>
      <c r="T23" t="str">
        <f>Localization!B222</f>
        <v>Planner</v>
      </c>
      <c r="U23" t="str">
        <f>Localization!B226</f>
        <v>Planner Calculations</v>
      </c>
      <c r="V23" t="s">
        <v>541</v>
      </c>
      <c r="W23" t="s">
        <v>853</v>
      </c>
      <c r="X23" s="29" t="s">
        <v>2324</v>
      </c>
      <c r="Y23" s="53" t="s">
        <v>366</v>
      </c>
      <c r="AA23">
        <v>3</v>
      </c>
      <c r="AB23" t="s">
        <v>1394</v>
      </c>
      <c r="AC23" t="str">
        <f>Localization!B230</f>
        <v>Term Vested</v>
      </c>
      <c r="AD23" t="str">
        <f>Localization!B235</f>
        <v>Term Vested Calculations</v>
      </c>
      <c r="AE23" t="s">
        <v>547</v>
      </c>
      <c r="AF23" s="53" t="s">
        <v>366</v>
      </c>
      <c r="AN23" s="53"/>
      <c r="AU23" s="53"/>
      <c r="AY23" s="53"/>
      <c r="BK23">
        <v>3</v>
      </c>
      <c r="BL23" t="str">
        <f>Localization!B243</f>
        <v>Estimate</v>
      </c>
      <c r="BQ23" t="s">
        <v>2471</v>
      </c>
      <c r="BR23" t="s">
        <v>334</v>
      </c>
      <c r="BS23" t="b">
        <f>[2]!GetProfileString("status","Status",,"Last")="AC"</f>
        <v>1</v>
      </c>
      <c r="BT23" s="53" t="s">
        <v>366</v>
      </c>
    </row>
    <row r="24" spans="1:72" x14ac:dyDescent="0.2">
      <c r="A24" t="s">
        <v>1397</v>
      </c>
      <c r="B24" s="31" t="str">
        <f>Localization!B182</f>
        <v>Plan Number</v>
      </c>
      <c r="C24" t="s">
        <v>1398</v>
      </c>
      <c r="E24" s="53" t="str">
        <f t="shared" si="0"/>
        <v>Y</v>
      </c>
      <c r="G24" s="31" t="s">
        <v>1285</v>
      </c>
      <c r="H24" s="31" t="str">
        <f>Localization!B200</f>
        <v>Social Security Online</v>
      </c>
      <c r="I24" s="106" t="str">
        <f>Localization!B202</f>
        <v>http://www.ssa.gov</v>
      </c>
      <c r="J24" t="str">
        <f>Localization!B201</f>
        <v>The Official Website of the U.S. Social Security Administration</v>
      </c>
      <c r="K24" s="53" t="s">
        <v>366</v>
      </c>
      <c r="M24" s="31" t="s">
        <v>1540</v>
      </c>
      <c r="N24" s="29" t="str">
        <f>Localization!B212</f>
        <v>Normal Retirement Date</v>
      </c>
      <c r="O24" s="29" t="str">
        <f>Localization!B216</f>
        <v>Age 65</v>
      </c>
      <c r="P24" s="66" t="s">
        <v>928</v>
      </c>
      <c r="R24">
        <v>4</v>
      </c>
      <c r="S24" t="s">
        <v>1400</v>
      </c>
      <c r="T24" t="str">
        <f>Localization!B223</f>
        <v>PPA</v>
      </c>
      <c r="U24" t="str">
        <f>Localization!B227</f>
        <v>PPA Calculations</v>
      </c>
      <c r="V24" t="s">
        <v>541</v>
      </c>
      <c r="X24" s="29" t="s">
        <v>2324</v>
      </c>
      <c r="Y24" s="53" t="s">
        <v>366</v>
      </c>
      <c r="AA24">
        <v>4</v>
      </c>
      <c r="AB24" t="s">
        <v>1401</v>
      </c>
      <c r="AC24" t="str">
        <f>Localization!B231</f>
        <v>Death</v>
      </c>
      <c r="AD24" t="str">
        <f>Localization!B236</f>
        <v>Death Calculations</v>
      </c>
      <c r="AE24" t="s">
        <v>547</v>
      </c>
      <c r="AF24" s="53" t="s">
        <v>366</v>
      </c>
      <c r="AN24" s="53"/>
      <c r="AU24" s="53"/>
      <c r="AY24" s="53"/>
      <c r="BK24">
        <v>5</v>
      </c>
      <c r="BL24" t="str">
        <f>Localization!B244</f>
        <v>Accrued Vested Benefit Calculation</v>
      </c>
      <c r="BS24" s="53"/>
    </row>
    <row r="25" spans="1:72" x14ac:dyDescent="0.2">
      <c r="A25" t="s">
        <v>1402</v>
      </c>
      <c r="B25" s="31" t="str">
        <f>Localization!B183</f>
        <v>Effective Date</v>
      </c>
      <c r="C25" s="44">
        <v>33239</v>
      </c>
      <c r="D25" s="44"/>
      <c r="E25" s="53" t="str">
        <f>IF(ISBLANK(C25),"N","Y/hide")</f>
        <v>Y/hide</v>
      </c>
      <c r="AA25">
        <v>5</v>
      </c>
      <c r="AB25" t="s">
        <v>1403</v>
      </c>
      <c r="AC25" t="str">
        <f>Localization!B232</f>
        <v>Disability</v>
      </c>
      <c r="AD25" t="str">
        <f>Localization!B237</f>
        <v>Disability Calculations</v>
      </c>
      <c r="AE25" t="s">
        <v>547</v>
      </c>
      <c r="AF25" s="53" t="s">
        <v>366</v>
      </c>
      <c r="BK25">
        <v>10</v>
      </c>
      <c r="BL25" t="str">
        <f>Localization!B245</f>
        <v>Benefit Calculation reviewed and approved</v>
      </c>
    </row>
    <row r="26" spans="1:72" x14ac:dyDescent="0.2">
      <c r="A26" t="s">
        <v>1404</v>
      </c>
      <c r="B26" s="31" t="str">
        <f>Localization!B184</f>
        <v>Plan Contact</v>
      </c>
      <c r="C26" t="s">
        <v>1025</v>
      </c>
      <c r="E26" s="53" t="str">
        <f t="shared" si="0"/>
        <v>Y</v>
      </c>
      <c r="BK26">
        <v>20</v>
      </c>
      <c r="BL26" t="str">
        <f>Localization!B246</f>
        <v>Package sent out to participant</v>
      </c>
    </row>
    <row r="27" spans="1:72" x14ac:dyDescent="0.2">
      <c r="A27" t="s">
        <v>1026</v>
      </c>
      <c r="B27" s="31" t="str">
        <f>Localization!B185</f>
        <v>Plan Contact Email</v>
      </c>
      <c r="C27" t="s">
        <v>1027</v>
      </c>
      <c r="D27" t="str">
        <f>"mailto:"&amp;C27</f>
        <v>mailto:onpoint@buckconsultants.com</v>
      </c>
      <c r="E27" s="53" t="str">
        <f t="shared" si="0"/>
        <v>Y</v>
      </c>
      <c r="BK27">
        <v>21</v>
      </c>
      <c r="BL27" t="str">
        <f>Localization!B247</f>
        <v>Letter sent out to participant Non Vested</v>
      </c>
    </row>
    <row r="28" spans="1:72" x14ac:dyDescent="0.2">
      <c r="A28" t="s">
        <v>1028</v>
      </c>
      <c r="B28" s="31" t="str">
        <f>Localization!B186</f>
        <v>Plan Contact Title</v>
      </c>
      <c r="C28" t="str">
        <f>Localization!B194</f>
        <v>Pension Plan Administrator</v>
      </c>
      <c r="E28" s="53" t="str">
        <f t="shared" si="0"/>
        <v>Y</v>
      </c>
      <c r="BK28">
        <v>22</v>
      </c>
      <c r="BL28" t="str">
        <f>Localization!B248</f>
        <v>Letter sent out to participant Terminated Vested</v>
      </c>
    </row>
    <row r="29" spans="1:72" x14ac:dyDescent="0.2">
      <c r="A29" t="s">
        <v>1030</v>
      </c>
      <c r="B29" s="31" t="str">
        <f>Localization!B187</f>
        <v>Plan Contact Phone</v>
      </c>
      <c r="C29" t="s">
        <v>1031</v>
      </c>
      <c r="E29" s="53" t="str">
        <f t="shared" si="0"/>
        <v>Y</v>
      </c>
      <c r="BK29">
        <v>23</v>
      </c>
      <c r="BL29" t="str">
        <f>Localization!B249</f>
        <v>Package undelivered due to invalid address</v>
      </c>
    </row>
    <row r="30" spans="1:72" x14ac:dyDescent="0.2">
      <c r="A30" t="s">
        <v>1032</v>
      </c>
      <c r="B30" s="31" t="str">
        <f>Localization!B188</f>
        <v>Tech Contact</v>
      </c>
      <c r="E30" s="53" t="str">
        <f t="shared" si="0"/>
        <v>N</v>
      </c>
      <c r="BK30">
        <v>30</v>
      </c>
      <c r="BL30" t="str">
        <f>Localization!B250</f>
        <v>Participant Election Form received</v>
      </c>
    </row>
    <row r="31" spans="1:72" x14ac:dyDescent="0.2">
      <c r="A31" t="s">
        <v>1033</v>
      </c>
      <c r="B31" s="31" t="str">
        <f>Localization!B189</f>
        <v>Tech Contact Email</v>
      </c>
      <c r="E31" s="53" t="str">
        <f t="shared" si="0"/>
        <v>N</v>
      </c>
      <c r="BK31">
        <v>40</v>
      </c>
      <c r="BL31" t="str">
        <f>Localization!B251</f>
        <v>Final Calculation Done</v>
      </c>
    </row>
    <row r="32" spans="1:72" x14ac:dyDescent="0.2">
      <c r="A32" t="s">
        <v>1034</v>
      </c>
      <c r="B32" s="31" t="str">
        <f>Localization!B190</f>
        <v>Tech Contact Phone</v>
      </c>
      <c r="E32" s="53" t="str">
        <f t="shared" si="0"/>
        <v>N</v>
      </c>
      <c r="BK32">
        <v>50</v>
      </c>
      <c r="BL32" t="str">
        <f>Localization!B252</f>
        <v>Payment Instructions sent out to Bank</v>
      </c>
    </row>
    <row r="33" spans="1:5" x14ac:dyDescent="0.2">
      <c r="A33" t="s">
        <v>957</v>
      </c>
      <c r="B33" s="31" t="str">
        <f>Localization!B191</f>
        <v>HR Phone</v>
      </c>
      <c r="C33" t="s">
        <v>1031</v>
      </c>
      <c r="E33" s="53" t="str">
        <f t="shared" si="0"/>
        <v>Y</v>
      </c>
    </row>
    <row r="34" spans="1:5" x14ac:dyDescent="0.2">
      <c r="A34" t="s">
        <v>958</v>
      </c>
      <c r="B34" s="31" t="str">
        <f>Localization!B192</f>
        <v>HR Fax Phone</v>
      </c>
      <c r="E34" s="53" t="str">
        <f t="shared" si="0"/>
        <v>N</v>
      </c>
    </row>
    <row r="36" spans="1:5" ht="13.5" thickBot="1" x14ac:dyDescent="0.25"/>
    <row r="37" spans="1:5" x14ac:dyDescent="0.2">
      <c r="A37" s="103" t="s">
        <v>788</v>
      </c>
      <c r="B37" s="104"/>
      <c r="C37" s="105"/>
      <c r="D37" s="105"/>
      <c r="E37" s="105"/>
    </row>
    <row r="38" spans="1:5" x14ac:dyDescent="0.2">
      <c r="A38" s="65" t="s">
        <v>930</v>
      </c>
      <c r="B38" s="65" t="s">
        <v>2020</v>
      </c>
      <c r="C38" s="65" t="s">
        <v>367</v>
      </c>
      <c r="D38" s="65" t="s">
        <v>2021</v>
      </c>
      <c r="E38" s="65" t="s">
        <v>355</v>
      </c>
    </row>
    <row r="39" spans="1:5" x14ac:dyDescent="0.2">
      <c r="A39" t="s">
        <v>1693</v>
      </c>
      <c r="B39" t="s">
        <v>1693</v>
      </c>
      <c r="C39" t="s">
        <v>28</v>
      </c>
      <c r="D39" s="53"/>
      <c r="E39" s="53" t="s">
        <v>928</v>
      </c>
    </row>
    <row r="40" spans="1:5" x14ac:dyDescent="0.2">
      <c r="A40" t="s">
        <v>1283</v>
      </c>
      <c r="B40" t="s">
        <v>1283</v>
      </c>
      <c r="C40" t="str">
        <f>Localization!B197</f>
        <v>AZI SUB Plan</v>
      </c>
      <c r="D40" s="53"/>
      <c r="E40" s="53" t="s">
        <v>928</v>
      </c>
    </row>
    <row r="41" spans="1:5" x14ac:dyDescent="0.2">
      <c r="A41" t="s">
        <v>1694</v>
      </c>
      <c r="B41" t="s">
        <v>1694</v>
      </c>
      <c r="C41" s="106" t="str">
        <f>Localization!B199</f>
        <v>https://www.myseverancebenefits.com/azi</v>
      </c>
      <c r="D41" s="106" t="str">
        <f>Localization!C199</f>
        <v>https://www.myseverancebenefits.com/azi/fr</v>
      </c>
      <c r="E41" s="53" t="s">
        <v>928</v>
      </c>
    </row>
    <row r="42" spans="1:5" x14ac:dyDescent="0.2">
      <c r="A42" t="s">
        <v>1695</v>
      </c>
      <c r="B42" t="s">
        <v>1695</v>
      </c>
      <c r="C42" t="s">
        <v>1696</v>
      </c>
      <c r="D42" s="53"/>
      <c r="E42" s="53" t="s">
        <v>928</v>
      </c>
    </row>
  </sheetData>
  <phoneticPr fontId="0" type="noConversion"/>
  <dataValidations count="1">
    <dataValidation type="list" showInputMessage="1" showErrorMessage="1" sqref="B3">
      <formula1>"Framework Lookup Tables"</formula1>
    </dataValidation>
  </dataValidations>
  <hyperlinks>
    <hyperlink ref="C41" r:id="rId1" display="https://www.benefitadmin.com/azi"/>
    <hyperlink ref="I24" r:id="rId2" display="http://www.ssa.gov"/>
    <hyperlink ref="D41" r:id="rId3" display="https://www.benefitadmin.com/azi"/>
  </hyperlinks>
  <pageMargins left="0.75" right="0.75" top="1" bottom="1" header="0.5" footer="0.5"/>
  <pageSetup orientation="portrait" horizontalDpi="4294967293" r:id="rId4"/>
  <headerFooter alignWithMargins="0"/>
  <legacyDrawing r:id="rId5"/>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CalcInputs">
    <tabColor theme="1"/>
  </sheetPr>
  <dimension ref="A1:X337"/>
  <sheetViews>
    <sheetView workbookViewId="0"/>
  </sheetViews>
  <sheetFormatPr defaultRowHeight="12.75" x14ac:dyDescent="0.2"/>
  <cols>
    <col min="1" max="1" width="27.140625" customWidth="1"/>
    <col min="2" max="2" width="17.140625" customWidth="1"/>
    <col min="3" max="3" width="12.28515625" customWidth="1"/>
    <col min="4" max="4" width="25" customWidth="1"/>
    <col min="5" max="5" width="22.85546875" customWidth="1"/>
    <col min="6" max="6" width="52.7109375" customWidth="1"/>
    <col min="7" max="7" width="14.42578125" customWidth="1"/>
    <col min="8" max="8" width="12.5703125" customWidth="1"/>
    <col min="9" max="9" width="13.5703125" customWidth="1"/>
    <col min="10" max="10" width="12.85546875" bestFit="1" customWidth="1"/>
    <col min="11" max="11" width="18.140625" bestFit="1" customWidth="1"/>
    <col min="12" max="12" width="12.140625" bestFit="1" customWidth="1"/>
    <col min="13" max="14" width="18.140625" bestFit="1" customWidth="1"/>
    <col min="15" max="15" width="15.5703125" bestFit="1" customWidth="1"/>
    <col min="16" max="16" width="14.42578125" customWidth="1"/>
    <col min="17" max="17" width="16.7109375" customWidth="1"/>
    <col min="18" max="18" width="18.140625" customWidth="1"/>
    <col min="19" max="20" width="18.140625" bestFit="1" customWidth="1"/>
    <col min="21" max="21" width="14" bestFit="1" customWidth="1"/>
    <col min="22" max="22" width="22.7109375" customWidth="1"/>
    <col min="23" max="24" width="255.7109375" bestFit="1" customWidth="1"/>
  </cols>
  <sheetData>
    <row r="1" spans="1:11" s="3" customFormat="1" ht="13.5" thickBot="1" x14ac:dyDescent="0.25">
      <c r="A1" s="59" t="s">
        <v>1148</v>
      </c>
      <c r="B1" s="60"/>
      <c r="C1" s="40"/>
      <c r="D1" s="40"/>
      <c r="E1" s="40"/>
      <c r="F1" s="40"/>
      <c r="G1" s="40"/>
      <c r="H1" s="40"/>
      <c r="I1" s="40"/>
      <c r="J1" s="40"/>
      <c r="K1" s="40"/>
    </row>
    <row r="2" spans="1:11" x14ac:dyDescent="0.2">
      <c r="A2" s="549" t="s">
        <v>209</v>
      </c>
      <c r="B2" s="550">
        <v>6</v>
      </c>
      <c r="C2" s="510"/>
      <c r="D2" s="510"/>
      <c r="E2" s="510"/>
      <c r="F2" s="510"/>
      <c r="G2" s="510"/>
      <c r="H2" s="510"/>
      <c r="I2" s="510"/>
      <c r="J2" s="510"/>
      <c r="K2" s="511"/>
    </row>
    <row r="3" spans="1:11" x14ac:dyDescent="0.2">
      <c r="A3" s="514" t="s">
        <v>1149</v>
      </c>
      <c r="B3" s="9" t="s">
        <v>1679</v>
      </c>
      <c r="C3" s="10"/>
      <c r="D3" s="10"/>
      <c r="E3" s="10"/>
      <c r="F3" s="10"/>
      <c r="G3" s="10"/>
      <c r="H3" s="10"/>
      <c r="I3" s="10"/>
      <c r="J3" s="10"/>
      <c r="K3" s="438"/>
    </row>
    <row r="4" spans="1:11" x14ac:dyDescent="0.2">
      <c r="A4" s="514" t="s">
        <v>903</v>
      </c>
      <c r="B4" s="10" t="s">
        <v>539</v>
      </c>
      <c r="C4" s="10"/>
      <c r="D4" s="10"/>
      <c r="E4" s="10"/>
      <c r="F4" s="10"/>
      <c r="G4" s="10"/>
      <c r="H4" s="10"/>
      <c r="I4" s="10"/>
      <c r="J4" s="10"/>
      <c r="K4" s="438"/>
    </row>
    <row r="5" spans="1:11" x14ac:dyDescent="0.2">
      <c r="A5" s="514" t="s">
        <v>904</v>
      </c>
      <c r="B5" s="551">
        <v>6</v>
      </c>
      <c r="C5" s="10"/>
      <c r="D5" s="10"/>
      <c r="E5" s="10"/>
      <c r="F5" s="10"/>
      <c r="G5" s="10"/>
      <c r="H5" s="10"/>
      <c r="I5" s="10"/>
      <c r="J5" s="10"/>
      <c r="K5" s="438"/>
    </row>
    <row r="6" spans="1:11" x14ac:dyDescent="0.2">
      <c r="A6" s="514" t="s">
        <v>905</v>
      </c>
      <c r="B6" s="10" t="s">
        <v>540</v>
      </c>
      <c r="C6" s="10"/>
      <c r="D6" s="10"/>
      <c r="E6" s="10"/>
      <c r="F6" s="10"/>
      <c r="G6" s="10"/>
      <c r="H6" s="10"/>
      <c r="I6" s="10"/>
      <c r="J6" s="10"/>
      <c r="K6" s="438"/>
    </row>
    <row r="7" spans="1:11" x14ac:dyDescent="0.2">
      <c r="A7" s="514" t="s">
        <v>1521</v>
      </c>
      <c r="B7" s="10"/>
      <c r="C7" s="10"/>
      <c r="D7" s="10"/>
      <c r="E7" s="10"/>
      <c r="F7" s="10"/>
      <c r="G7" s="10"/>
      <c r="H7" s="10"/>
      <c r="I7" s="10"/>
      <c r="J7" s="10"/>
      <c r="K7" s="438"/>
    </row>
    <row r="8" spans="1:11" x14ac:dyDescent="0.2">
      <c r="A8" s="514"/>
      <c r="B8" s="10"/>
      <c r="C8" s="10"/>
      <c r="D8" s="10"/>
      <c r="E8" s="10"/>
      <c r="F8" s="10"/>
      <c r="G8" s="10"/>
      <c r="H8" s="10"/>
      <c r="I8" s="10"/>
      <c r="J8" s="10"/>
      <c r="K8" s="438"/>
    </row>
    <row r="9" spans="1:11" x14ac:dyDescent="0.2">
      <c r="A9" s="514" t="s">
        <v>14</v>
      </c>
      <c r="B9" s="10"/>
      <c r="C9" s="10"/>
      <c r="D9" s="10"/>
      <c r="E9" s="10"/>
      <c r="F9" s="10"/>
      <c r="G9" s="10"/>
      <c r="H9" s="10"/>
      <c r="I9" s="10"/>
      <c r="J9" s="10"/>
      <c r="K9" s="438"/>
    </row>
    <row r="10" spans="1:11" x14ac:dyDescent="0.2">
      <c r="A10" s="512" t="s">
        <v>1921</v>
      </c>
      <c r="B10" s="10"/>
      <c r="C10" s="10"/>
      <c r="D10" s="10"/>
      <c r="E10" s="10"/>
      <c r="F10" s="10"/>
      <c r="G10" s="10"/>
      <c r="H10" s="10"/>
      <c r="I10" s="10"/>
      <c r="J10" s="10"/>
      <c r="K10" s="438"/>
    </row>
    <row r="11" spans="1:11" x14ac:dyDescent="0.2">
      <c r="A11" s="512" t="s">
        <v>1922</v>
      </c>
      <c r="B11" s="10"/>
      <c r="C11" s="10"/>
      <c r="D11" s="10"/>
      <c r="E11" s="10"/>
      <c r="F11" s="10"/>
      <c r="G11" s="10"/>
      <c r="H11" s="10"/>
      <c r="I11" s="10"/>
      <c r="J11" s="10"/>
      <c r="K11" s="438"/>
    </row>
    <row r="12" spans="1:11" x14ac:dyDescent="0.2">
      <c r="A12" s="512" t="s">
        <v>2608</v>
      </c>
      <c r="B12" s="10"/>
      <c r="C12" s="10"/>
      <c r="D12" s="10"/>
      <c r="E12" s="10"/>
      <c r="F12" s="10"/>
      <c r="G12" s="10"/>
      <c r="H12" s="10"/>
      <c r="I12" s="10"/>
      <c r="J12" s="10"/>
      <c r="K12" s="438"/>
    </row>
    <row r="13" spans="1:11" x14ac:dyDescent="0.2">
      <c r="A13" s="512" t="s">
        <v>2609</v>
      </c>
      <c r="B13" s="10"/>
      <c r="C13" s="10"/>
      <c r="D13" s="10"/>
      <c r="E13" s="10"/>
      <c r="F13" s="10"/>
      <c r="G13" s="10"/>
      <c r="H13" s="10"/>
      <c r="I13" s="10"/>
      <c r="J13" s="10"/>
      <c r="K13" s="438"/>
    </row>
    <row r="14" spans="1:11" x14ac:dyDescent="0.2">
      <c r="A14" s="512"/>
      <c r="B14" s="10"/>
      <c r="C14" s="10"/>
      <c r="D14" s="10"/>
      <c r="E14" s="10"/>
      <c r="F14" s="10"/>
      <c r="G14" s="10"/>
      <c r="H14" s="10"/>
      <c r="I14" s="10"/>
      <c r="J14" s="10"/>
      <c r="K14" s="438"/>
    </row>
    <row r="15" spans="1:11" x14ac:dyDescent="0.2">
      <c r="A15" s="554" t="s">
        <v>1931</v>
      </c>
      <c r="B15" s="10"/>
      <c r="C15" s="10"/>
      <c r="D15" s="10"/>
      <c r="E15" s="10"/>
      <c r="F15" s="10"/>
      <c r="G15" s="10"/>
      <c r="H15" s="10"/>
      <c r="I15" s="10"/>
      <c r="J15" s="10"/>
      <c r="K15" s="438"/>
    </row>
    <row r="16" spans="1:11" x14ac:dyDescent="0.2">
      <c r="A16" s="555" t="s">
        <v>1932</v>
      </c>
      <c r="B16" s="10"/>
      <c r="C16" s="10"/>
      <c r="D16" s="10"/>
      <c r="E16" s="10"/>
      <c r="F16" s="10"/>
      <c r="G16" s="10"/>
      <c r="H16" s="10"/>
      <c r="I16" s="10"/>
      <c r="J16" s="10"/>
      <c r="K16" s="438"/>
    </row>
    <row r="17" spans="1:14" x14ac:dyDescent="0.2">
      <c r="A17" s="556" t="s">
        <v>1934</v>
      </c>
      <c r="B17" s="10"/>
      <c r="C17" s="10"/>
      <c r="D17" s="10"/>
      <c r="E17" s="10"/>
      <c r="F17" s="10"/>
      <c r="G17" s="10"/>
      <c r="H17" s="10"/>
      <c r="I17" s="10"/>
      <c r="J17" s="10"/>
      <c r="K17" s="438"/>
    </row>
    <row r="18" spans="1:14" x14ac:dyDescent="0.2">
      <c r="A18" s="514"/>
      <c r="B18" s="10"/>
      <c r="C18" s="10"/>
      <c r="D18" s="10"/>
      <c r="E18" s="10"/>
      <c r="F18" s="10"/>
      <c r="G18" s="10"/>
      <c r="H18" s="10"/>
      <c r="I18" s="10"/>
      <c r="J18" s="10"/>
      <c r="K18" s="438"/>
    </row>
    <row r="19" spans="1:14" ht="15" x14ac:dyDescent="0.25">
      <c r="A19" s="552" t="s">
        <v>1938</v>
      </c>
      <c r="B19" s="10"/>
      <c r="C19" s="10"/>
      <c r="D19" s="10"/>
      <c r="E19" s="10"/>
      <c r="F19" s="10"/>
      <c r="G19" s="10"/>
      <c r="H19" s="10"/>
      <c r="I19" s="10"/>
      <c r="J19" s="10"/>
      <c r="K19" s="438"/>
    </row>
    <row r="20" spans="1:14" ht="15" x14ac:dyDescent="0.25">
      <c r="A20" s="552" t="s">
        <v>1933</v>
      </c>
      <c r="B20" s="10"/>
      <c r="C20" s="10"/>
      <c r="D20" s="10"/>
      <c r="E20" s="10"/>
      <c r="F20" s="10"/>
      <c r="G20" s="10"/>
      <c r="H20" s="10"/>
      <c r="I20" s="10"/>
      <c r="J20" s="10"/>
      <c r="K20" s="438"/>
    </row>
    <row r="21" spans="1:14" ht="15" x14ac:dyDescent="0.25">
      <c r="A21" s="552" t="s">
        <v>1935</v>
      </c>
      <c r="B21" s="10"/>
      <c r="C21" s="10"/>
      <c r="D21" s="10"/>
      <c r="E21" s="10"/>
      <c r="F21" s="10"/>
      <c r="G21" s="10"/>
      <c r="H21" s="10"/>
      <c r="I21" s="10"/>
      <c r="J21" s="10"/>
      <c r="K21" s="438"/>
    </row>
    <row r="22" spans="1:14" ht="15" x14ac:dyDescent="0.25">
      <c r="A22" s="552" t="s">
        <v>1936</v>
      </c>
      <c r="B22" s="10"/>
      <c r="C22" s="10"/>
      <c r="D22" s="10"/>
      <c r="E22" s="10"/>
      <c r="F22" s="10"/>
      <c r="G22" s="10"/>
      <c r="H22" s="10"/>
      <c r="I22" s="10"/>
      <c r="J22" s="10"/>
      <c r="K22" s="438"/>
    </row>
    <row r="23" spans="1:14" ht="15" x14ac:dyDescent="0.25">
      <c r="A23" s="552" t="s">
        <v>1937</v>
      </c>
      <c r="B23" s="10"/>
      <c r="C23" s="10"/>
      <c r="D23" s="10"/>
      <c r="E23" s="10"/>
      <c r="F23" s="10"/>
      <c r="G23" s="10"/>
      <c r="H23" s="10"/>
      <c r="I23" s="10"/>
      <c r="J23" s="10"/>
      <c r="K23" s="438"/>
    </row>
    <row r="24" spans="1:14" ht="13.5" thickBot="1" x14ac:dyDescent="0.25">
      <c r="A24" s="553"/>
      <c r="B24" s="513"/>
      <c r="C24" s="513"/>
      <c r="D24" s="513"/>
      <c r="E24" s="513"/>
      <c r="F24" s="513"/>
      <c r="G24" s="513"/>
      <c r="H24" s="513"/>
      <c r="I24" s="513"/>
      <c r="J24" s="513"/>
      <c r="K24" s="404"/>
    </row>
    <row r="25" spans="1:14" ht="13.5" thickBot="1" x14ac:dyDescent="0.25">
      <c r="A25" s="107"/>
    </row>
    <row r="26" spans="1:14" s="97" customFormat="1" x14ac:dyDescent="0.2">
      <c r="A26" s="109" t="s">
        <v>1680</v>
      </c>
      <c r="B26" s="110"/>
      <c r="C26" s="110"/>
      <c r="D26" s="110"/>
      <c r="E26" s="110"/>
      <c r="F26" s="110"/>
      <c r="G26" s="110"/>
      <c r="H26" s="110"/>
      <c r="I26" s="110"/>
      <c r="J26" s="110"/>
      <c r="K26" s="110"/>
      <c r="L26" s="110"/>
      <c r="M26" s="110"/>
      <c r="N26" s="111"/>
    </row>
    <row r="27" spans="1:14" s="61" customFormat="1" ht="13.5" thickBot="1" x14ac:dyDescent="0.25">
      <c r="A27" s="112" t="s">
        <v>1681</v>
      </c>
      <c r="B27" s="113" t="s">
        <v>1682</v>
      </c>
      <c r="C27" s="113" t="s">
        <v>1683</v>
      </c>
      <c r="D27" s="113" t="s">
        <v>338</v>
      </c>
      <c r="E27" s="114" t="s">
        <v>1684</v>
      </c>
      <c r="F27" s="114" t="s">
        <v>1151</v>
      </c>
      <c r="G27" s="115"/>
      <c r="H27" s="115"/>
      <c r="I27" s="115"/>
      <c r="J27" s="115"/>
      <c r="K27" s="115"/>
      <c r="L27" s="115"/>
      <c r="M27" s="115"/>
      <c r="N27" s="116"/>
    </row>
    <row r="28" spans="1:14" x14ac:dyDescent="0.2">
      <c r="A28" s="117" t="s">
        <v>1685</v>
      </c>
      <c r="B28" s="390"/>
      <c r="C28" s="118">
        <v>2</v>
      </c>
      <c r="D28" s="118" t="s">
        <v>1686</v>
      </c>
      <c r="E28" s="119" t="s">
        <v>1687</v>
      </c>
      <c r="F28" s="120" t="s">
        <v>1688</v>
      </c>
      <c r="G28" s="121"/>
      <c r="H28" s="121"/>
      <c r="I28" s="121"/>
      <c r="J28" s="121"/>
      <c r="K28" s="121"/>
      <c r="L28" s="121"/>
      <c r="M28" s="121"/>
      <c r="N28" s="122"/>
    </row>
    <row r="29" spans="1:14" s="67" customFormat="1" x14ac:dyDescent="0.2">
      <c r="A29" s="117" t="s">
        <v>1689</v>
      </c>
      <c r="B29" s="389"/>
      <c r="C29" s="118">
        <v>1</v>
      </c>
      <c r="D29" s="118" t="s">
        <v>1690</v>
      </c>
      <c r="E29" s="119" t="s">
        <v>1691</v>
      </c>
      <c r="F29" s="120" t="s">
        <v>655</v>
      </c>
      <c r="G29" s="121"/>
      <c r="H29" s="121"/>
      <c r="I29" s="121"/>
      <c r="J29" s="121"/>
      <c r="K29" s="121"/>
      <c r="L29" s="121"/>
      <c r="M29" s="121"/>
      <c r="N29" s="122"/>
    </row>
    <row r="30" spans="1:14" s="67" customFormat="1" x14ac:dyDescent="0.2">
      <c r="A30" s="117" t="s">
        <v>656</v>
      </c>
      <c r="B30" s="389"/>
      <c r="C30" s="118"/>
      <c r="D30" s="118" t="s">
        <v>238</v>
      </c>
      <c r="E30" s="119" t="s">
        <v>239</v>
      </c>
      <c r="F30" s="120" t="s">
        <v>886</v>
      </c>
      <c r="G30" s="121"/>
      <c r="H30" s="121"/>
      <c r="I30" s="121"/>
      <c r="J30" s="121"/>
      <c r="K30" s="121"/>
      <c r="L30" s="121"/>
      <c r="M30" s="121"/>
      <c r="N30" s="122"/>
    </row>
    <row r="31" spans="1:14" s="67" customFormat="1" x14ac:dyDescent="0.2">
      <c r="A31" s="117" t="s">
        <v>887</v>
      </c>
      <c r="B31" s="389"/>
      <c r="C31" s="118"/>
      <c r="D31" s="118" t="s">
        <v>888</v>
      </c>
      <c r="E31" s="119" t="s">
        <v>239</v>
      </c>
      <c r="F31" s="120" t="s">
        <v>1829</v>
      </c>
      <c r="G31" s="121"/>
      <c r="H31" s="121"/>
      <c r="I31" s="121"/>
      <c r="J31" s="121"/>
      <c r="K31" s="121"/>
      <c r="L31" s="121"/>
      <c r="M31" s="121"/>
      <c r="N31" s="122"/>
    </row>
    <row r="32" spans="1:14" s="67" customFormat="1" x14ac:dyDescent="0.2">
      <c r="A32" s="117" t="s">
        <v>1830</v>
      </c>
      <c r="B32" s="389"/>
      <c r="C32" s="118" t="s">
        <v>1831</v>
      </c>
      <c r="D32" s="118" t="s">
        <v>367</v>
      </c>
      <c r="E32" s="119" t="s">
        <v>1280</v>
      </c>
      <c r="F32" s="120" t="s">
        <v>1632</v>
      </c>
      <c r="G32" s="121"/>
      <c r="H32" s="121"/>
      <c r="I32" s="121"/>
      <c r="J32" s="121"/>
      <c r="K32" s="121"/>
      <c r="L32" s="121"/>
      <c r="M32" s="121"/>
      <c r="N32" s="122"/>
    </row>
    <row r="33" spans="1:14" s="67" customFormat="1" x14ac:dyDescent="0.2">
      <c r="A33" s="117" t="s">
        <v>1633</v>
      </c>
      <c r="B33" s="389"/>
      <c r="C33" s="118"/>
      <c r="D33" s="118" t="s">
        <v>367</v>
      </c>
      <c r="E33" s="119" t="s">
        <v>1280</v>
      </c>
      <c r="F33" s="120" t="s">
        <v>1559</v>
      </c>
      <c r="G33" s="121"/>
      <c r="H33" s="121"/>
      <c r="I33" s="121"/>
      <c r="J33" s="121"/>
      <c r="K33" s="121"/>
      <c r="L33" s="121"/>
      <c r="M33" s="121"/>
      <c r="N33" s="122"/>
    </row>
    <row r="34" spans="1:14" s="67" customFormat="1" x14ac:dyDescent="0.2">
      <c r="A34" s="117"/>
      <c r="B34" s="389"/>
      <c r="C34" s="118"/>
      <c r="D34" s="118"/>
      <c r="E34" s="119"/>
      <c r="F34" s="120" t="s">
        <v>1634</v>
      </c>
      <c r="G34" s="121"/>
      <c r="H34" s="121"/>
      <c r="I34" s="121"/>
      <c r="J34" s="121"/>
      <c r="K34" s="121"/>
      <c r="L34" s="121"/>
      <c r="M34" s="121"/>
      <c r="N34" s="122"/>
    </row>
    <row r="35" spans="1:14" s="67" customFormat="1" x14ac:dyDescent="0.2">
      <c r="A35" s="117" t="s">
        <v>1635</v>
      </c>
      <c r="B35" s="389"/>
      <c r="C35" s="118"/>
      <c r="D35" s="118" t="s">
        <v>367</v>
      </c>
      <c r="E35" s="119" t="s">
        <v>1691</v>
      </c>
      <c r="F35" s="120" t="s">
        <v>1636</v>
      </c>
      <c r="G35" s="121"/>
      <c r="H35" s="121"/>
      <c r="I35" s="121"/>
      <c r="J35" s="121"/>
      <c r="K35" s="121"/>
      <c r="L35" s="121"/>
      <c r="M35" s="121"/>
      <c r="N35" s="122"/>
    </row>
    <row r="36" spans="1:14" s="67" customFormat="1" x14ac:dyDescent="0.2">
      <c r="A36" s="117" t="s">
        <v>1637</v>
      </c>
      <c r="B36" s="389"/>
      <c r="C36" s="118"/>
      <c r="D36" s="118" t="s">
        <v>367</v>
      </c>
      <c r="E36" s="119" t="s">
        <v>1280</v>
      </c>
      <c r="F36" s="120" t="s">
        <v>1638</v>
      </c>
      <c r="G36" s="121"/>
      <c r="H36" s="121"/>
      <c r="I36" s="121"/>
      <c r="J36" s="121"/>
      <c r="K36" s="121"/>
      <c r="L36" s="121"/>
      <c r="M36" s="121"/>
      <c r="N36" s="122"/>
    </row>
    <row r="37" spans="1:14" s="67" customFormat="1" x14ac:dyDescent="0.2">
      <c r="A37" s="117" t="s">
        <v>1639</v>
      </c>
      <c r="B37" s="389"/>
      <c r="C37" s="118"/>
      <c r="D37" s="118" t="s">
        <v>1848</v>
      </c>
      <c r="E37" s="119" t="s">
        <v>1280</v>
      </c>
      <c r="F37" s="120" t="s">
        <v>854</v>
      </c>
      <c r="G37" s="121"/>
      <c r="H37" s="121"/>
      <c r="I37" s="121"/>
      <c r="J37" s="121"/>
      <c r="K37" s="121"/>
      <c r="L37" s="121"/>
      <c r="M37" s="121"/>
      <c r="N37" s="122"/>
    </row>
    <row r="38" spans="1:14" s="67" customFormat="1" ht="13.5" thickBot="1" x14ac:dyDescent="0.25">
      <c r="A38" s="123" t="s">
        <v>855</v>
      </c>
      <c r="B38" s="131"/>
      <c r="C38" s="124"/>
      <c r="D38" s="124" t="s">
        <v>367</v>
      </c>
      <c r="E38" s="125" t="s">
        <v>1280</v>
      </c>
      <c r="F38" s="126" t="s">
        <v>856</v>
      </c>
      <c r="G38" s="127"/>
      <c r="H38" s="127"/>
      <c r="I38" s="127"/>
      <c r="J38" s="127"/>
      <c r="K38" s="127"/>
      <c r="L38" s="127"/>
      <c r="M38" s="127"/>
      <c r="N38" s="128"/>
    </row>
    <row r="39" spans="1:14" ht="13.5" thickBot="1" x14ac:dyDescent="0.25"/>
    <row r="40" spans="1:14" s="97" customFormat="1" x14ac:dyDescent="0.2">
      <c r="A40" s="109" t="s">
        <v>857</v>
      </c>
      <c r="B40" s="110"/>
      <c r="C40" s="110"/>
      <c r="D40" s="110"/>
      <c r="E40" s="110"/>
      <c r="F40" s="111"/>
    </row>
    <row r="41" spans="1:14" s="61" customFormat="1" ht="13.5" thickBot="1" x14ac:dyDescent="0.25">
      <c r="A41" s="112" t="s">
        <v>858</v>
      </c>
      <c r="B41" s="113" t="s">
        <v>859</v>
      </c>
      <c r="C41" s="129"/>
      <c r="D41" s="115"/>
      <c r="E41" s="115"/>
      <c r="F41" s="116"/>
    </row>
    <row r="42" spans="1:14" s="67" customFormat="1" x14ac:dyDescent="0.2">
      <c r="A42" s="117" t="str">
        <f>[2]!GetDataConfig("name-first")</f>
        <v>name-first</v>
      </c>
      <c r="B42" s="391" t="s">
        <v>1844</v>
      </c>
      <c r="C42" s="121"/>
      <c r="D42" s="121"/>
      <c r="E42" s="121"/>
      <c r="F42" s="122"/>
    </row>
    <row r="43" spans="1:14" s="67" customFormat="1" x14ac:dyDescent="0.2">
      <c r="A43" s="117" t="str">
        <f>[2]!GetDataConfig("name-last")</f>
        <v>name-last</v>
      </c>
      <c r="B43" s="391" t="s">
        <v>1843</v>
      </c>
      <c r="C43" s="121"/>
      <c r="D43" s="121"/>
      <c r="E43" s="121"/>
      <c r="F43" s="122"/>
    </row>
    <row r="44" spans="1:14" s="67" customFormat="1" x14ac:dyDescent="0.2">
      <c r="A44" s="117" t="str">
        <f>[2]!GetDataConfig("ssn")</f>
        <v>ssn</v>
      </c>
      <c r="B44" s="391">
        <v>123456789</v>
      </c>
      <c r="C44" s="121"/>
      <c r="D44" s="121"/>
      <c r="E44" s="121"/>
      <c r="F44" s="122"/>
    </row>
    <row r="45" spans="1:14" s="67" customFormat="1" x14ac:dyDescent="0.2">
      <c r="A45" s="117" t="str">
        <f>[2]!GetDataConfig("date-birth")</f>
        <v>date-birth</v>
      </c>
      <c r="B45" s="130">
        <v>26793</v>
      </c>
      <c r="C45" s="121"/>
      <c r="D45" s="121"/>
      <c r="E45" s="121"/>
      <c r="F45" s="122"/>
    </row>
    <row r="46" spans="1:14" s="67" customFormat="1" x14ac:dyDescent="0.2">
      <c r="A46" s="117" t="str">
        <f>[2]!GetDataConfig("date-hire")</f>
        <v>date-hire</v>
      </c>
      <c r="B46" s="130">
        <f>[2]!AddYears(B45,22)</f>
        <v>34828</v>
      </c>
      <c r="C46" s="121"/>
      <c r="D46" s="121"/>
      <c r="E46" s="121"/>
      <c r="F46" s="122"/>
    </row>
    <row r="47" spans="1:14" s="67" customFormat="1" x14ac:dyDescent="0.2">
      <c r="A47" s="117" t="str">
        <f>[2]!GetDataConfig("date-erd")</f>
        <v>date-erd</v>
      </c>
      <c r="B47" s="130">
        <f>[2]!AddYears(B45,65)</f>
        <v>50534</v>
      </c>
      <c r="C47" s="121"/>
      <c r="D47" s="121"/>
      <c r="E47" s="121"/>
      <c r="F47" s="122"/>
    </row>
    <row r="48" spans="1:14" s="67" customFormat="1" x14ac:dyDescent="0.2">
      <c r="A48" s="117" t="str">
        <f>[2]!GetDataConfig("status","Status",,"Last")</f>
        <v>[Status:Position{Last}]status</v>
      </c>
      <c r="B48" s="130" t="s">
        <v>931</v>
      </c>
      <c r="C48" s="121"/>
      <c r="D48" s="121"/>
      <c r="E48" s="121"/>
      <c r="F48" s="122"/>
    </row>
    <row r="49" spans="1:24" s="67" customFormat="1" ht="13.5" thickBot="1" x14ac:dyDescent="0.25">
      <c r="A49" s="123"/>
      <c r="B49" s="131"/>
      <c r="C49" s="127"/>
      <c r="D49" s="127"/>
      <c r="E49" s="127"/>
      <c r="F49" s="128"/>
    </row>
    <row r="50" spans="1:24" ht="13.5" thickBot="1" x14ac:dyDescent="0.25"/>
    <row r="51" spans="1:24" s="61" customFormat="1" x14ac:dyDescent="0.2">
      <c r="A51" s="109" t="s">
        <v>860</v>
      </c>
      <c r="B51" s="132" t="s">
        <v>861</v>
      </c>
      <c r="C51" s="110"/>
      <c r="D51" s="110"/>
      <c r="E51" s="110"/>
      <c r="F51" s="110"/>
      <c r="G51" s="110"/>
      <c r="H51" s="110"/>
      <c r="I51" s="110"/>
      <c r="J51" s="110"/>
      <c r="K51" s="110"/>
      <c r="L51" s="110"/>
      <c r="M51" s="110"/>
      <c r="N51" s="110"/>
      <c r="O51" s="110"/>
      <c r="P51" s="110"/>
      <c r="Q51" s="110"/>
      <c r="R51" s="110"/>
      <c r="S51" s="110"/>
      <c r="T51" s="110"/>
      <c r="U51" s="110"/>
      <c r="V51" s="110"/>
      <c r="W51" s="111"/>
    </row>
    <row r="52" spans="1:24" s="61" customFormat="1" ht="26.25" thickBot="1" x14ac:dyDescent="0.25">
      <c r="A52" s="112" t="s">
        <v>1681</v>
      </c>
      <c r="B52" s="113" t="s">
        <v>1682</v>
      </c>
      <c r="C52" s="133" t="s">
        <v>862</v>
      </c>
      <c r="D52" s="113" t="s">
        <v>863</v>
      </c>
      <c r="E52" s="114" t="s">
        <v>338</v>
      </c>
      <c r="F52" s="114" t="s">
        <v>356</v>
      </c>
      <c r="G52" s="113" t="s">
        <v>357</v>
      </c>
      <c r="H52" s="113" t="s">
        <v>358</v>
      </c>
      <c r="I52" s="133" t="s">
        <v>359</v>
      </c>
      <c r="J52" s="113" t="s">
        <v>864</v>
      </c>
      <c r="K52" s="133" t="s">
        <v>973</v>
      </c>
      <c r="L52" s="133" t="s">
        <v>360</v>
      </c>
      <c r="M52" s="134" t="s">
        <v>1376</v>
      </c>
      <c r="N52" s="134" t="s">
        <v>1377</v>
      </c>
      <c r="O52" s="134" t="s">
        <v>1378</v>
      </c>
      <c r="P52" s="134" t="s">
        <v>2001</v>
      </c>
      <c r="Q52" s="113" t="s">
        <v>865</v>
      </c>
      <c r="R52" s="113" t="s">
        <v>866</v>
      </c>
      <c r="S52" s="113" t="s">
        <v>867</v>
      </c>
      <c r="T52" s="113" t="s">
        <v>1565</v>
      </c>
      <c r="U52" s="113" t="s">
        <v>868</v>
      </c>
      <c r="V52" s="113" t="s">
        <v>921</v>
      </c>
      <c r="W52" s="135" t="s">
        <v>869</v>
      </c>
    </row>
    <row r="53" spans="1:24" s="67" customFormat="1" ht="12.75" customHeight="1" x14ac:dyDescent="0.2">
      <c r="A53" s="136" t="s">
        <v>870</v>
      </c>
      <c r="B53" s="137"/>
      <c r="C53" s="138">
        <v>65</v>
      </c>
      <c r="D53" s="10"/>
      <c r="E53" s="10" t="s">
        <v>1848</v>
      </c>
      <c r="F53" s="10" t="str">
        <f>Localization!B254</f>
        <v>What age do you wish to retire?</v>
      </c>
      <c r="G53" s="139">
        <f ca="1">MAX(55,ROUNDDOWN([2]!AgeAtDate([2]!GetProfileDate("date-birth"),TODAY()),0)+1)</f>
        <v>55</v>
      </c>
      <c r="H53" s="140">
        <f ca="1">MAX(65,ROUNDDOWN([2]!AgeAtDate([2]!GetProfileDate("date-birth"),TODAY()),0)+1)</f>
        <v>65</v>
      </c>
      <c r="I53" s="142"/>
      <c r="J53" s="10"/>
      <c r="K53" s="10"/>
      <c r="L53" s="142" t="s">
        <v>368</v>
      </c>
      <c r="M53" s="141"/>
      <c r="N53" s="141"/>
      <c r="O53" s="141"/>
      <c r="P53" s="141"/>
      <c r="Q53" s="142"/>
      <c r="R53" s="142"/>
      <c r="S53" s="142"/>
      <c r="T53" s="146"/>
      <c r="U53" s="146"/>
      <c r="V53" s="146"/>
      <c r="W53" s="395" t="str">
        <f>Localization!B304</f>
        <v>Enter the age at which you wish to begin receiving benefits from the plan. This should be an integer not less than your age at your next birth and not greater than 70.</v>
      </c>
      <c r="X53"/>
    </row>
    <row r="54" spans="1:24" s="67" customFormat="1" ht="12.75" customHeight="1" x14ac:dyDescent="0.2">
      <c r="A54" s="136" t="s">
        <v>761</v>
      </c>
      <c r="B54" s="143"/>
      <c r="C54" s="138">
        <v>1</v>
      </c>
      <c r="D54" s="10"/>
      <c r="E54" s="10" t="s">
        <v>762</v>
      </c>
      <c r="F54" s="10" t="str">
        <f>Localization!B255</f>
        <v>In planning for retirement what would you like to vary</v>
      </c>
      <c r="G54" s="144"/>
      <c r="H54" s="145"/>
      <c r="I54" s="142"/>
      <c r="J54" s="10"/>
      <c r="K54" s="10"/>
      <c r="L54" s="142" t="s">
        <v>368</v>
      </c>
      <c r="M54" s="146"/>
      <c r="N54" s="146"/>
      <c r="O54" s="146"/>
      <c r="P54" s="146"/>
      <c r="Q54" s="142"/>
      <c r="R54" s="142"/>
      <c r="S54" s="142"/>
      <c r="T54" s="146"/>
      <c r="U54" s="146"/>
      <c r="V54" s="146"/>
      <c r="W54" s="395" t="str">
        <f>Localization!B305</f>
        <v>Select the assumption you would like to vary - the expected rate of return or your savings rate - in order to meet your retirement goal.</v>
      </c>
      <c r="X54"/>
    </row>
    <row r="55" spans="1:24" s="67" customFormat="1" ht="12.75" customHeight="1" x14ac:dyDescent="0.2">
      <c r="A55" s="136" t="s">
        <v>765</v>
      </c>
      <c r="B55" s="143">
        <v>1</v>
      </c>
      <c r="C55" s="138">
        <v>1</v>
      </c>
      <c r="D55" s="10"/>
      <c r="E55" s="10" t="s">
        <v>766</v>
      </c>
      <c r="F55" s="10" t="str">
        <f>Localization!B256</f>
        <v>What Is Your Retirement Goal?</v>
      </c>
      <c r="G55" s="144"/>
      <c r="H55" s="145"/>
      <c r="I55" s="142"/>
      <c r="J55" s="10"/>
      <c r="K55" s="10"/>
      <c r="L55" s="142" t="s">
        <v>368</v>
      </c>
      <c r="M55" s="146"/>
      <c r="N55" s="146"/>
      <c r="O55" s="146"/>
      <c r="P55" s="146"/>
      <c r="Q55" s="142"/>
      <c r="R55" s="142"/>
      <c r="S55" s="142"/>
      <c r="T55" s="146"/>
      <c r="U55" s="146"/>
      <c r="V55" s="146"/>
      <c r="W55" s="395" t="str">
        <f>Localization!B306</f>
        <v>Select the goal you wish to achieve at retirement and the modeler will display either the rate of return or the savings rate required to meet that goal: Income Replacement Percentage - You can then enter the percentage of pay you hope to have replaced by combined retirement benefits at your selected retirement age. Accumulated Savings - You can then enter the amount you wish to have saved at your selected retirement age. Save a Million Dollars - Can you have a million dollars at retirement?</v>
      </c>
      <c r="X55"/>
    </row>
    <row r="56" spans="1:24" s="67" customFormat="1" ht="12.75" customHeight="1" x14ac:dyDescent="0.2">
      <c r="A56" s="136" t="s">
        <v>768</v>
      </c>
      <c r="B56" s="143"/>
      <c r="C56" s="138">
        <v>1000000</v>
      </c>
      <c r="D56" s="10"/>
      <c r="E56" s="10" t="s">
        <v>1118</v>
      </c>
      <c r="F56" s="10" t="str">
        <f>Localization!B257</f>
        <v>Enter Your Retirement Goal</v>
      </c>
      <c r="G56" s="144">
        <v>0</v>
      </c>
      <c r="H56" s="145">
        <v>10000000</v>
      </c>
      <c r="I56" s="142"/>
      <c r="J56" s="10"/>
      <c r="K56" s="10" t="s">
        <v>1450</v>
      </c>
      <c r="L56" s="142" t="s">
        <v>368</v>
      </c>
      <c r="M56" s="147"/>
      <c r="N56" s="147"/>
      <c r="O56" s="147"/>
      <c r="P56" s="147"/>
      <c r="Q56" s="142"/>
      <c r="R56" s="142"/>
      <c r="S56" s="142"/>
      <c r="T56" s="146"/>
      <c r="U56" s="146"/>
      <c r="V56" s="146"/>
      <c r="W56" s="395" t="str">
        <f>Localization!B307</f>
        <v>Enter the amount of savings that you'd like to accumulate for retirement. Note, this will be the total of all account based retirement plans offered by the Bank.</v>
      </c>
      <c r="X56"/>
    </row>
    <row r="57" spans="1:24" s="67" customFormat="1" ht="12.75" customHeight="1" x14ac:dyDescent="0.2">
      <c r="A57" s="136" t="s">
        <v>739</v>
      </c>
      <c r="B57" s="143"/>
      <c r="C57" s="138">
        <v>80</v>
      </c>
      <c r="D57" s="10"/>
      <c r="E57" s="10" t="s">
        <v>1848</v>
      </c>
      <c r="F57" s="10" t="str">
        <f>Localization!B258</f>
        <v>Enter Your Retirement Goal</v>
      </c>
      <c r="G57" s="144">
        <v>0</v>
      </c>
      <c r="H57" s="145">
        <v>200</v>
      </c>
      <c r="I57" s="142"/>
      <c r="J57" s="10"/>
      <c r="K57" s="10"/>
      <c r="L57" s="142" t="s">
        <v>368</v>
      </c>
      <c r="M57" s="147"/>
      <c r="N57" s="147"/>
      <c r="O57" s="147"/>
      <c r="P57" s="147"/>
      <c r="Q57" s="142"/>
      <c r="R57" s="142"/>
      <c r="S57" s="142"/>
      <c r="T57" s="146"/>
      <c r="U57" s="146"/>
      <c r="V57" s="146"/>
      <c r="W57" s="395" t="str">
        <f>Localization!B308</f>
        <v>Enter the percent of your income that you'd like to be able to continue in retirement. For example if you are making $50,000 and want to have $40,000 in retirement income you would enter 80.  Enter as an integer, example, for 80% you would enter 80.</v>
      </c>
      <c r="X57"/>
    </row>
    <row r="58" spans="1:24" s="156" customFormat="1" ht="12.75" customHeight="1" x14ac:dyDescent="0.2">
      <c r="A58" s="148" t="s">
        <v>741</v>
      </c>
      <c r="B58" s="149"/>
      <c r="C58" s="150"/>
      <c r="D58" s="151"/>
      <c r="E58" s="151" t="s">
        <v>742</v>
      </c>
      <c r="F58" s="10" t="str">
        <f>Localization!B259</f>
        <v>Would you like to model additional retirement ages?</v>
      </c>
      <c r="G58" s="152"/>
      <c r="H58" s="153"/>
      <c r="I58" s="155"/>
      <c r="J58" s="150"/>
      <c r="K58" s="150"/>
      <c r="L58" s="155"/>
      <c r="M58" s="154"/>
      <c r="N58" s="154"/>
      <c r="O58" s="154"/>
      <c r="P58" s="154"/>
      <c r="Q58" s="155"/>
      <c r="R58" s="150"/>
      <c r="S58" s="150"/>
      <c r="T58" s="181"/>
      <c r="U58" s="181"/>
      <c r="V58" s="181"/>
      <c r="W58" s="396"/>
      <c r="X58"/>
    </row>
    <row r="59" spans="1:24" ht="12.75" customHeight="1" x14ac:dyDescent="0.2">
      <c r="A59" s="136" t="s">
        <v>744</v>
      </c>
      <c r="B59" s="157"/>
      <c r="C59" s="158"/>
      <c r="D59" s="10"/>
      <c r="E59" s="10" t="s">
        <v>2051</v>
      </c>
      <c r="F59" s="10" t="str">
        <f>Localization!B260</f>
        <v>Date of Death</v>
      </c>
      <c r="G59" s="159">
        <f>[2]!AddYears( [2]!GetProfileDate("date-birth"),18 )</f>
        <v>33367</v>
      </c>
      <c r="H59" s="160">
        <f ca="1">TODAY()</f>
        <v>42583</v>
      </c>
      <c r="I59" s="155"/>
      <c r="J59" s="150"/>
      <c r="K59" s="150"/>
      <c r="L59" s="165" t="s">
        <v>368</v>
      </c>
      <c r="M59" s="161"/>
      <c r="N59" s="161"/>
      <c r="O59" s="161"/>
      <c r="P59" s="161"/>
      <c r="Q59" s="155" t="s">
        <v>745</v>
      </c>
      <c r="R59" s="155" t="s">
        <v>746</v>
      </c>
      <c r="S59" s="155"/>
      <c r="T59" s="181"/>
      <c r="U59" s="181"/>
      <c r="V59" s="181"/>
      <c r="W59" s="395" t="str">
        <f>Localization!B309</f>
        <v>Enter the date of death. Format: mm/dd/yyyy.</v>
      </c>
    </row>
    <row r="60" spans="1:24" ht="12.75" customHeight="1" x14ac:dyDescent="0.2">
      <c r="A60" s="136" t="s">
        <v>748</v>
      </c>
      <c r="B60" s="157"/>
      <c r="C60" s="158"/>
      <c r="D60" s="10"/>
      <c r="E60" s="10" t="s">
        <v>2051</v>
      </c>
      <c r="F60" s="10" t="str">
        <f>Localization!B261</f>
        <v>Date of Disability</v>
      </c>
      <c r="G60" s="159">
        <f>[2]!GetProfileDate("date-hire")</f>
        <v>34828</v>
      </c>
      <c r="H60" s="162">
        <f>[2]!AddYears( [2]!GetProfileDate("date-birth"),75 )</f>
        <v>54187</v>
      </c>
      <c r="I60" s="155"/>
      <c r="J60" s="150"/>
      <c r="K60" s="150"/>
      <c r="L60" s="165" t="s">
        <v>368</v>
      </c>
      <c r="M60" s="163"/>
      <c r="N60" s="163"/>
      <c r="O60" s="163"/>
      <c r="P60" s="163"/>
      <c r="Q60" s="155" t="s">
        <v>745</v>
      </c>
      <c r="R60" s="155" t="s">
        <v>746</v>
      </c>
      <c r="S60" s="155"/>
      <c r="T60" s="181"/>
      <c r="U60" s="181"/>
      <c r="V60" s="181"/>
      <c r="W60" s="395" t="str">
        <f>Localization!B310</f>
        <v>Enter the date of disability. Format: mm/dd/yyyy.</v>
      </c>
    </row>
    <row r="61" spans="1:24" ht="12.75" customHeight="1" x14ac:dyDescent="0.2">
      <c r="A61" s="136" t="s">
        <v>751</v>
      </c>
      <c r="B61" s="157"/>
      <c r="C61" s="158">
        <v>65</v>
      </c>
      <c r="D61" s="243">
        <f>[2]!GetProfileDate("date-term")</f>
        <v>42583</v>
      </c>
      <c r="E61" s="10" t="s">
        <v>752</v>
      </c>
      <c r="F61" s="10" t="str">
        <f>Localization!B262</f>
        <v>Date/Age of Termination</v>
      </c>
      <c r="G61" s="164">
        <f ca="1">TODAY()</f>
        <v>42583</v>
      </c>
      <c r="H61" s="162">
        <f ca="1">MAX([2]!AddYears(TODAY(), 5 ), [2]!AddYears( [2]!GetProfileDate("date-birth"), 65 ))</f>
        <v>50534</v>
      </c>
      <c r="I61" s="155"/>
      <c r="J61" s="150"/>
      <c r="K61" s="150"/>
      <c r="L61" s="165" t="s">
        <v>368</v>
      </c>
      <c r="M61" s="163"/>
      <c r="N61" s="163"/>
      <c r="O61" s="163"/>
      <c r="P61" s="163"/>
      <c r="Q61" s="155"/>
      <c r="R61" s="155"/>
      <c r="S61" s="155"/>
      <c r="T61" s="181"/>
      <c r="U61" s="181"/>
      <c r="V61" s="181"/>
      <c r="W61" s="395" t="str">
        <f>Localization!B311</f>
        <v>Enter the date (in the format m/d/yyyy) or age (whole numbers only) that you think you will terminate from the company.</v>
      </c>
    </row>
    <row r="62" spans="1:24" ht="12.75" customHeight="1" x14ac:dyDescent="0.2">
      <c r="A62" s="136" t="s">
        <v>745</v>
      </c>
      <c r="B62" s="157"/>
      <c r="C62" s="158">
        <v>65</v>
      </c>
      <c r="D62" s="10"/>
      <c r="E62" s="10" t="s">
        <v>752</v>
      </c>
      <c r="F62" s="10" t="str">
        <f>Localization!B263</f>
        <v>Date/Age of Benefit Commencement</v>
      </c>
      <c r="G62" s="159">
        <f ca="1">MAX(TODAY(), [2]!GetProfileDate("date-erd"))</f>
        <v>50534</v>
      </c>
      <c r="H62" s="162">
        <f ca="1">MAX([2]!GetProfileDate("date-erd"), MAX([2]!AddYears( TODAY(),5 ), [2]!AddYears( [2]!GetProfileDate("date-birth"),65 )))</f>
        <v>50534</v>
      </c>
      <c r="I62" s="155"/>
      <c r="J62" s="150"/>
      <c r="K62" s="150"/>
      <c r="L62" s="165" t="s">
        <v>368</v>
      </c>
      <c r="M62" s="163"/>
      <c r="N62" s="163"/>
      <c r="O62" s="163"/>
      <c r="P62" s="163"/>
      <c r="Q62" s="165" t="s">
        <v>751</v>
      </c>
      <c r="R62" s="155" t="s">
        <v>746</v>
      </c>
      <c r="S62" s="155" t="s">
        <v>366</v>
      </c>
      <c r="T62" s="181"/>
      <c r="U62" s="181"/>
      <c r="V62" s="181"/>
      <c r="W62" s="395" t="str">
        <f>Localization!B312</f>
        <v>Enter the date (in the format m/d/yyyy) or age (whole numbers only) that you wish to commence receiving benefits. Please note, this must be later than both 'early retirement date' and your current age.</v>
      </c>
    </row>
    <row r="63" spans="1:24" s="156" customFormat="1" ht="12.75" customHeight="1" x14ac:dyDescent="0.2">
      <c r="A63" s="148" t="s">
        <v>1784</v>
      </c>
      <c r="B63" s="149"/>
      <c r="C63" s="150"/>
      <c r="D63" s="151"/>
      <c r="E63" s="151" t="s">
        <v>742</v>
      </c>
      <c r="F63" s="10" t="str">
        <f>Localization!B264</f>
        <v>Show all input assumptions?</v>
      </c>
      <c r="G63" s="152"/>
      <c r="H63" s="153"/>
      <c r="I63" s="155"/>
      <c r="J63" s="150"/>
      <c r="K63" s="150"/>
      <c r="L63" s="155"/>
      <c r="M63" s="154"/>
      <c r="N63" s="154"/>
      <c r="O63" s="154"/>
      <c r="P63" s="154"/>
      <c r="Q63" s="155"/>
      <c r="R63" s="150"/>
      <c r="S63" s="150"/>
      <c r="T63" s="181"/>
      <c r="U63" s="181"/>
      <c r="V63" s="181"/>
      <c r="W63" s="396"/>
      <c r="X63"/>
    </row>
    <row r="64" spans="1:24" ht="12.75" customHeight="1" x14ac:dyDescent="0.2">
      <c r="A64" s="136" t="s">
        <v>793</v>
      </c>
      <c r="B64" s="166"/>
      <c r="C64" s="167">
        <v>0</v>
      </c>
      <c r="D64" s="10">
        <f>[2]!GetProfileNumber("pay","Pay",,"Last")</f>
        <v>0</v>
      </c>
      <c r="E64" s="10" t="s">
        <v>1118</v>
      </c>
      <c r="F64" s="10" t="str">
        <f>Localization!B273</f>
        <v>Current Year's Pay</v>
      </c>
      <c r="G64" s="168">
        <v>0</v>
      </c>
      <c r="H64" s="169">
        <v>99999999</v>
      </c>
      <c r="I64" s="155"/>
      <c r="J64" s="150">
        <v>5000</v>
      </c>
      <c r="K64" s="151" t="s">
        <v>1451</v>
      </c>
      <c r="L64" s="150"/>
      <c r="M64" s="170"/>
      <c r="N64" s="170"/>
      <c r="O64" s="170"/>
      <c r="P64" s="170"/>
      <c r="Q64" s="150"/>
      <c r="R64" s="150"/>
      <c r="S64" s="150"/>
      <c r="T64" s="181"/>
      <c r="U64" s="181"/>
      <c r="V64" s="181"/>
      <c r="W64" s="395" t="str">
        <f>Localization!B321</f>
        <v>Enter your current year's pay in the format of 0.00 - Note this will apply to the current calendar year.</v>
      </c>
    </row>
    <row r="65" spans="1:24" s="156" customFormat="1" ht="12.75" customHeight="1" x14ac:dyDescent="0.2">
      <c r="A65" s="148" t="s">
        <v>796</v>
      </c>
      <c r="B65" s="166"/>
      <c r="C65" s="167">
        <v>0</v>
      </c>
      <c r="D65" s="151">
        <f>[2]!GetProfileNumber("hours","Pay",,"Last")</f>
        <v>0</v>
      </c>
      <c r="E65" s="150" t="s">
        <v>1546</v>
      </c>
      <c r="F65" s="10" t="str">
        <f>Localization!B274</f>
        <v>Current Year's Hours</v>
      </c>
      <c r="G65" s="168">
        <v>0</v>
      </c>
      <c r="H65" s="169">
        <v>4000</v>
      </c>
      <c r="I65" s="165" t="s">
        <v>374</v>
      </c>
      <c r="J65" s="150">
        <v>20</v>
      </c>
      <c r="K65" s="151" t="s">
        <v>2160</v>
      </c>
      <c r="L65" s="150"/>
      <c r="M65" s="170"/>
      <c r="N65" s="170"/>
      <c r="O65" s="170"/>
      <c r="P65" s="170"/>
      <c r="Q65" s="150"/>
      <c r="R65" s="150"/>
      <c r="S65" s="150"/>
      <c r="T65" s="181"/>
      <c r="U65" s="181"/>
      <c r="V65" s="181"/>
      <c r="W65" s="395" t="str">
        <f>Localization!B322</f>
        <v>Enter your current year's hours in the format of 0.00 - Note this will apply to the current calendar year.</v>
      </c>
      <c r="X65"/>
    </row>
    <row r="66" spans="1:24" s="156" customFormat="1" ht="12.75" customHeight="1" x14ac:dyDescent="0.2">
      <c r="A66" s="148" t="s">
        <v>799</v>
      </c>
      <c r="B66" s="171"/>
      <c r="C66" s="172">
        <v>0</v>
      </c>
      <c r="D66" s="151"/>
      <c r="E66" s="10" t="s">
        <v>1118</v>
      </c>
      <c r="F66" s="10" t="str">
        <f>Localization!B275</f>
        <v>Final Year's Pay</v>
      </c>
      <c r="G66" s="168">
        <v>0</v>
      </c>
      <c r="H66" s="169">
        <v>99999999</v>
      </c>
      <c r="I66" s="155"/>
      <c r="J66" s="150">
        <v>5000</v>
      </c>
      <c r="K66" s="151" t="s">
        <v>1451</v>
      </c>
      <c r="L66" s="150"/>
      <c r="M66" s="170"/>
      <c r="N66" s="170"/>
      <c r="O66" s="170"/>
      <c r="P66" s="170"/>
      <c r="Q66" s="150"/>
      <c r="R66" s="150"/>
      <c r="S66" s="150"/>
      <c r="T66" s="181"/>
      <c r="U66" s="181"/>
      <c r="V66" s="181"/>
      <c r="W66" s="395" t="str">
        <f>Localization!B323</f>
        <v>Enter the final pay for the year of termination.</v>
      </c>
      <c r="X66"/>
    </row>
    <row r="67" spans="1:24" s="156" customFormat="1" ht="12.75" customHeight="1" x14ac:dyDescent="0.2">
      <c r="A67" s="148" t="s">
        <v>802</v>
      </c>
      <c r="B67" s="171"/>
      <c r="C67" s="172">
        <v>0</v>
      </c>
      <c r="D67" s="151"/>
      <c r="E67" s="150" t="s">
        <v>1546</v>
      </c>
      <c r="F67" s="10" t="str">
        <f>Localization!B276</f>
        <v>Final Year's Hours</v>
      </c>
      <c r="G67" s="168">
        <v>0</v>
      </c>
      <c r="H67" s="169">
        <v>4000</v>
      </c>
      <c r="I67" s="155"/>
      <c r="J67" s="150">
        <v>20</v>
      </c>
      <c r="K67" s="151" t="s">
        <v>2160</v>
      </c>
      <c r="L67" s="150"/>
      <c r="M67" s="170"/>
      <c r="N67" s="170"/>
      <c r="O67" s="170"/>
      <c r="P67" s="170"/>
      <c r="Q67" s="150"/>
      <c r="R67" s="150"/>
      <c r="S67" s="150"/>
      <c r="T67" s="181"/>
      <c r="U67" s="181"/>
      <c r="V67" s="181"/>
      <c r="W67" s="395" t="str">
        <f>Localization!B324</f>
        <v>Enter the total hours worked in the year of terminaton.</v>
      </c>
      <c r="X67"/>
    </row>
    <row r="68" spans="1:24" ht="12.75" customHeight="1" x14ac:dyDescent="0.2">
      <c r="A68" s="136" t="s">
        <v>805</v>
      </c>
      <c r="B68" s="173"/>
      <c r="C68" s="174">
        <v>4</v>
      </c>
      <c r="D68" s="10"/>
      <c r="E68" s="10" t="s">
        <v>1546</v>
      </c>
      <c r="F68" s="10" t="str">
        <f>Localization!B277</f>
        <v>Estimated Annual Increase in Pay</v>
      </c>
      <c r="G68" s="168">
        <v>0</v>
      </c>
      <c r="H68" s="169">
        <v>10</v>
      </c>
      <c r="I68" s="155"/>
      <c r="J68" s="150">
        <v>0.25</v>
      </c>
      <c r="K68" s="151" t="s">
        <v>2160</v>
      </c>
      <c r="L68" s="155"/>
      <c r="M68" s="170"/>
      <c r="N68" s="170"/>
      <c r="O68" s="170"/>
      <c r="P68" s="170"/>
      <c r="Q68" s="155"/>
      <c r="R68" s="155"/>
      <c r="S68" s="155"/>
      <c r="T68" s="181"/>
      <c r="U68" s="181"/>
      <c r="V68" s="181"/>
      <c r="W68" s="395" t="str">
        <f>Localization!B325</f>
        <v>Enter the rate (without the percent sign) you think your annual salary will increase each year. For example, enter 3.25 for 3.25%.  This value must be between {MinValue}% and {MaxValue}%.</v>
      </c>
    </row>
    <row r="69" spans="1:24" ht="12.75" customHeight="1" x14ac:dyDescent="0.2">
      <c r="A69" s="136" t="s">
        <v>808</v>
      </c>
      <c r="B69" s="166">
        <v>15000</v>
      </c>
      <c r="C69" s="167">
        <v>0</v>
      </c>
      <c r="D69" s="10"/>
      <c r="E69" s="10" t="s">
        <v>1118</v>
      </c>
      <c r="F69" s="10" t="str">
        <f>Localization!B278</f>
        <v>Current 401(k) Plan Balance</v>
      </c>
      <c r="G69" s="168">
        <v>0</v>
      </c>
      <c r="H69" s="169">
        <v>99999999</v>
      </c>
      <c r="I69" s="155"/>
      <c r="J69" s="150">
        <v>5000</v>
      </c>
      <c r="K69" s="151" t="s">
        <v>1451</v>
      </c>
      <c r="L69" s="150"/>
      <c r="M69" s="170"/>
      <c r="N69" s="170"/>
      <c r="O69" s="170" t="b">
        <f>MOD(B69,10000)=0</f>
        <v>0</v>
      </c>
      <c r="P69" s="170"/>
      <c r="Q69" s="150"/>
      <c r="R69" s="150"/>
      <c r="S69" s="150"/>
      <c r="T69" s="181"/>
      <c r="U69" s="182" t="str">
        <f>Localization!B303</f>
        <v>Please provide a numeric value (0.00) less than {Max} and it should be increments of 10,000.00.</v>
      </c>
      <c r="V69" s="182"/>
      <c r="W69" s="395" t="str">
        <f>Localization!B326</f>
        <v>Enter the current balance of your 401(k) account.</v>
      </c>
    </row>
    <row r="70" spans="1:24" ht="12.75" customHeight="1" x14ac:dyDescent="0.2">
      <c r="A70" s="136" t="s">
        <v>1569</v>
      </c>
      <c r="B70" s="173"/>
      <c r="C70" s="174">
        <v>5</v>
      </c>
      <c r="D70" s="10"/>
      <c r="E70" s="10" t="s">
        <v>1546</v>
      </c>
      <c r="F70" s="10" t="str">
        <f>Localization!B279</f>
        <v>Estimated Annual Return on 401(k) Account</v>
      </c>
      <c r="G70" s="168">
        <v>0</v>
      </c>
      <c r="H70" s="169">
        <v>20</v>
      </c>
      <c r="I70" s="155"/>
      <c r="J70" s="150">
        <v>0.25</v>
      </c>
      <c r="K70" s="151" t="s">
        <v>2160</v>
      </c>
      <c r="L70" s="155"/>
      <c r="M70" s="170"/>
      <c r="N70" s="170"/>
      <c r="O70" s="170"/>
      <c r="P70" s="170"/>
      <c r="Q70" s="155"/>
      <c r="R70" s="155"/>
      <c r="S70" s="155"/>
      <c r="T70" s="181"/>
      <c r="U70" s="181"/>
      <c r="V70" s="181"/>
      <c r="W70" s="395" t="str">
        <f>Localization!B327</f>
        <v>Enter the average annual rate of return you expect your investements in the 401(k) plan to earn each year. This value must be between {MinValue}% and {MaxValue}%.</v>
      </c>
    </row>
    <row r="71" spans="1:24" ht="12.75" customHeight="1" x14ac:dyDescent="0.2">
      <c r="A71" s="136" t="s">
        <v>2006</v>
      </c>
      <c r="B71" s="166"/>
      <c r="C71" s="167">
        <v>5</v>
      </c>
      <c r="D71" s="10"/>
      <c r="E71" s="10" t="s">
        <v>1546</v>
      </c>
      <c r="F71" s="10" t="str">
        <f>Localization!B280</f>
        <v>Employee Deferral to 401(k) Plan as a Percentage of Pay</v>
      </c>
      <c r="G71" s="168">
        <v>0</v>
      </c>
      <c r="H71" s="169">
        <v>20</v>
      </c>
      <c r="I71" s="155"/>
      <c r="J71" s="150">
        <v>0.25</v>
      </c>
      <c r="K71" s="151" t="s">
        <v>2160</v>
      </c>
      <c r="L71" s="150"/>
      <c r="M71" s="170"/>
      <c r="N71" s="170"/>
      <c r="O71" s="170"/>
      <c r="P71" s="170"/>
      <c r="Q71" s="150"/>
      <c r="R71" s="150"/>
      <c r="S71" s="150"/>
      <c r="T71" s="181"/>
      <c r="U71" s="181"/>
      <c r="V71" s="181"/>
      <c r="W71" s="395" t="str">
        <f>Localization!B328</f>
        <v>Enter the percentage of your annual pay that you expect to contribute to the 401(k) plan each year. This value must be between {MinValue}% and {MaxValue}%.</v>
      </c>
    </row>
    <row r="72" spans="1:24" s="156" customFormat="1" ht="12.75" customHeight="1" x14ac:dyDescent="0.2">
      <c r="A72" s="175" t="s">
        <v>108</v>
      </c>
      <c r="B72" s="149"/>
      <c r="C72" s="150"/>
      <c r="D72" s="151" t="str">
        <f>[2]!GetProfileString("name-first-ben")</f>
        <v>[name-first-ben]</v>
      </c>
      <c r="E72" s="151" t="s">
        <v>367</v>
      </c>
      <c r="F72" s="10" t="str">
        <f>Localization!B281</f>
        <v>Beneficiary's First Name</v>
      </c>
      <c r="G72" s="152"/>
      <c r="H72" s="153"/>
      <c r="I72" s="155"/>
      <c r="J72" s="150"/>
      <c r="K72" s="150"/>
      <c r="L72" s="150"/>
      <c r="M72" s="176"/>
      <c r="N72" s="176"/>
      <c r="O72" s="176"/>
      <c r="P72" s="176"/>
      <c r="Q72" s="150"/>
      <c r="R72" s="150"/>
      <c r="S72" s="150"/>
      <c r="T72" s="181"/>
      <c r="U72" s="181"/>
      <c r="V72" s="181"/>
      <c r="W72" s="395" t="str">
        <f>Localization!B329</f>
        <v>Enter/Verify the first name of the beneficiary.</v>
      </c>
      <c r="X72"/>
    </row>
    <row r="73" spans="1:24" s="156" customFormat="1" ht="12.75" customHeight="1" x14ac:dyDescent="0.2">
      <c r="A73" s="175" t="s">
        <v>111</v>
      </c>
      <c r="B73" s="149"/>
      <c r="C73" s="150"/>
      <c r="D73" s="151" t="str">
        <f>[2]!GetProfileString("name-last-ben")</f>
        <v>[name-last-ben]</v>
      </c>
      <c r="E73" s="151" t="s">
        <v>367</v>
      </c>
      <c r="F73" s="10" t="str">
        <f>Localization!B282</f>
        <v>Beneficiary's Last Name</v>
      </c>
      <c r="G73" s="152"/>
      <c r="H73" s="153"/>
      <c r="I73" s="155"/>
      <c r="J73" s="150"/>
      <c r="K73" s="150"/>
      <c r="L73" s="150"/>
      <c r="M73" s="176"/>
      <c r="N73" s="176"/>
      <c r="O73" s="176"/>
      <c r="P73" s="176"/>
      <c r="Q73" s="150"/>
      <c r="R73" s="150"/>
      <c r="S73" s="150"/>
      <c r="T73" s="181"/>
      <c r="U73" s="181"/>
      <c r="V73" s="181"/>
      <c r="W73" s="395" t="str">
        <f>Localization!B330</f>
        <v>Enter/Verify the last name of the beneficiary.</v>
      </c>
      <c r="X73"/>
    </row>
    <row r="74" spans="1:24" ht="12.75" customHeight="1" x14ac:dyDescent="0.2">
      <c r="A74" s="136" t="s">
        <v>114</v>
      </c>
      <c r="B74" s="177"/>
      <c r="C74" s="10"/>
      <c r="D74" s="243">
        <f>[2]!GetProfileDate("date-birth-ben")</f>
        <v>42583</v>
      </c>
      <c r="E74" s="10" t="s">
        <v>2051</v>
      </c>
      <c r="F74" s="10" t="str">
        <f>Localization!B283</f>
        <v>Beneficiary's Date of Birth</v>
      </c>
      <c r="G74" s="164">
        <v>5480</v>
      </c>
      <c r="H74" s="160">
        <f ca="1">[2]!AddYears( TODAY(),-16 )</f>
        <v>36739</v>
      </c>
      <c r="I74" s="155"/>
      <c r="J74" s="150"/>
      <c r="K74" s="150"/>
      <c r="L74" s="155"/>
      <c r="M74" s="178"/>
      <c r="N74" s="178"/>
      <c r="O74" s="178"/>
      <c r="P74" s="178"/>
      <c r="Q74" s="155"/>
      <c r="R74" s="155"/>
      <c r="S74" s="155"/>
      <c r="T74" s="181"/>
      <c r="U74" s="181"/>
      <c r="V74" s="181"/>
      <c r="W74" s="395" t="str">
        <f>Localization!B331</f>
        <v>Enter beneficiary date of birth in the format of mm/dd/yyyy, if you do not have a designated beneficiary leave this field blank.</v>
      </c>
    </row>
    <row r="75" spans="1:24" s="156" customFormat="1" ht="12.75" customHeight="1" x14ac:dyDescent="0.2">
      <c r="A75" s="148" t="s">
        <v>117</v>
      </c>
      <c r="B75" s="149"/>
      <c r="C75" s="150"/>
      <c r="D75" s="151" t="str">
        <f>[2]!GetProfileString("address1")</f>
        <v>[address1]</v>
      </c>
      <c r="E75" s="151" t="s">
        <v>367</v>
      </c>
      <c r="F75" s="10" t="str">
        <f>Localization!B284</f>
        <v>Address</v>
      </c>
      <c r="G75" s="179"/>
      <c r="H75" s="180"/>
      <c r="I75" s="155"/>
      <c r="J75" s="150"/>
      <c r="K75" s="150"/>
      <c r="L75" s="155"/>
      <c r="M75" s="181"/>
      <c r="N75" s="181"/>
      <c r="O75" s="181"/>
      <c r="P75" s="181"/>
      <c r="Q75" s="155"/>
      <c r="R75" s="155"/>
      <c r="S75" s="155"/>
      <c r="T75" s="181"/>
      <c r="U75" s="181"/>
      <c r="V75" s="181"/>
      <c r="W75" s="395" t="str">
        <f>Localization!B332</f>
        <v>Enter/Verify the street address.</v>
      </c>
      <c r="X75"/>
    </row>
    <row r="76" spans="1:24" s="156" customFormat="1" ht="12.75" customHeight="1" x14ac:dyDescent="0.2">
      <c r="A76" s="148" t="s">
        <v>120</v>
      </c>
      <c r="B76" s="149"/>
      <c r="C76" s="150"/>
      <c r="D76" s="151" t="str">
        <f>[2]!GetProfileString("address2")</f>
        <v>[address2]</v>
      </c>
      <c r="E76" s="151" t="s">
        <v>367</v>
      </c>
      <c r="F76" s="10" t="str">
        <f>Localization!B285</f>
        <v>Address</v>
      </c>
      <c r="G76" s="179"/>
      <c r="H76" s="180"/>
      <c r="I76" s="155"/>
      <c r="J76" s="150"/>
      <c r="K76" s="150"/>
      <c r="L76" s="155"/>
      <c r="M76" s="181"/>
      <c r="N76" s="181"/>
      <c r="O76" s="181"/>
      <c r="P76" s="181"/>
      <c r="Q76" s="155"/>
      <c r="R76" s="155"/>
      <c r="S76" s="155"/>
      <c r="T76" s="181"/>
      <c r="U76" s="181"/>
      <c r="V76" s="181"/>
      <c r="W76" s="395" t="str">
        <f>Localization!B333</f>
        <v>Enter/Verify the second line of the street address.</v>
      </c>
      <c r="X76"/>
    </row>
    <row r="77" spans="1:24" s="156" customFormat="1" ht="12.75" customHeight="1" x14ac:dyDescent="0.2">
      <c r="A77" s="148" t="s">
        <v>122</v>
      </c>
      <c r="B77" s="149"/>
      <c r="C77" s="150"/>
      <c r="D77" s="151" t="str">
        <f>[2]!GetProfileString("city")</f>
        <v>[city]</v>
      </c>
      <c r="E77" s="151" t="s">
        <v>367</v>
      </c>
      <c r="F77" s="10" t="str">
        <f>Localization!B286</f>
        <v>City</v>
      </c>
      <c r="G77" s="179"/>
      <c r="H77" s="180"/>
      <c r="I77" s="155"/>
      <c r="J77" s="150"/>
      <c r="K77" s="150"/>
      <c r="L77" s="155"/>
      <c r="M77" s="181"/>
      <c r="N77" s="181"/>
      <c r="O77" s="181"/>
      <c r="P77" s="181"/>
      <c r="Q77" s="155"/>
      <c r="R77" s="155"/>
      <c r="S77" s="155"/>
      <c r="T77" s="181"/>
      <c r="U77" s="181"/>
      <c r="V77" s="181"/>
      <c r="W77" s="395" t="str">
        <f>Localization!B334</f>
        <v>Enter/Verify the city.</v>
      </c>
      <c r="X77"/>
    </row>
    <row r="78" spans="1:24" s="156" customFormat="1" ht="12.75" customHeight="1" x14ac:dyDescent="0.2">
      <c r="A78" s="148" t="s">
        <v>124</v>
      </c>
      <c r="B78" s="149"/>
      <c r="C78" s="150"/>
      <c r="D78" s="151" t="str">
        <f>[2]!GetProfileString("state")</f>
        <v>[state]</v>
      </c>
      <c r="E78" s="151" t="s">
        <v>1011</v>
      </c>
      <c r="F78" s="10" t="str">
        <f>Localization!B287</f>
        <v>State</v>
      </c>
      <c r="G78" s="179"/>
      <c r="H78" s="180"/>
      <c r="I78" s="155"/>
      <c r="J78" s="150"/>
      <c r="K78" s="150"/>
      <c r="L78" s="155"/>
      <c r="M78" s="181"/>
      <c r="N78" s="181"/>
      <c r="O78" s="181"/>
      <c r="P78" s="181"/>
      <c r="Q78" s="155"/>
      <c r="R78" s="155"/>
      <c r="S78" s="155"/>
      <c r="T78" s="181"/>
      <c r="U78" s="181"/>
      <c r="V78" s="181"/>
      <c r="W78" s="395" t="str">
        <f>Localization!B335</f>
        <v>Enter/Verify the state.</v>
      </c>
      <c r="X78"/>
    </row>
    <row r="79" spans="1:24" s="156" customFormat="1" ht="12.75" customHeight="1" x14ac:dyDescent="0.2">
      <c r="A79" s="148" t="s">
        <v>126</v>
      </c>
      <c r="B79" s="149"/>
      <c r="C79" s="150"/>
      <c r="D79" s="151" t="str">
        <f>[2]!GetProfileString("zip")</f>
        <v>[zip]</v>
      </c>
      <c r="E79" s="151" t="s">
        <v>367</v>
      </c>
      <c r="F79" s="10" t="str">
        <f>Localization!B288</f>
        <v>Zip Code</v>
      </c>
      <c r="G79" s="179"/>
      <c r="H79" s="180"/>
      <c r="I79" s="155"/>
      <c r="J79" s="150"/>
      <c r="K79" s="150"/>
      <c r="L79" s="155"/>
      <c r="M79" s="182" t="s">
        <v>1014</v>
      </c>
      <c r="N79" s="182" t="s">
        <v>368</v>
      </c>
      <c r="O79" s="182"/>
      <c r="P79" s="182"/>
      <c r="Q79" s="155"/>
      <c r="R79" s="155"/>
      <c r="S79" s="155"/>
      <c r="T79" s="181"/>
      <c r="U79" s="181" t="str">
        <f>Localization!B40</f>
        <v>Please enter a valid standard 5 digit US Zip Code format (#####) or the US ZIP + 4 Standard format (#####-####).</v>
      </c>
      <c r="V79" s="181"/>
      <c r="W79" s="395" t="str">
        <f>Localization!B336</f>
        <v>Enter/Verify the zip code.</v>
      </c>
      <c r="X79"/>
    </row>
    <row r="80" spans="1:24" s="156" customFormat="1" ht="12.75" customHeight="1" x14ac:dyDescent="0.2">
      <c r="A80" s="148" t="s">
        <v>630</v>
      </c>
      <c r="B80" s="149"/>
      <c r="C80" s="183">
        <f>DATE(2006,12,31)</f>
        <v>39082</v>
      </c>
      <c r="D80" s="151"/>
      <c r="E80" s="151" t="s">
        <v>2051</v>
      </c>
      <c r="F80" s="10" t="str">
        <f>Localization!B289</f>
        <v>Accrued Benefit Date:</v>
      </c>
      <c r="G80" s="164">
        <f ca="1">[2]!AddYears( TODAY(),-2)</f>
        <v>41852</v>
      </c>
      <c r="H80" s="160">
        <f ca="1">[2]!AddYears(TODAY(),2)</f>
        <v>43313</v>
      </c>
      <c r="I80" s="155"/>
      <c r="J80" s="150"/>
      <c r="K80" s="150"/>
      <c r="L80" s="155"/>
      <c r="M80" s="182"/>
      <c r="N80" s="182"/>
      <c r="O80" s="182"/>
      <c r="P80" s="182"/>
      <c r="Q80" s="155"/>
      <c r="R80" s="155"/>
      <c r="S80" s="155"/>
      <c r="T80" s="181"/>
      <c r="U80" s="181"/>
      <c r="V80" s="181"/>
      <c r="W80" s="395" t="str">
        <f>Localization!B337</f>
        <v>Enter the date (in the format m/d/yyyy)  to determine your accrued benefit as of.</v>
      </c>
      <c r="X80"/>
    </row>
    <row r="81" spans="1:24" s="156" customFormat="1" ht="12.75" customHeight="1" x14ac:dyDescent="0.2">
      <c r="A81" s="148" t="s">
        <v>1523</v>
      </c>
      <c r="B81" s="184"/>
      <c r="C81" s="185">
        <v>0</v>
      </c>
      <c r="D81" s="150"/>
      <c r="E81" s="10" t="s">
        <v>1118</v>
      </c>
      <c r="F81" s="10" t="str">
        <f>Localization!B290</f>
        <v>Final Average Pay</v>
      </c>
      <c r="G81" s="168">
        <v>0</v>
      </c>
      <c r="H81" s="169">
        <v>99999999</v>
      </c>
      <c r="I81" s="155"/>
      <c r="J81" s="150">
        <v>5000</v>
      </c>
      <c r="K81" s="151" t="s">
        <v>1451</v>
      </c>
      <c r="L81" s="155"/>
      <c r="M81" s="170"/>
      <c r="N81" s="170"/>
      <c r="O81" s="170"/>
      <c r="P81" s="170"/>
      <c r="Q81" s="155"/>
      <c r="R81" s="155"/>
      <c r="S81" s="155"/>
      <c r="T81" s="181"/>
      <c r="U81" s="181"/>
      <c r="V81" s="181"/>
      <c r="W81" s="395" t="str">
        <f>Localization!B338</f>
        <v>Enter the Final Average Pay, this will override the calculated Final Average Pay.</v>
      </c>
      <c r="X81"/>
    </row>
    <row r="82" spans="1:24" s="156" customFormat="1" ht="12.75" customHeight="1" x14ac:dyDescent="0.2">
      <c r="A82" s="148" t="s">
        <v>1526</v>
      </c>
      <c r="B82" s="184"/>
      <c r="C82" s="185">
        <v>0</v>
      </c>
      <c r="D82" s="150"/>
      <c r="E82" s="150" t="s">
        <v>1546</v>
      </c>
      <c r="F82" s="10" t="str">
        <f>Localization!B291</f>
        <v>Vesting Service</v>
      </c>
      <c r="G82" s="168">
        <v>0</v>
      </c>
      <c r="H82" s="169">
        <v>60</v>
      </c>
      <c r="I82" s="155"/>
      <c r="J82" s="150">
        <v>1</v>
      </c>
      <c r="K82" s="151" t="s">
        <v>2160</v>
      </c>
      <c r="L82" s="155"/>
      <c r="M82" s="170"/>
      <c r="N82" s="170"/>
      <c r="O82" s="170"/>
      <c r="P82" s="170"/>
      <c r="Q82" s="155"/>
      <c r="R82" s="155"/>
      <c r="S82" s="155"/>
      <c r="T82" s="181"/>
      <c r="U82" s="181"/>
      <c r="V82" s="181"/>
      <c r="W82" s="395" t="str">
        <f>Localization!B339</f>
        <v>Enter the actual Vesting Service, this will override the calculated Vesting Service.</v>
      </c>
      <c r="X82"/>
    </row>
    <row r="83" spans="1:24" s="156" customFormat="1" ht="12.75" customHeight="1" x14ac:dyDescent="0.2">
      <c r="A83" s="148" t="s">
        <v>582</v>
      </c>
      <c r="B83" s="184"/>
      <c r="C83" s="185">
        <v>0</v>
      </c>
      <c r="D83" s="150"/>
      <c r="E83" s="150" t="s">
        <v>1546</v>
      </c>
      <c r="F83" s="10" t="str">
        <f>Localization!B292</f>
        <v>Credited Service</v>
      </c>
      <c r="G83" s="168">
        <v>0</v>
      </c>
      <c r="H83" s="169">
        <v>60</v>
      </c>
      <c r="I83" s="155"/>
      <c r="J83" s="150">
        <v>1</v>
      </c>
      <c r="K83" s="151" t="s">
        <v>2160</v>
      </c>
      <c r="L83" s="155"/>
      <c r="M83" s="170"/>
      <c r="N83" s="170"/>
      <c r="O83" s="170"/>
      <c r="P83" s="170"/>
      <c r="Q83" s="155"/>
      <c r="R83" s="155"/>
      <c r="S83" s="155"/>
      <c r="T83" s="181"/>
      <c r="U83" s="181"/>
      <c r="V83" s="181"/>
      <c r="W83" s="395" t="str">
        <f>Localization!B340</f>
        <v>Enter the actual Credited Service, this will override the calculated Credited Service.</v>
      </c>
      <c r="X83"/>
    </row>
    <row r="84" spans="1:24" s="156" customFormat="1" ht="12.75" customHeight="1" x14ac:dyDescent="0.2">
      <c r="A84" s="148" t="s">
        <v>585</v>
      </c>
      <c r="B84" s="184"/>
      <c r="C84" s="185">
        <v>0</v>
      </c>
      <c r="D84" s="150"/>
      <c r="E84" s="10" t="s">
        <v>1118</v>
      </c>
      <c r="F84" s="10" t="str">
        <f>Localization!B293</f>
        <v>Accrued Benefit</v>
      </c>
      <c r="G84" s="168">
        <v>0</v>
      </c>
      <c r="H84" s="169">
        <v>99999999</v>
      </c>
      <c r="I84" s="155"/>
      <c r="J84" s="150">
        <v>1</v>
      </c>
      <c r="K84" s="151" t="s">
        <v>1451</v>
      </c>
      <c r="L84" s="155"/>
      <c r="M84" s="170"/>
      <c r="N84" s="170"/>
      <c r="O84" s="170"/>
      <c r="P84" s="170"/>
      <c r="Q84" s="155"/>
      <c r="R84" s="155"/>
      <c r="S84" s="155"/>
      <c r="T84" s="181"/>
      <c r="U84" s="181"/>
      <c r="V84" s="181"/>
      <c r="W84" s="395" t="str">
        <f>Localization!B341</f>
        <v>Enter the actual Accrued Benefit, this will override the calculated Accrued Benefit.</v>
      </c>
      <c r="X84"/>
    </row>
    <row r="85" spans="1:24" s="156" customFormat="1" ht="12.75" customHeight="1" x14ac:dyDescent="0.2">
      <c r="A85" s="148" t="s">
        <v>588</v>
      </c>
      <c r="B85" s="184"/>
      <c r="C85" s="185">
        <v>0</v>
      </c>
      <c r="D85" s="150"/>
      <c r="E85" s="10" t="s">
        <v>1118</v>
      </c>
      <c r="F85" s="10" t="str">
        <f>Localization!B294</f>
        <v>Age 65 Benefit For Late Retirement Calculations</v>
      </c>
      <c r="G85" s="168">
        <v>0</v>
      </c>
      <c r="H85" s="169">
        <v>99999999</v>
      </c>
      <c r="I85" s="155"/>
      <c r="J85" s="150">
        <v>1</v>
      </c>
      <c r="K85" s="151" t="s">
        <v>1451</v>
      </c>
      <c r="L85" s="155"/>
      <c r="M85" s="170"/>
      <c r="N85" s="170"/>
      <c r="O85" s="170"/>
      <c r="P85" s="170"/>
      <c r="Q85" s="155"/>
      <c r="R85" s="155"/>
      <c r="S85" s="155"/>
      <c r="T85" s="181"/>
      <c r="U85" s="181"/>
      <c r="V85" s="181"/>
      <c r="W85" s="395" t="str">
        <f>Localization!B342</f>
        <v>Enter the actual Age 65 benefit for purposes of a late retirement calculation, this will override the calculated Age 65 benefit.</v>
      </c>
      <c r="X85"/>
    </row>
    <row r="86" spans="1:24" s="156" customFormat="1" ht="12.75" customHeight="1" x14ac:dyDescent="0.2">
      <c r="A86" s="148" t="s">
        <v>531</v>
      </c>
      <c r="B86" s="184"/>
      <c r="C86" s="186"/>
      <c r="D86" s="150"/>
      <c r="E86" s="10" t="s">
        <v>1856</v>
      </c>
      <c r="F86" s="10" t="str">
        <f>Localization!B295</f>
        <v>Final Payment Form</v>
      </c>
      <c r="G86" s="187"/>
      <c r="H86" s="188"/>
      <c r="I86" s="155"/>
      <c r="J86" s="150"/>
      <c r="K86" s="150"/>
      <c r="L86" s="165" t="s">
        <v>368</v>
      </c>
      <c r="M86" s="170"/>
      <c r="N86" s="170"/>
      <c r="O86" s="170"/>
      <c r="P86" s="170"/>
      <c r="Q86" s="155"/>
      <c r="R86" s="155"/>
      <c r="S86" s="155"/>
      <c r="T86" s="181"/>
      <c r="U86" s="181"/>
      <c r="V86" s="181"/>
      <c r="W86" s="396"/>
      <c r="X86"/>
    </row>
    <row r="87" spans="1:24" s="156" customFormat="1" ht="12.75" customHeight="1" x14ac:dyDescent="0.2">
      <c r="A87" s="652" t="s">
        <v>276</v>
      </c>
      <c r="B87" s="184"/>
      <c r="C87" s="186"/>
      <c r="D87" s="150"/>
      <c r="E87" s="151" t="s">
        <v>742</v>
      </c>
      <c r="F87" s="10" t="str">
        <f>Localization!B296</f>
        <v>Save Term Vested Accrued Benefit?</v>
      </c>
      <c r="G87" s="187"/>
      <c r="H87" s="188"/>
      <c r="I87" s="155"/>
      <c r="J87" s="150"/>
      <c r="K87" s="150"/>
      <c r="L87" s="155"/>
      <c r="M87" s="170"/>
      <c r="N87" s="170"/>
      <c r="O87" s="170"/>
      <c r="P87" s="170"/>
      <c r="Q87" s="155"/>
      <c r="R87" s="155"/>
      <c r="S87" s="155"/>
      <c r="T87" s="181"/>
      <c r="U87" s="181"/>
      <c r="V87" s="181"/>
      <c r="W87" s="396"/>
      <c r="X87"/>
    </row>
    <row r="88" spans="1:24" s="156" customFormat="1" ht="12.75" customHeight="1" x14ac:dyDescent="0.2">
      <c r="A88" s="148" t="s">
        <v>533</v>
      </c>
      <c r="B88" s="149"/>
      <c r="C88" s="183">
        <f ca="1">TODAY()</f>
        <v>42583</v>
      </c>
      <c r="D88" s="151"/>
      <c r="E88" s="151" t="s">
        <v>2051</v>
      </c>
      <c r="F88" s="10" t="str">
        <f>Localization!B297</f>
        <v>Report Processing Date</v>
      </c>
      <c r="G88" s="164">
        <f ca="1">[2]!AddYears( TODAY(),-1)</f>
        <v>42217</v>
      </c>
      <c r="H88" s="160">
        <f ca="1">[2]!AddYears(TODAY(),1)</f>
        <v>42948</v>
      </c>
      <c r="I88" s="155"/>
      <c r="J88" s="150"/>
      <c r="K88" s="150"/>
      <c r="L88" s="155"/>
      <c r="M88" s="182"/>
      <c r="N88" s="182"/>
      <c r="O88" s="182"/>
      <c r="P88" s="182"/>
      <c r="Q88" s="155"/>
      <c r="R88" s="155"/>
      <c r="S88" s="155"/>
      <c r="T88" s="181"/>
      <c r="U88" s="181"/>
      <c r="V88" s="181"/>
      <c r="W88" s="396"/>
      <c r="X88"/>
    </row>
    <row r="89" spans="1:24" s="156" customFormat="1" ht="12.75" customHeight="1" x14ac:dyDescent="0.2">
      <c r="A89" s="148" t="s">
        <v>535</v>
      </c>
      <c r="B89" s="149"/>
      <c r="C89" s="183"/>
      <c r="D89" s="151"/>
      <c r="E89" s="151" t="s">
        <v>367</v>
      </c>
      <c r="F89" s="10" t="str">
        <f>Localization!B298</f>
        <v>Batch Indicator</v>
      </c>
      <c r="G89" s="164"/>
      <c r="H89" s="160"/>
      <c r="I89" s="155"/>
      <c r="J89" s="150"/>
      <c r="K89" s="150"/>
      <c r="L89" s="155"/>
      <c r="M89" s="182"/>
      <c r="N89" s="182"/>
      <c r="O89" s="182"/>
      <c r="P89" s="182"/>
      <c r="Q89" s="155"/>
      <c r="R89" s="155"/>
      <c r="S89" s="155"/>
      <c r="T89" s="181"/>
      <c r="U89" s="181"/>
      <c r="V89" s="181"/>
      <c r="W89" s="396" t="str">
        <f>Localization!B343</f>
        <v>Enter the Batch Indicator you wish to filter on.</v>
      </c>
      <c r="X89"/>
    </row>
    <row r="90" spans="1:24" s="156" customFormat="1" ht="12.75" customHeight="1" x14ac:dyDescent="0.2">
      <c r="A90" s="148" t="s">
        <v>5</v>
      </c>
      <c r="B90" s="184"/>
      <c r="C90" s="186"/>
      <c r="D90" s="150"/>
      <c r="E90" s="151" t="s">
        <v>742</v>
      </c>
      <c r="F90" s="405" t="str">
        <f>Localization!B299</f>
        <v>Delete entire xDS table before processing?</v>
      </c>
      <c r="G90" s="187"/>
      <c r="H90" s="188"/>
      <c r="I90" s="155"/>
      <c r="J90" s="150"/>
      <c r="K90" s="150"/>
      <c r="L90" s="155"/>
      <c r="M90" s="170"/>
      <c r="N90" s="170"/>
      <c r="O90" s="170"/>
      <c r="P90" s="170"/>
      <c r="Q90" s="155"/>
      <c r="R90" s="155"/>
      <c r="S90" s="155"/>
      <c r="T90" s="181"/>
      <c r="U90" s="181"/>
      <c r="V90" s="181"/>
      <c r="W90" s="396"/>
      <c r="X90"/>
    </row>
    <row r="91" spans="1:24" s="156" customFormat="1" ht="12.75" customHeight="1" x14ac:dyDescent="0.2">
      <c r="A91" s="148" t="s">
        <v>8</v>
      </c>
      <c r="B91" s="184"/>
      <c r="C91" s="186">
        <v>2</v>
      </c>
      <c r="D91" s="150"/>
      <c r="E91" s="10" t="s">
        <v>1686</v>
      </c>
      <c r="F91" s="10" t="str">
        <f>Localization!B300</f>
        <v>Calculation Type</v>
      </c>
      <c r="G91" s="187"/>
      <c r="H91" s="188"/>
      <c r="I91" s="155"/>
      <c r="J91" s="150"/>
      <c r="K91" s="150"/>
      <c r="L91" s="165" t="s">
        <v>368</v>
      </c>
      <c r="M91" s="170"/>
      <c r="N91" s="170"/>
      <c r="O91" s="170"/>
      <c r="P91" s="170"/>
      <c r="Q91" s="155"/>
      <c r="R91" s="155"/>
      <c r="S91" s="155"/>
      <c r="T91" s="181"/>
      <c r="U91" s="181"/>
      <c r="V91" s="181"/>
      <c r="W91" s="396"/>
      <c r="X91"/>
    </row>
    <row r="92" spans="1:24" s="156" customFormat="1" ht="12.75" customHeight="1" x14ac:dyDescent="0.2">
      <c r="A92" s="148" t="s">
        <v>11</v>
      </c>
      <c r="B92" s="171"/>
      <c r="C92" s="186">
        <v>65</v>
      </c>
      <c r="D92" s="151"/>
      <c r="E92" s="150" t="s">
        <v>1848</v>
      </c>
      <c r="F92" s="10" t="str">
        <f>Localization!B301</f>
        <v>Age of Termination</v>
      </c>
      <c r="G92" s="187">
        <v>21</v>
      </c>
      <c r="H92" s="188">
        <v>80</v>
      </c>
      <c r="I92" s="155"/>
      <c r="J92" s="150">
        <v>5</v>
      </c>
      <c r="K92" s="150"/>
      <c r="L92" s="150"/>
      <c r="M92" s="170"/>
      <c r="N92" s="170"/>
      <c r="O92" s="170"/>
      <c r="P92" s="170"/>
      <c r="Q92" s="150"/>
      <c r="R92" s="150"/>
      <c r="S92" s="150"/>
      <c r="T92" s="181"/>
      <c r="U92" s="181"/>
      <c r="V92" s="181"/>
      <c r="W92" s="395" t="str">
        <f>Localization!B349</f>
        <v>Date of Retirement</v>
      </c>
      <c r="X92"/>
    </row>
    <row r="93" spans="1:24" s="156" customFormat="1" ht="12.75" customHeight="1" x14ac:dyDescent="0.2">
      <c r="A93" s="148" t="s">
        <v>471</v>
      </c>
      <c r="B93" s="171"/>
      <c r="C93" s="186">
        <v>65</v>
      </c>
      <c r="D93" s="151"/>
      <c r="E93" s="150" t="s">
        <v>1848</v>
      </c>
      <c r="F93" s="10" t="str">
        <f>Localization!B302</f>
        <v>Age of Benefit Commencement</v>
      </c>
      <c r="G93" s="187">
        <v>21</v>
      </c>
      <c r="H93" s="188">
        <v>80</v>
      </c>
      <c r="I93" s="155"/>
      <c r="J93" s="150">
        <v>5</v>
      </c>
      <c r="K93" s="150"/>
      <c r="L93" s="150"/>
      <c r="M93" s="170"/>
      <c r="N93" s="170"/>
      <c r="O93" s="170"/>
      <c r="P93" s="170"/>
      <c r="Q93" s="150"/>
      <c r="R93" s="150"/>
      <c r="S93" s="150"/>
      <c r="T93" s="181"/>
      <c r="U93" s="181"/>
      <c r="V93" s="181"/>
      <c r="W93" s="395" t="str">
        <f>Localization!B350</f>
        <v>Calculation Parameters</v>
      </c>
      <c r="X93"/>
    </row>
    <row r="94" spans="1:24" s="156" customFormat="1" ht="12.75" customHeight="1" x14ac:dyDescent="0.2">
      <c r="A94" s="148" t="s">
        <v>1564</v>
      </c>
      <c r="B94" s="171"/>
      <c r="C94" s="186"/>
      <c r="D94" s="151"/>
      <c r="E94" s="150" t="s">
        <v>1562</v>
      </c>
      <c r="F94" s="10"/>
      <c r="G94" s="187"/>
      <c r="H94" s="188"/>
      <c r="I94" s="155"/>
      <c r="J94" s="150"/>
      <c r="K94" s="150"/>
      <c r="L94" s="150"/>
      <c r="M94" s="170"/>
      <c r="N94" s="170"/>
      <c r="O94" s="170"/>
      <c r="P94" s="170"/>
      <c r="Q94" s="150"/>
      <c r="R94" s="150"/>
      <c r="S94" s="150"/>
      <c r="T94" s="182" t="s">
        <v>1566</v>
      </c>
      <c r="U94" s="181"/>
      <c r="V94" s="181"/>
      <c r="W94" s="395"/>
      <c r="X94"/>
    </row>
    <row r="95" spans="1:24" s="156" customFormat="1" ht="12.75" customHeight="1" x14ac:dyDescent="0.2">
      <c r="A95" s="148"/>
      <c r="B95" s="171"/>
      <c r="C95" s="186"/>
      <c r="D95" s="151"/>
      <c r="E95" s="150"/>
      <c r="F95" s="10"/>
      <c r="G95" s="187"/>
      <c r="H95" s="188"/>
      <c r="I95" s="155"/>
      <c r="J95" s="150"/>
      <c r="K95" s="150"/>
      <c r="L95" s="150"/>
      <c r="M95" s="170"/>
      <c r="N95" s="170"/>
      <c r="O95" s="170"/>
      <c r="P95" s="170"/>
      <c r="Q95" s="150"/>
      <c r="R95" s="150"/>
      <c r="S95" s="150"/>
      <c r="T95" s="181"/>
      <c r="U95" s="181"/>
      <c r="V95" s="181"/>
      <c r="W95" s="395"/>
      <c r="X95"/>
    </row>
    <row r="96" spans="1:24" s="156" customFormat="1" ht="12.75" customHeight="1" x14ac:dyDescent="0.2">
      <c r="A96" s="148"/>
      <c r="B96" s="171"/>
      <c r="C96" s="186"/>
      <c r="D96" s="151"/>
      <c r="E96" s="150"/>
      <c r="F96" s="10"/>
      <c r="G96" s="187"/>
      <c r="H96" s="188"/>
      <c r="I96" s="155"/>
      <c r="J96" s="150"/>
      <c r="K96" s="150"/>
      <c r="L96" s="150"/>
      <c r="M96" s="170"/>
      <c r="N96" s="170"/>
      <c r="O96" s="170"/>
      <c r="P96" s="170"/>
      <c r="Q96" s="150"/>
      <c r="R96" s="150"/>
      <c r="S96" s="150"/>
      <c r="T96" s="181"/>
      <c r="U96" s="181"/>
      <c r="V96" s="181"/>
      <c r="W96" s="395"/>
      <c r="X96"/>
    </row>
    <row r="97" spans="1:24" s="156" customFormat="1" ht="12.75" customHeight="1" thickBot="1" x14ac:dyDescent="0.25">
      <c r="A97" s="189"/>
      <c r="B97" s="190"/>
      <c r="C97" s="191"/>
      <c r="D97" s="192"/>
      <c r="E97" s="193"/>
      <c r="F97" s="404"/>
      <c r="G97" s="194"/>
      <c r="H97" s="195"/>
      <c r="I97" s="197"/>
      <c r="J97" s="192"/>
      <c r="K97" s="192"/>
      <c r="L97" s="197"/>
      <c r="M97" s="196"/>
      <c r="N97" s="196"/>
      <c r="O97" s="196"/>
      <c r="P97" s="196"/>
      <c r="Q97" s="197"/>
      <c r="R97" s="197"/>
      <c r="S97" s="197"/>
      <c r="T97" s="548"/>
      <c r="U97" s="548"/>
      <c r="V97" s="548"/>
      <c r="W97" s="397"/>
      <c r="X97"/>
    </row>
    <row r="99" spans="1:24" s="3" customFormat="1" x14ac:dyDescent="0.2">
      <c r="A99" s="1" t="s">
        <v>538</v>
      </c>
      <c r="B99" s="199" t="s">
        <v>861</v>
      </c>
    </row>
    <row r="100" spans="1:24" x14ac:dyDescent="0.2">
      <c r="A100" s="29"/>
    </row>
    <row r="101" spans="1:24" s="61" customFormat="1" x14ac:dyDescent="0.2">
      <c r="A101" s="59" t="s">
        <v>1684</v>
      </c>
      <c r="B101" s="60" t="s">
        <v>1062</v>
      </c>
      <c r="C101" s="40"/>
      <c r="D101" s="217"/>
      <c r="E101" s="401" t="s">
        <v>543</v>
      </c>
      <c r="F101" s="659"/>
    </row>
    <row r="102" spans="1:24" s="61" customFormat="1" x14ac:dyDescent="0.2">
      <c r="A102" s="201" t="s">
        <v>1681</v>
      </c>
      <c r="B102" s="37" t="s">
        <v>1682</v>
      </c>
      <c r="C102" s="37" t="s">
        <v>542</v>
      </c>
      <c r="D102" s="38" t="s">
        <v>548</v>
      </c>
      <c r="E102" s="72" t="s">
        <v>862</v>
      </c>
      <c r="F102" s="660" t="s">
        <v>356</v>
      </c>
    </row>
    <row r="103" spans="1:24" s="61" customFormat="1" x14ac:dyDescent="0.2">
      <c r="A103" s="202" t="s">
        <v>364</v>
      </c>
      <c r="B103" s="203"/>
      <c r="C103" s="204"/>
      <c r="D103" s="231"/>
      <c r="E103" s="205"/>
      <c r="F103" s="223" t="str">
        <f>Localization!B344</f>
        <v>Assumptions</v>
      </c>
      <c r="G103"/>
      <c r="H103"/>
      <c r="I103"/>
      <c r="J103"/>
    </row>
    <row r="104" spans="1:24" s="61" customFormat="1" x14ac:dyDescent="0.2">
      <c r="A104" s="205" t="s">
        <v>751</v>
      </c>
      <c r="B104" s="203"/>
      <c r="C104" s="205"/>
      <c r="D104" s="206"/>
      <c r="E104" s="205"/>
      <c r="F104" s="223"/>
      <c r="G104"/>
      <c r="H104"/>
      <c r="I104"/>
      <c r="J104"/>
    </row>
    <row r="105" spans="1:24" s="61" customFormat="1" x14ac:dyDescent="0.2">
      <c r="A105" s="205" t="s">
        <v>745</v>
      </c>
      <c r="B105" s="203"/>
      <c r="C105" s="205"/>
      <c r="D105" s="206"/>
      <c r="E105" s="205"/>
      <c r="F105" s="223"/>
      <c r="G105"/>
      <c r="H105"/>
      <c r="I105"/>
      <c r="J105"/>
    </row>
    <row r="106" spans="1:24" x14ac:dyDescent="0.2">
      <c r="A106" s="207" t="s">
        <v>741</v>
      </c>
      <c r="B106" s="203" t="b">
        <v>1</v>
      </c>
      <c r="C106" s="205"/>
      <c r="D106" s="206"/>
      <c r="E106" s="205"/>
      <c r="F106" s="223"/>
    </row>
    <row r="107" spans="1:24" x14ac:dyDescent="0.2">
      <c r="A107" s="205" t="s">
        <v>1564</v>
      </c>
      <c r="B107" s="203"/>
      <c r="C107" s="205" t="b">
        <f>B$106</f>
        <v>1</v>
      </c>
      <c r="D107" s="206"/>
      <c r="E107" s="205"/>
      <c r="F107" s="223"/>
    </row>
    <row r="108" spans="1:24" x14ac:dyDescent="0.2">
      <c r="A108" s="205" t="s">
        <v>793</v>
      </c>
      <c r="B108" s="203"/>
      <c r="C108" s="205"/>
      <c r="D108" s="206"/>
      <c r="E108" s="205"/>
      <c r="F108" s="223"/>
    </row>
    <row r="109" spans="1:24" x14ac:dyDescent="0.2">
      <c r="A109" s="207" t="s">
        <v>796</v>
      </c>
      <c r="B109" s="203"/>
      <c r="C109" s="205"/>
      <c r="D109" s="206"/>
      <c r="E109" s="205"/>
      <c r="F109" s="223"/>
    </row>
    <row r="110" spans="1:24" x14ac:dyDescent="0.2">
      <c r="A110" s="205" t="s">
        <v>805</v>
      </c>
      <c r="B110" s="203"/>
      <c r="C110" s="205"/>
      <c r="D110" s="206"/>
      <c r="E110" s="205"/>
      <c r="F110" s="223"/>
    </row>
    <row r="111" spans="1:24" x14ac:dyDescent="0.2">
      <c r="A111" s="208" t="s">
        <v>364</v>
      </c>
      <c r="B111" s="203"/>
      <c r="C111" s="205"/>
      <c r="D111" s="206"/>
      <c r="E111" s="205"/>
      <c r="F111" s="223" t="str">
        <f>Localization!B345</f>
        <v>Beneficiary Information</v>
      </c>
    </row>
    <row r="112" spans="1:24" x14ac:dyDescent="0.2">
      <c r="A112" s="209" t="s">
        <v>114</v>
      </c>
      <c r="B112" s="210"/>
      <c r="C112" s="209"/>
      <c r="D112" s="211"/>
      <c r="E112" s="209"/>
      <c r="F112" s="228"/>
    </row>
    <row r="113" spans="1:11" x14ac:dyDescent="0.2">
      <c r="F113" s="54"/>
    </row>
    <row r="114" spans="1:11" x14ac:dyDescent="0.2">
      <c r="A114" s="59" t="s">
        <v>1684</v>
      </c>
      <c r="B114" s="60" t="s">
        <v>1065</v>
      </c>
      <c r="C114" s="40"/>
      <c r="D114" s="217"/>
      <c r="E114" s="401" t="s">
        <v>543</v>
      </c>
      <c r="F114" s="659"/>
      <c r="G114" s="61"/>
      <c r="H114" s="61"/>
      <c r="I114" s="61"/>
      <c r="J114" s="61"/>
    </row>
    <row r="115" spans="1:11" x14ac:dyDescent="0.2">
      <c r="A115" s="201" t="s">
        <v>1681</v>
      </c>
      <c r="B115" s="37" t="s">
        <v>1682</v>
      </c>
      <c r="C115" s="37" t="s">
        <v>542</v>
      </c>
      <c r="D115" s="38" t="s">
        <v>548</v>
      </c>
      <c r="E115" s="72" t="s">
        <v>862</v>
      </c>
      <c r="F115" s="660" t="s">
        <v>356</v>
      </c>
      <c r="G115" s="61"/>
      <c r="H115" s="61"/>
      <c r="I115" s="61"/>
      <c r="J115" s="61"/>
    </row>
    <row r="116" spans="1:11" x14ac:dyDescent="0.2">
      <c r="A116" s="202" t="s">
        <v>364</v>
      </c>
      <c r="B116" s="212"/>
      <c r="C116" s="204"/>
      <c r="D116" s="231"/>
      <c r="E116" s="205"/>
      <c r="F116" s="223" t="str">
        <f>[2]!CopyFormula(F103)</f>
        <v>Assumptions</v>
      </c>
      <c r="G116" s="61"/>
      <c r="H116" s="61"/>
      <c r="I116" s="61"/>
      <c r="J116" s="61"/>
      <c r="K116" s="61"/>
    </row>
    <row r="117" spans="1:11" x14ac:dyDescent="0.2">
      <c r="A117" s="205" t="s">
        <v>751</v>
      </c>
      <c r="B117" s="203"/>
      <c r="C117" s="205"/>
      <c r="D117" s="206"/>
      <c r="E117" s="205"/>
      <c r="F117" s="223"/>
      <c r="K117" s="61"/>
    </row>
    <row r="118" spans="1:11" x14ac:dyDescent="0.2">
      <c r="A118" s="205" t="s">
        <v>745</v>
      </c>
      <c r="B118" s="203"/>
      <c r="C118" s="205"/>
      <c r="D118" s="206"/>
      <c r="E118" s="205"/>
      <c r="F118" s="223"/>
      <c r="K118" s="61"/>
    </row>
    <row r="119" spans="1:11" s="61" customFormat="1" x14ac:dyDescent="0.2">
      <c r="A119" s="207" t="s">
        <v>741</v>
      </c>
      <c r="B119" s="203" t="b">
        <v>0</v>
      </c>
      <c r="C119" s="205"/>
      <c r="D119" s="206"/>
      <c r="E119" s="205"/>
      <c r="F119" s="223"/>
      <c r="G119"/>
      <c r="H119"/>
      <c r="I119"/>
      <c r="J119"/>
    </row>
    <row r="120" spans="1:11" s="61" customFormat="1" x14ac:dyDescent="0.2">
      <c r="A120" s="205" t="s">
        <v>1564</v>
      </c>
      <c r="B120" s="203"/>
      <c r="C120" s="205" t="b">
        <f>B$119</f>
        <v>0</v>
      </c>
      <c r="D120" s="206"/>
      <c r="E120" s="205"/>
      <c r="F120" s="223"/>
      <c r="G120"/>
      <c r="H120"/>
      <c r="I120"/>
      <c r="J120"/>
      <c r="K120"/>
    </row>
    <row r="121" spans="1:11" x14ac:dyDescent="0.2">
      <c r="A121" s="205" t="s">
        <v>793</v>
      </c>
      <c r="B121" s="203"/>
      <c r="C121" s="205"/>
      <c r="D121" s="206"/>
      <c r="E121" s="205"/>
      <c r="F121" s="223"/>
    </row>
    <row r="122" spans="1:11" x14ac:dyDescent="0.2">
      <c r="A122" s="207" t="s">
        <v>796</v>
      </c>
      <c r="B122" s="203"/>
      <c r="C122" s="205"/>
      <c r="D122" s="206"/>
      <c r="E122" s="205"/>
      <c r="F122" s="223"/>
    </row>
    <row r="123" spans="1:11" x14ac:dyDescent="0.2">
      <c r="A123" s="205" t="s">
        <v>805</v>
      </c>
      <c r="B123" s="203"/>
      <c r="C123" s="205"/>
      <c r="D123" s="206"/>
      <c r="E123" s="205"/>
      <c r="F123" s="223"/>
    </row>
    <row r="124" spans="1:11" x14ac:dyDescent="0.2">
      <c r="A124" s="208" t="s">
        <v>364</v>
      </c>
      <c r="B124" s="203"/>
      <c r="C124" s="205"/>
      <c r="D124" s="206"/>
      <c r="E124" s="205"/>
      <c r="F124" s="223" t="str">
        <f>Localization!B346</f>
        <v>401(k) Plan</v>
      </c>
    </row>
    <row r="125" spans="1:11" x14ac:dyDescent="0.2">
      <c r="A125" s="205" t="s">
        <v>808</v>
      </c>
      <c r="B125" s="203"/>
      <c r="C125" s="205"/>
      <c r="D125" s="206"/>
      <c r="E125" s="205"/>
      <c r="F125" s="223"/>
    </row>
    <row r="126" spans="1:11" x14ac:dyDescent="0.2">
      <c r="A126" s="205" t="s">
        <v>1569</v>
      </c>
      <c r="B126" s="203"/>
      <c r="C126" s="205"/>
      <c r="D126" s="206"/>
      <c r="E126" s="205"/>
      <c r="F126" s="223"/>
    </row>
    <row r="127" spans="1:11" x14ac:dyDescent="0.2">
      <c r="A127" s="205" t="s">
        <v>2006</v>
      </c>
      <c r="B127" s="203"/>
      <c r="C127" s="205"/>
      <c r="D127" s="206"/>
      <c r="E127" s="205"/>
      <c r="F127" s="223"/>
    </row>
    <row r="128" spans="1:11" x14ac:dyDescent="0.2">
      <c r="A128" s="208" t="s">
        <v>364</v>
      </c>
      <c r="B128" s="203"/>
      <c r="C128" s="205"/>
      <c r="D128" s="206"/>
      <c r="E128" s="205"/>
      <c r="F128" s="223" t="str">
        <f>[2]!CopyFormula(F$111)</f>
        <v>Beneficiary Information</v>
      </c>
    </row>
    <row r="129" spans="1:11" x14ac:dyDescent="0.2">
      <c r="A129" s="209" t="s">
        <v>114</v>
      </c>
      <c r="B129" s="210"/>
      <c r="C129" s="209"/>
      <c r="D129" s="211"/>
      <c r="E129" s="209"/>
      <c r="F129" s="228"/>
    </row>
    <row r="130" spans="1:11" x14ac:dyDescent="0.2">
      <c r="D130" s="61"/>
      <c r="E130" s="61"/>
      <c r="F130" s="54"/>
    </row>
    <row r="131" spans="1:11" x14ac:dyDescent="0.2">
      <c r="A131" s="59" t="s">
        <v>1684</v>
      </c>
      <c r="B131" s="60" t="s">
        <v>1063</v>
      </c>
      <c r="C131" s="40"/>
      <c r="D131" s="217"/>
      <c r="E131" s="401" t="s">
        <v>543</v>
      </c>
      <c r="F131" s="659"/>
      <c r="G131" s="61"/>
      <c r="H131" s="61"/>
      <c r="I131" s="61"/>
      <c r="J131" s="61"/>
    </row>
    <row r="132" spans="1:11" x14ac:dyDescent="0.2">
      <c r="A132" s="201" t="s">
        <v>1681</v>
      </c>
      <c r="B132" s="37" t="s">
        <v>1682</v>
      </c>
      <c r="C132" s="37" t="s">
        <v>542</v>
      </c>
      <c r="D132" s="38" t="s">
        <v>548</v>
      </c>
      <c r="E132" s="72" t="s">
        <v>862</v>
      </c>
      <c r="F132" s="660" t="s">
        <v>356</v>
      </c>
      <c r="G132" s="61"/>
      <c r="H132" s="61"/>
      <c r="I132" s="61"/>
      <c r="J132" s="61"/>
    </row>
    <row r="133" spans="1:11" x14ac:dyDescent="0.2">
      <c r="A133" s="213" t="s">
        <v>364</v>
      </c>
      <c r="B133" s="212"/>
      <c r="C133" s="214"/>
      <c r="D133" s="231"/>
      <c r="E133" s="205"/>
      <c r="F133" s="223" t="str">
        <f>Localization!B347</f>
        <v>Scenario to Model</v>
      </c>
      <c r="G133" s="61"/>
      <c r="H133" s="61"/>
      <c r="I133" s="61"/>
      <c r="J133" s="61"/>
    </row>
    <row r="134" spans="1:11" x14ac:dyDescent="0.2">
      <c r="A134" s="205" t="s">
        <v>870</v>
      </c>
      <c r="B134" s="203"/>
      <c r="C134" s="215"/>
      <c r="D134" s="206"/>
      <c r="E134" s="205"/>
      <c r="F134" s="223"/>
      <c r="G134" s="61"/>
      <c r="H134" s="61"/>
      <c r="I134" s="61"/>
      <c r="J134" s="61"/>
      <c r="K134" s="61"/>
    </row>
    <row r="135" spans="1:11" x14ac:dyDescent="0.2">
      <c r="A135" s="207" t="s">
        <v>761</v>
      </c>
      <c r="B135" s="203"/>
      <c r="C135" s="215"/>
      <c r="D135" s="206"/>
      <c r="E135" s="205"/>
      <c r="F135" s="223"/>
      <c r="K135" s="61"/>
    </row>
    <row r="136" spans="1:11" x14ac:dyDescent="0.2">
      <c r="A136" s="205" t="s">
        <v>765</v>
      </c>
      <c r="B136" s="203" t="str">
        <f>"2"</f>
        <v>2</v>
      </c>
      <c r="C136" s="215"/>
      <c r="D136" s="206"/>
      <c r="E136" s="205"/>
      <c r="F136" s="223"/>
      <c r="K136" s="61"/>
    </row>
    <row r="137" spans="1:11" x14ac:dyDescent="0.2">
      <c r="A137" s="205" t="s">
        <v>768</v>
      </c>
      <c r="B137" s="203"/>
      <c r="C137" s="215" t="b">
        <f>(B136="2")</f>
        <v>1</v>
      </c>
      <c r="D137" s="206"/>
      <c r="E137" s="205"/>
      <c r="F137" s="223"/>
      <c r="K137" s="61"/>
    </row>
    <row r="138" spans="1:11" x14ac:dyDescent="0.2">
      <c r="A138" s="205" t="s">
        <v>739</v>
      </c>
      <c r="B138" s="203"/>
      <c r="C138" s="215" t="b">
        <f>(B136="1")</f>
        <v>0</v>
      </c>
      <c r="D138" s="206"/>
      <c r="E138" s="205"/>
      <c r="F138" s="223"/>
    </row>
    <row r="139" spans="1:11" x14ac:dyDescent="0.2">
      <c r="A139" s="207" t="s">
        <v>1784</v>
      </c>
      <c r="B139" s="203" t="b">
        <v>0</v>
      </c>
      <c r="C139" s="205"/>
      <c r="D139" s="206"/>
      <c r="E139" s="205"/>
      <c r="F139" s="223"/>
    </row>
    <row r="140" spans="1:11" s="61" customFormat="1" x14ac:dyDescent="0.2">
      <c r="A140" s="202" t="s">
        <v>364</v>
      </c>
      <c r="B140" s="203"/>
      <c r="C140" s="215" t="b">
        <f>B$139</f>
        <v>0</v>
      </c>
      <c r="D140" s="206"/>
      <c r="E140" s="205"/>
      <c r="F140" s="223" t="str">
        <f>[2]!CopyFormula(F103)</f>
        <v>Assumptions</v>
      </c>
      <c r="G140"/>
      <c r="H140"/>
      <c r="I140"/>
      <c r="J140"/>
      <c r="K140"/>
    </row>
    <row r="141" spans="1:11" s="61" customFormat="1" x14ac:dyDescent="0.2">
      <c r="A141" s="205" t="s">
        <v>793</v>
      </c>
      <c r="B141" s="203"/>
      <c r="C141" s="215"/>
      <c r="D141" s="206"/>
      <c r="E141" s="205"/>
      <c r="F141" s="223"/>
      <c r="G141"/>
      <c r="H141"/>
      <c r="I141"/>
      <c r="J141"/>
      <c r="K141"/>
    </row>
    <row r="142" spans="1:11" s="61" customFormat="1" x14ac:dyDescent="0.2">
      <c r="A142" s="207" t="s">
        <v>796</v>
      </c>
      <c r="B142" s="203"/>
      <c r="C142" s="215"/>
      <c r="D142" s="206"/>
      <c r="E142" s="205"/>
      <c r="F142" s="223"/>
      <c r="G142"/>
      <c r="H142"/>
      <c r="I142"/>
      <c r="J142"/>
      <c r="K142"/>
    </row>
    <row r="143" spans="1:11" s="61" customFormat="1" x14ac:dyDescent="0.2">
      <c r="A143" s="205" t="s">
        <v>805</v>
      </c>
      <c r="B143" s="203"/>
      <c r="C143" s="215"/>
      <c r="D143" s="206"/>
      <c r="E143" s="205"/>
      <c r="F143" s="223"/>
      <c r="G143"/>
      <c r="H143"/>
      <c r="I143"/>
      <c r="J143"/>
      <c r="K143"/>
    </row>
    <row r="144" spans="1:11" x14ac:dyDescent="0.2">
      <c r="A144" s="208" t="s">
        <v>364</v>
      </c>
      <c r="B144" s="203"/>
      <c r="C144" s="215" t="b">
        <f>B$139</f>
        <v>0</v>
      </c>
      <c r="D144" s="206"/>
      <c r="E144" s="205"/>
      <c r="F144" s="223" t="str">
        <f>[2]!CopyFormula(F124)</f>
        <v>401(k) Plan</v>
      </c>
    </row>
    <row r="145" spans="1:12" x14ac:dyDescent="0.2">
      <c r="A145" s="205" t="s">
        <v>808</v>
      </c>
      <c r="B145" s="203"/>
      <c r="C145" s="215"/>
      <c r="D145" s="206"/>
      <c r="E145" s="205"/>
      <c r="F145" s="223"/>
    </row>
    <row r="146" spans="1:12" x14ac:dyDescent="0.2">
      <c r="A146" s="205" t="s">
        <v>1569</v>
      </c>
      <c r="B146" s="203"/>
      <c r="C146" s="215"/>
      <c r="D146" s="206"/>
      <c r="E146" s="205"/>
      <c r="F146" s="223"/>
    </row>
    <row r="147" spans="1:12" x14ac:dyDescent="0.2">
      <c r="A147" s="205" t="s">
        <v>2006</v>
      </c>
      <c r="B147" s="203"/>
      <c r="C147" s="215"/>
      <c r="D147" s="206"/>
      <c r="E147" s="205"/>
      <c r="F147" s="223"/>
    </row>
    <row r="148" spans="1:12" x14ac:dyDescent="0.2">
      <c r="A148" s="208" t="s">
        <v>364</v>
      </c>
      <c r="B148" s="203"/>
      <c r="C148" s="215" t="b">
        <f>B$139</f>
        <v>0</v>
      </c>
      <c r="D148" s="206"/>
      <c r="E148" s="205"/>
      <c r="F148" s="223" t="str">
        <f>[2]!CopyFormula(F111)</f>
        <v>Beneficiary Information</v>
      </c>
    </row>
    <row r="149" spans="1:12" x14ac:dyDescent="0.2">
      <c r="A149" s="209" t="s">
        <v>114</v>
      </c>
      <c r="B149" s="210"/>
      <c r="C149" s="216"/>
      <c r="D149" s="211"/>
      <c r="E149" s="209"/>
      <c r="F149" s="228"/>
    </row>
    <row r="150" spans="1:12" x14ac:dyDescent="0.2">
      <c r="D150" s="61"/>
      <c r="E150" s="61"/>
      <c r="F150" s="54"/>
    </row>
    <row r="151" spans="1:12" x14ac:dyDescent="0.2">
      <c r="A151" s="59" t="s">
        <v>1684</v>
      </c>
      <c r="B151" s="60" t="s">
        <v>1064</v>
      </c>
      <c r="C151" s="40"/>
      <c r="D151" s="217"/>
      <c r="E151" s="401" t="s">
        <v>543</v>
      </c>
      <c r="F151" s="659"/>
    </row>
    <row r="152" spans="1:12" x14ac:dyDescent="0.2">
      <c r="A152" s="201" t="s">
        <v>1681</v>
      </c>
      <c r="B152" s="37" t="s">
        <v>1682</v>
      </c>
      <c r="C152" s="37" t="s">
        <v>542</v>
      </c>
      <c r="D152" s="38" t="s">
        <v>548</v>
      </c>
      <c r="E152" s="72" t="s">
        <v>862</v>
      </c>
      <c r="F152" s="660" t="s">
        <v>356</v>
      </c>
      <c r="G152" s="61"/>
      <c r="H152" s="61"/>
      <c r="I152" s="61"/>
      <c r="J152" s="61"/>
    </row>
    <row r="153" spans="1:12" x14ac:dyDescent="0.2">
      <c r="A153" s="213" t="s">
        <v>364</v>
      </c>
      <c r="B153" s="212"/>
      <c r="C153" s="214"/>
      <c r="D153" s="231"/>
      <c r="E153" s="205"/>
      <c r="F153" s="223" t="str">
        <f>[2]!CopyFormula(F$103)</f>
        <v>Assumptions</v>
      </c>
      <c r="G153" s="61"/>
      <c r="H153" s="61"/>
      <c r="I153" s="61"/>
      <c r="J153" s="61"/>
    </row>
    <row r="154" spans="1:12" x14ac:dyDescent="0.2">
      <c r="A154" s="209" t="s">
        <v>630</v>
      </c>
      <c r="B154" s="210"/>
      <c r="C154" s="216"/>
      <c r="D154" s="211"/>
      <c r="E154" s="209"/>
      <c r="F154" s="228"/>
      <c r="G154" s="61"/>
      <c r="H154" s="61"/>
      <c r="I154" s="61"/>
      <c r="J154" s="61"/>
    </row>
    <row r="155" spans="1:12" x14ac:dyDescent="0.2">
      <c r="D155" s="61"/>
      <c r="E155" s="61"/>
      <c r="G155" s="61"/>
      <c r="H155" s="61"/>
      <c r="I155" s="61"/>
      <c r="J155" s="61"/>
      <c r="K155" s="61"/>
    </row>
    <row r="156" spans="1:12" x14ac:dyDescent="0.2">
      <c r="A156" s="59" t="s">
        <v>1684</v>
      </c>
      <c r="B156" s="60" t="s">
        <v>1059</v>
      </c>
      <c r="C156" s="40"/>
      <c r="D156" s="653"/>
      <c r="E156" s="217"/>
      <c r="F156" s="401" t="s">
        <v>543</v>
      </c>
      <c r="G156" s="70"/>
      <c r="H156" s="218"/>
      <c r="I156" s="219"/>
      <c r="L156" s="61"/>
    </row>
    <row r="157" spans="1:12" x14ac:dyDescent="0.2">
      <c r="A157" s="201" t="s">
        <v>1681</v>
      </c>
      <c r="B157" s="37" t="s">
        <v>1682</v>
      </c>
      <c r="C157" s="37" t="s">
        <v>542</v>
      </c>
      <c r="D157" s="37" t="s">
        <v>2466</v>
      </c>
      <c r="E157" s="38" t="s">
        <v>548</v>
      </c>
      <c r="F157" s="73" t="s">
        <v>356</v>
      </c>
      <c r="G157" s="73" t="s">
        <v>862</v>
      </c>
      <c r="H157" s="73" t="s">
        <v>357</v>
      </c>
      <c r="I157" s="74" t="s">
        <v>358</v>
      </c>
      <c r="L157" s="61"/>
    </row>
    <row r="158" spans="1:12" x14ac:dyDescent="0.2">
      <c r="A158" s="202" t="s">
        <v>364</v>
      </c>
      <c r="B158" s="212"/>
      <c r="C158" s="204"/>
      <c r="D158" s="654"/>
      <c r="E158" s="220"/>
      <c r="F158" s="214" t="str">
        <f>Localization!B350</f>
        <v>Calculation Parameters</v>
      </c>
      <c r="G158" s="214"/>
      <c r="H158" s="221"/>
      <c r="I158" s="222"/>
      <c r="L158" s="61"/>
    </row>
    <row r="159" spans="1:12" x14ac:dyDescent="0.2">
      <c r="A159" s="205" t="s">
        <v>751</v>
      </c>
      <c r="B159" s="203"/>
      <c r="C159" s="205"/>
      <c r="D159" s="655"/>
      <c r="E159" s="223"/>
      <c r="F159" s="215" t="str">
        <f>Localization!B348</f>
        <v>Date of Termination</v>
      </c>
      <c r="G159" s="215"/>
      <c r="H159" s="224">
        <f>[2]!AddYears([2]!GetProfileDate("date-birth"), 18 )</f>
        <v>33367</v>
      </c>
      <c r="I159" s="225">
        <f>MAX(H159, [2]!AddYears( [2]!GetProfileDate("date-birth"), 80 ))</f>
        <v>56013</v>
      </c>
    </row>
    <row r="160" spans="1:12" x14ac:dyDescent="0.2">
      <c r="A160" s="205" t="s">
        <v>745</v>
      </c>
      <c r="B160" s="203"/>
      <c r="C160" s="205"/>
      <c r="D160" s="655"/>
      <c r="E160" s="223"/>
      <c r="F160" s="215" t="str">
        <f>Localization!B349</f>
        <v>Date of Retirement</v>
      </c>
      <c r="G160" s="215"/>
      <c r="H160" s="224">
        <f>MAX(H159, [2]!GetProfileDate("date-erd"))</f>
        <v>50534</v>
      </c>
      <c r="I160" s="225">
        <f>MAX(H160, [2]!AddYears( [2]!GetProfileDate("date-birth"), 80 ))</f>
        <v>56013</v>
      </c>
    </row>
    <row r="161" spans="1:12" x14ac:dyDescent="0.2">
      <c r="A161" s="205" t="s">
        <v>799</v>
      </c>
      <c r="B161" s="203"/>
      <c r="C161" s="205"/>
      <c r="D161" s="655"/>
      <c r="E161" s="223"/>
      <c r="F161" s="215"/>
      <c r="G161" s="215"/>
      <c r="H161" s="224"/>
      <c r="I161" s="226"/>
    </row>
    <row r="162" spans="1:12" x14ac:dyDescent="0.2">
      <c r="A162" s="205" t="s">
        <v>802</v>
      </c>
      <c r="B162" s="203"/>
      <c r="C162" s="205"/>
      <c r="D162" s="655"/>
      <c r="E162" s="223"/>
      <c r="F162" s="215"/>
      <c r="G162" s="215"/>
      <c r="H162" s="227"/>
      <c r="I162" s="226"/>
    </row>
    <row r="163" spans="1:12" x14ac:dyDescent="0.2">
      <c r="A163" s="202" t="s">
        <v>364</v>
      </c>
      <c r="B163" s="203"/>
      <c r="C163" s="205"/>
      <c r="D163" s="655"/>
      <c r="E163" s="223"/>
      <c r="F163" s="215" t="str">
        <f>[2]!CopyFormula(F111)</f>
        <v>Beneficiary Information</v>
      </c>
      <c r="G163" s="215"/>
      <c r="H163" s="227"/>
      <c r="I163" s="226"/>
    </row>
    <row r="164" spans="1:12" s="61" customFormat="1" x14ac:dyDescent="0.2">
      <c r="A164" s="205" t="s">
        <v>108</v>
      </c>
      <c r="B164" s="203"/>
      <c r="C164" s="205"/>
      <c r="D164" s="655"/>
      <c r="E164" s="223" t="str">
        <f>[2]!GetDataConfig("name-first-ben")</f>
        <v>name-first-ben</v>
      </c>
      <c r="F164" s="215"/>
      <c r="G164" s="215"/>
      <c r="H164" s="227"/>
      <c r="I164" s="226"/>
      <c r="J164"/>
      <c r="K164"/>
      <c r="L164"/>
    </row>
    <row r="165" spans="1:12" s="61" customFormat="1" x14ac:dyDescent="0.2">
      <c r="A165" s="207" t="s">
        <v>111</v>
      </c>
      <c r="B165" s="203"/>
      <c r="C165" s="205"/>
      <c r="D165" s="655"/>
      <c r="E165" s="223" t="str">
        <f>[2]!GetDataConfig("name-last-ben")</f>
        <v>name-last-ben</v>
      </c>
      <c r="F165" s="215"/>
      <c r="G165" s="215"/>
      <c r="H165" s="227"/>
      <c r="I165" s="226"/>
      <c r="J165"/>
      <c r="K165"/>
      <c r="L165"/>
    </row>
    <row r="166" spans="1:12" s="61" customFormat="1" x14ac:dyDescent="0.2">
      <c r="A166" s="205" t="s">
        <v>114</v>
      </c>
      <c r="B166" s="203"/>
      <c r="C166" s="205"/>
      <c r="D166" s="655"/>
      <c r="E166" s="223" t="str">
        <f>[2]!GetDataConfig("date-birth-ben")</f>
        <v>date-birth-ben</v>
      </c>
      <c r="F166" s="215"/>
      <c r="G166" s="215"/>
      <c r="H166" s="227"/>
      <c r="I166" s="226"/>
      <c r="J166"/>
      <c r="K166"/>
      <c r="L166"/>
    </row>
    <row r="167" spans="1:12" s="61" customFormat="1" x14ac:dyDescent="0.2">
      <c r="A167" s="202" t="s">
        <v>364</v>
      </c>
      <c r="B167" s="203"/>
      <c r="C167" s="205"/>
      <c r="D167" s="655"/>
      <c r="E167" s="223"/>
      <c r="F167" s="215" t="str">
        <f>Localization!B352</f>
        <v>Demographic Information</v>
      </c>
      <c r="G167" s="215"/>
      <c r="H167" s="227"/>
      <c r="I167" s="226"/>
      <c r="J167"/>
      <c r="K167"/>
      <c r="L167"/>
    </row>
    <row r="168" spans="1:12" x14ac:dyDescent="0.2">
      <c r="A168" s="205" t="s">
        <v>117</v>
      </c>
      <c r="B168" s="203"/>
      <c r="C168" s="205"/>
      <c r="D168" s="655"/>
      <c r="E168" s="223" t="str">
        <f>[2]!GetDataConfig("address1")</f>
        <v>address1</v>
      </c>
      <c r="F168" s="215"/>
      <c r="G168" s="215"/>
      <c r="H168" s="227"/>
      <c r="I168" s="226"/>
    </row>
    <row r="169" spans="1:12" x14ac:dyDescent="0.2">
      <c r="A169" s="205" t="s">
        <v>120</v>
      </c>
      <c r="B169" s="203"/>
      <c r="C169" s="205"/>
      <c r="D169" s="655"/>
      <c r="E169" s="223" t="str">
        <f>[2]!GetDataConfig("address2")</f>
        <v>address2</v>
      </c>
      <c r="F169" s="215"/>
      <c r="G169" s="215"/>
      <c r="H169" s="227"/>
      <c r="I169" s="226"/>
    </row>
    <row r="170" spans="1:12" x14ac:dyDescent="0.2">
      <c r="A170" s="205" t="s">
        <v>122</v>
      </c>
      <c r="B170" s="203"/>
      <c r="C170" s="205"/>
      <c r="D170" s="655"/>
      <c r="E170" s="223" t="str">
        <f>[2]!GetDataConfig("city")</f>
        <v>city</v>
      </c>
      <c r="F170" s="215"/>
      <c r="G170" s="215"/>
      <c r="H170" s="227"/>
      <c r="I170" s="226"/>
    </row>
    <row r="171" spans="1:12" x14ac:dyDescent="0.2">
      <c r="A171" s="205" t="s">
        <v>124</v>
      </c>
      <c r="B171" s="203"/>
      <c r="C171" s="205"/>
      <c r="D171" s="655"/>
      <c r="E171" s="223" t="str">
        <f>[2]!GetDataConfig("state")</f>
        <v>state</v>
      </c>
      <c r="F171" s="215"/>
      <c r="G171" s="215"/>
      <c r="H171" s="227"/>
      <c r="I171" s="226"/>
    </row>
    <row r="172" spans="1:12" x14ac:dyDescent="0.2">
      <c r="A172" s="205" t="s">
        <v>126</v>
      </c>
      <c r="B172" s="203"/>
      <c r="C172" s="205"/>
      <c r="D172" s="655"/>
      <c r="E172" s="223" t="str">
        <f>[2]!GetDataConfig("zip")</f>
        <v>zip</v>
      </c>
      <c r="F172" s="215"/>
      <c r="G172" s="215"/>
      <c r="H172" s="227"/>
      <c r="I172" s="226"/>
    </row>
    <row r="173" spans="1:12" x14ac:dyDescent="0.2">
      <c r="A173" s="202" t="s">
        <v>364</v>
      </c>
      <c r="B173" s="203"/>
      <c r="C173" s="205"/>
      <c r="D173" s="655"/>
      <c r="E173" s="223"/>
      <c r="F173" s="215" t="str">
        <f>Localization!B351</f>
        <v>Calculation Overrides</v>
      </c>
      <c r="G173" s="215"/>
      <c r="H173" s="227"/>
      <c r="I173" s="226"/>
    </row>
    <row r="174" spans="1:12" x14ac:dyDescent="0.2">
      <c r="A174" s="205" t="s">
        <v>1523</v>
      </c>
      <c r="B174" s="203"/>
      <c r="C174" s="205"/>
      <c r="D174" s="655"/>
      <c r="E174" s="223"/>
      <c r="F174" s="215"/>
      <c r="G174" s="215"/>
      <c r="H174" s="227"/>
      <c r="I174" s="226"/>
    </row>
    <row r="175" spans="1:12" x14ac:dyDescent="0.2">
      <c r="A175" s="205" t="s">
        <v>1526</v>
      </c>
      <c r="B175" s="203"/>
      <c r="C175" s="205"/>
      <c r="D175" s="655"/>
      <c r="E175" s="223"/>
      <c r="F175" s="215"/>
      <c r="G175" s="215"/>
      <c r="H175" s="227"/>
      <c r="I175" s="226"/>
    </row>
    <row r="176" spans="1:12" x14ac:dyDescent="0.2">
      <c r="A176" s="205" t="s">
        <v>582</v>
      </c>
      <c r="B176" s="203"/>
      <c r="C176" s="205"/>
      <c r="D176" s="655"/>
      <c r="E176" s="223"/>
      <c r="F176" s="215"/>
      <c r="G176" s="215"/>
      <c r="H176" s="227"/>
      <c r="I176" s="226"/>
    </row>
    <row r="177" spans="1:9" x14ac:dyDescent="0.2">
      <c r="A177" s="205" t="s">
        <v>585</v>
      </c>
      <c r="B177" s="203"/>
      <c r="C177" s="205"/>
      <c r="D177" s="655"/>
      <c r="E177" s="223"/>
      <c r="F177" s="215"/>
      <c r="G177" s="215"/>
      <c r="H177" s="227"/>
      <c r="I177" s="226"/>
    </row>
    <row r="178" spans="1:9" x14ac:dyDescent="0.2">
      <c r="A178" s="205" t="s">
        <v>588</v>
      </c>
      <c r="B178" s="203"/>
      <c r="C178" s="205"/>
      <c r="D178" s="655"/>
      <c r="E178" s="223"/>
      <c r="F178" s="215"/>
      <c r="G178" s="215"/>
      <c r="H178" s="227"/>
      <c r="I178" s="226"/>
    </row>
    <row r="179" spans="1:9" x14ac:dyDescent="0.2">
      <c r="A179" s="202" t="s">
        <v>364</v>
      </c>
      <c r="B179" s="203"/>
      <c r="C179" s="205"/>
      <c r="D179" s="655"/>
      <c r="E179" s="223"/>
      <c r="F179" s="215" t="str">
        <f>Localization!B350</f>
        <v>Calculation Parameters</v>
      </c>
      <c r="G179" s="215"/>
      <c r="H179" s="227"/>
      <c r="I179" s="226"/>
    </row>
    <row r="180" spans="1:9" x14ac:dyDescent="0.2">
      <c r="A180" s="209" t="s">
        <v>531</v>
      </c>
      <c r="B180" s="210"/>
      <c r="C180" s="209"/>
      <c r="D180" s="656" t="s">
        <v>366</v>
      </c>
      <c r="E180" s="228"/>
      <c r="F180" s="216"/>
      <c r="G180" s="216"/>
      <c r="H180" s="229"/>
      <c r="I180" s="230"/>
    </row>
    <row r="181" spans="1:9" x14ac:dyDescent="0.2">
      <c r="D181" s="52"/>
      <c r="E181" s="61"/>
      <c r="G181" s="97"/>
    </row>
    <row r="182" spans="1:9" x14ac:dyDescent="0.2">
      <c r="A182" s="59" t="s">
        <v>1684</v>
      </c>
      <c r="B182" s="60" t="s">
        <v>1058</v>
      </c>
      <c r="C182" s="40"/>
      <c r="D182" s="653"/>
      <c r="E182" s="217"/>
      <c r="F182" s="401" t="s">
        <v>543</v>
      </c>
      <c r="G182" s="70"/>
      <c r="H182" s="218"/>
      <c r="I182" s="219"/>
    </row>
    <row r="183" spans="1:9" x14ac:dyDescent="0.2">
      <c r="A183" s="201" t="s">
        <v>1681</v>
      </c>
      <c r="B183" s="37" t="s">
        <v>1682</v>
      </c>
      <c r="C183" s="37" t="s">
        <v>542</v>
      </c>
      <c r="D183" s="37" t="s">
        <v>2466</v>
      </c>
      <c r="E183" s="38" t="s">
        <v>548</v>
      </c>
      <c r="F183" s="73" t="s">
        <v>356</v>
      </c>
      <c r="G183" s="73" t="s">
        <v>862</v>
      </c>
      <c r="H183" s="73" t="s">
        <v>357</v>
      </c>
      <c r="I183" s="74" t="s">
        <v>358</v>
      </c>
    </row>
    <row r="184" spans="1:9" x14ac:dyDescent="0.2">
      <c r="A184" s="202" t="s">
        <v>364</v>
      </c>
      <c r="B184" s="212"/>
      <c r="C184" s="204"/>
      <c r="D184" s="654"/>
      <c r="E184" s="231"/>
      <c r="F184" s="214" t="str">
        <f>[2]!CopyFormula(F158)</f>
        <v>Calculation Parameters</v>
      </c>
      <c r="G184" s="214"/>
      <c r="H184" s="221"/>
      <c r="I184" s="222"/>
    </row>
    <row r="185" spans="1:9" x14ac:dyDescent="0.2">
      <c r="A185" s="205" t="s">
        <v>751</v>
      </c>
      <c r="B185" s="203"/>
      <c r="C185" s="205"/>
      <c r="D185" s="655"/>
      <c r="E185" s="206"/>
      <c r="F185" s="215" t="str">
        <f>[2]!CopyFormula(F159)</f>
        <v>Date of Termination</v>
      </c>
      <c r="G185" s="215"/>
      <c r="H185" s="224" t="str">
        <f>[2]!CopyFormula(H159)</f>
        <v>5/9/1991</v>
      </c>
      <c r="I185" s="225" t="str">
        <f>[2]!CopyFormula(I159)</f>
        <v>5/9/2053</v>
      </c>
    </row>
    <row r="186" spans="1:9" x14ac:dyDescent="0.2">
      <c r="A186" s="205" t="s">
        <v>745</v>
      </c>
      <c r="B186" s="203"/>
      <c r="C186" s="205"/>
      <c r="D186" s="655"/>
      <c r="E186" s="206"/>
      <c r="F186" s="215" t="str">
        <f>[2]!CopyFormula(F160)</f>
        <v>Date of Retirement</v>
      </c>
      <c r="G186" s="215"/>
      <c r="H186" s="224" t="str">
        <f>[2]!CopyFormula(H160)</f>
        <v>5/9/2038</v>
      </c>
      <c r="I186" s="225">
        <f>MAX(H186, [2]!AddYears( [2]!GetProfileDate("date-birth"), 80 ))</f>
        <v>56013</v>
      </c>
    </row>
    <row r="187" spans="1:9" x14ac:dyDescent="0.2">
      <c r="A187" s="205" t="s">
        <v>793</v>
      </c>
      <c r="B187" s="203"/>
      <c r="C187" s="205"/>
      <c r="D187" s="655"/>
      <c r="E187" s="206"/>
      <c r="F187" s="215"/>
      <c r="G187" s="215"/>
      <c r="H187" s="227"/>
      <c r="I187" s="226"/>
    </row>
    <row r="188" spans="1:9" x14ac:dyDescent="0.2">
      <c r="A188" s="205" t="s">
        <v>796</v>
      </c>
      <c r="B188" s="203"/>
      <c r="C188" s="205"/>
      <c r="D188" s="655"/>
      <c r="E188" s="206"/>
      <c r="F188" s="215"/>
      <c r="G188" s="215"/>
      <c r="H188" s="227"/>
      <c r="I188" s="226"/>
    </row>
    <row r="189" spans="1:9" x14ac:dyDescent="0.2">
      <c r="A189" s="202" t="s">
        <v>364</v>
      </c>
      <c r="B189" s="203"/>
      <c r="C189" s="205"/>
      <c r="D189" s="655"/>
      <c r="E189" s="206"/>
      <c r="F189" s="215" t="str">
        <f>[2]!CopyFormula(F111)</f>
        <v>Beneficiary Information</v>
      </c>
      <c r="G189" s="215"/>
      <c r="H189" s="227"/>
      <c r="I189" s="226"/>
    </row>
    <row r="190" spans="1:9" x14ac:dyDescent="0.2">
      <c r="A190" s="205" t="s">
        <v>108</v>
      </c>
      <c r="B190" s="203"/>
      <c r="C190" s="205"/>
      <c r="D190" s="655"/>
      <c r="E190" s="223" t="str">
        <f>[2]!GetDataConfig("name-first-ben")</f>
        <v>name-first-ben</v>
      </c>
      <c r="F190" s="215"/>
      <c r="G190" s="215"/>
      <c r="H190" s="227"/>
      <c r="I190" s="226"/>
    </row>
    <row r="191" spans="1:9" x14ac:dyDescent="0.2">
      <c r="A191" s="207" t="s">
        <v>111</v>
      </c>
      <c r="B191" s="203"/>
      <c r="C191" s="205"/>
      <c r="D191" s="655"/>
      <c r="E191" s="223" t="str">
        <f>[2]!GetDataConfig("name-last-ben")</f>
        <v>name-last-ben</v>
      </c>
      <c r="F191" s="215"/>
      <c r="G191" s="215"/>
      <c r="H191" s="227"/>
      <c r="I191" s="226"/>
    </row>
    <row r="192" spans="1:9" x14ac:dyDescent="0.2">
      <c r="A192" s="205" t="s">
        <v>114</v>
      </c>
      <c r="B192" s="203"/>
      <c r="C192" s="205"/>
      <c r="D192" s="655"/>
      <c r="E192" s="223" t="str">
        <f>[2]!GetDataConfig("date-birth-ben")</f>
        <v>date-birth-ben</v>
      </c>
      <c r="F192" s="215"/>
      <c r="G192" s="215"/>
      <c r="H192" s="227"/>
      <c r="I192" s="226"/>
    </row>
    <row r="193" spans="1:9" x14ac:dyDescent="0.2">
      <c r="A193" s="202" t="s">
        <v>364</v>
      </c>
      <c r="B193" s="203"/>
      <c r="C193" s="205"/>
      <c r="D193" s="655"/>
      <c r="E193" s="223"/>
      <c r="F193" s="215" t="str">
        <f>[2]!CopyFormula(F167)</f>
        <v>Demographic Information</v>
      </c>
      <c r="G193" s="215"/>
      <c r="H193" s="227"/>
      <c r="I193" s="226"/>
    </row>
    <row r="194" spans="1:9" x14ac:dyDescent="0.2">
      <c r="A194" s="205" t="s">
        <v>117</v>
      </c>
      <c r="B194" s="203"/>
      <c r="C194" s="205"/>
      <c r="D194" s="655"/>
      <c r="E194" s="223" t="str">
        <f>[2]!GetDataConfig("address1")</f>
        <v>address1</v>
      </c>
      <c r="F194" s="215"/>
      <c r="G194" s="215"/>
      <c r="H194" s="227"/>
      <c r="I194" s="226"/>
    </row>
    <row r="195" spans="1:9" x14ac:dyDescent="0.2">
      <c r="A195" s="205" t="s">
        <v>120</v>
      </c>
      <c r="B195" s="203"/>
      <c r="C195" s="205"/>
      <c r="D195" s="655"/>
      <c r="E195" s="223" t="str">
        <f>[2]!GetDataConfig("address2")</f>
        <v>address2</v>
      </c>
      <c r="F195" s="215"/>
      <c r="G195" s="215"/>
      <c r="H195" s="227"/>
      <c r="I195" s="226"/>
    </row>
    <row r="196" spans="1:9" x14ac:dyDescent="0.2">
      <c r="A196" s="205" t="s">
        <v>122</v>
      </c>
      <c r="B196" s="203"/>
      <c r="C196" s="205"/>
      <c r="D196" s="655"/>
      <c r="E196" s="223" t="str">
        <f>[2]!GetDataConfig("city")</f>
        <v>city</v>
      </c>
      <c r="F196" s="215"/>
      <c r="G196" s="215"/>
      <c r="H196" s="227"/>
      <c r="I196" s="226"/>
    </row>
    <row r="197" spans="1:9" x14ac:dyDescent="0.2">
      <c r="A197" s="205" t="s">
        <v>124</v>
      </c>
      <c r="B197" s="203"/>
      <c r="C197" s="205"/>
      <c r="D197" s="655"/>
      <c r="E197" s="223" t="str">
        <f>[2]!GetDataConfig("state")</f>
        <v>state</v>
      </c>
      <c r="F197" s="215"/>
      <c r="G197" s="215"/>
      <c r="H197" s="227"/>
      <c r="I197" s="226"/>
    </row>
    <row r="198" spans="1:9" x14ac:dyDescent="0.2">
      <c r="A198" s="205" t="s">
        <v>126</v>
      </c>
      <c r="B198" s="203"/>
      <c r="C198" s="205"/>
      <c r="D198" s="655"/>
      <c r="E198" s="223" t="str">
        <f>[2]!GetDataConfig("zip")</f>
        <v>zip</v>
      </c>
      <c r="F198" s="215"/>
      <c r="G198" s="215"/>
      <c r="H198" s="227"/>
      <c r="I198" s="226"/>
    </row>
    <row r="199" spans="1:9" x14ac:dyDescent="0.2">
      <c r="A199" s="202" t="s">
        <v>364</v>
      </c>
      <c r="B199" s="203"/>
      <c r="C199" s="205"/>
      <c r="D199" s="655"/>
      <c r="E199" s="206"/>
      <c r="F199" s="215" t="str">
        <f>[2]!CopyFormula(F173)</f>
        <v>Calculation Overrides</v>
      </c>
      <c r="G199" s="215"/>
      <c r="H199" s="227"/>
      <c r="I199" s="226"/>
    </row>
    <row r="200" spans="1:9" x14ac:dyDescent="0.2">
      <c r="A200" s="205" t="s">
        <v>1523</v>
      </c>
      <c r="B200" s="203"/>
      <c r="C200" s="205"/>
      <c r="D200" s="655"/>
      <c r="E200" s="232"/>
      <c r="F200" s="215"/>
      <c r="G200" s="215"/>
      <c r="H200" s="227"/>
      <c r="I200" s="226"/>
    </row>
    <row r="201" spans="1:9" x14ac:dyDescent="0.2">
      <c r="A201" s="205" t="s">
        <v>1526</v>
      </c>
      <c r="B201" s="203"/>
      <c r="C201" s="205"/>
      <c r="D201" s="655"/>
      <c r="E201" s="232"/>
      <c r="F201" s="215"/>
      <c r="G201" s="215"/>
      <c r="H201" s="227"/>
      <c r="I201" s="226"/>
    </row>
    <row r="202" spans="1:9" x14ac:dyDescent="0.2">
      <c r="A202" s="205" t="s">
        <v>582</v>
      </c>
      <c r="B202" s="203"/>
      <c r="C202" s="205"/>
      <c r="D202" s="655"/>
      <c r="E202" s="232"/>
      <c r="F202" s="215"/>
      <c r="G202" s="215"/>
      <c r="H202" s="227"/>
      <c r="I202" s="226"/>
    </row>
    <row r="203" spans="1:9" x14ac:dyDescent="0.2">
      <c r="A203" s="205" t="s">
        <v>585</v>
      </c>
      <c r="B203" s="203"/>
      <c r="C203" s="205"/>
      <c r="D203" s="655"/>
      <c r="E203" s="232"/>
      <c r="F203" s="215"/>
      <c r="G203" s="215"/>
      <c r="H203" s="227"/>
      <c r="I203" s="226"/>
    </row>
    <row r="204" spans="1:9" x14ac:dyDescent="0.2">
      <c r="A204" s="209" t="s">
        <v>588</v>
      </c>
      <c r="B204" s="210"/>
      <c r="C204" s="209"/>
      <c r="D204" s="657"/>
      <c r="E204" s="211"/>
      <c r="F204" s="216"/>
      <c r="G204" s="216"/>
      <c r="H204" s="229"/>
      <c r="I204" s="230"/>
    </row>
    <row r="205" spans="1:9" x14ac:dyDescent="0.2">
      <c r="D205" s="52"/>
      <c r="E205" s="61"/>
      <c r="F205" s="61"/>
      <c r="G205" s="97"/>
    </row>
    <row r="206" spans="1:9" x14ac:dyDescent="0.2">
      <c r="A206" s="59" t="s">
        <v>1684</v>
      </c>
      <c r="B206" s="60" t="s">
        <v>1060</v>
      </c>
      <c r="C206" s="60"/>
      <c r="D206" s="658"/>
      <c r="E206" s="217"/>
      <c r="F206" s="401" t="s">
        <v>543</v>
      </c>
      <c r="G206" s="70"/>
      <c r="H206" s="218"/>
      <c r="I206" s="219"/>
    </row>
    <row r="207" spans="1:9" x14ac:dyDescent="0.2">
      <c r="A207" s="201" t="s">
        <v>1681</v>
      </c>
      <c r="B207" s="37" t="s">
        <v>1682</v>
      </c>
      <c r="C207" s="37" t="s">
        <v>542</v>
      </c>
      <c r="D207" s="37" t="s">
        <v>2466</v>
      </c>
      <c r="E207" s="38" t="s">
        <v>548</v>
      </c>
      <c r="F207" s="73" t="s">
        <v>356</v>
      </c>
      <c r="G207" s="73" t="s">
        <v>862</v>
      </c>
      <c r="H207" s="73" t="s">
        <v>357</v>
      </c>
      <c r="I207" s="74" t="s">
        <v>358</v>
      </c>
    </row>
    <row r="208" spans="1:9" x14ac:dyDescent="0.2">
      <c r="A208" s="213" t="s">
        <v>364</v>
      </c>
      <c r="B208" s="212"/>
      <c r="C208" s="204"/>
      <c r="D208" s="654"/>
      <c r="E208" s="231"/>
      <c r="F208" s="214" t="str">
        <f>[2]!CopyFormula(F158)</f>
        <v>Calculation Parameters</v>
      </c>
      <c r="G208" s="214"/>
      <c r="H208" s="221"/>
      <c r="I208" s="222"/>
    </row>
    <row r="209" spans="1:9" x14ac:dyDescent="0.2">
      <c r="A209" s="205" t="s">
        <v>751</v>
      </c>
      <c r="B209" s="203"/>
      <c r="C209" s="205"/>
      <c r="D209" s="655"/>
      <c r="E209" s="206"/>
      <c r="F209" s="215" t="str">
        <f>[2]!CopyFormula(F159)</f>
        <v>Date of Termination</v>
      </c>
      <c r="G209" s="215"/>
      <c r="H209" s="224" t="str">
        <f>[2]!CopyFormula(H159)</f>
        <v>5/9/1991</v>
      </c>
      <c r="I209" s="225" t="str">
        <f>[2]!CopyFormula(I159)</f>
        <v>5/9/2053</v>
      </c>
    </row>
    <row r="210" spans="1:9" x14ac:dyDescent="0.2">
      <c r="A210" s="205" t="s">
        <v>799</v>
      </c>
      <c r="B210" s="203"/>
      <c r="C210" s="205"/>
      <c r="D210" s="655"/>
      <c r="E210" s="206"/>
      <c r="F210" s="215"/>
      <c r="G210" s="215"/>
      <c r="H210" s="227"/>
      <c r="I210" s="226"/>
    </row>
    <row r="211" spans="1:9" x14ac:dyDescent="0.2">
      <c r="A211" s="205" t="s">
        <v>802</v>
      </c>
      <c r="B211" s="203"/>
      <c r="C211" s="205"/>
      <c r="D211" s="655"/>
      <c r="E211" s="206"/>
      <c r="F211" s="215"/>
      <c r="G211" s="215"/>
      <c r="H211" s="227"/>
      <c r="I211" s="226"/>
    </row>
    <row r="212" spans="1:9" x14ac:dyDescent="0.2">
      <c r="A212" s="208" t="s">
        <v>364</v>
      </c>
      <c r="B212" s="203"/>
      <c r="C212" s="205"/>
      <c r="D212" s="655"/>
      <c r="E212" s="206"/>
      <c r="F212" s="215" t="str">
        <f>[2]!CopyFormula(F111)</f>
        <v>Beneficiary Information</v>
      </c>
      <c r="G212" s="215"/>
      <c r="H212" s="227"/>
      <c r="I212" s="226"/>
    </row>
    <row r="213" spans="1:9" x14ac:dyDescent="0.2">
      <c r="A213" s="205" t="s">
        <v>117</v>
      </c>
      <c r="B213" s="203"/>
      <c r="C213" s="205"/>
      <c r="D213" s="655"/>
      <c r="E213" s="223" t="str">
        <f>[2]!GetDataConfig("address1")</f>
        <v>address1</v>
      </c>
      <c r="F213" s="215"/>
      <c r="G213" s="215"/>
      <c r="H213" s="227"/>
      <c r="I213" s="226"/>
    </row>
    <row r="214" spans="1:9" x14ac:dyDescent="0.2">
      <c r="A214" s="205" t="s">
        <v>120</v>
      </c>
      <c r="B214" s="203"/>
      <c r="C214" s="205"/>
      <c r="D214" s="655"/>
      <c r="E214" s="223" t="str">
        <f>[2]!GetDataConfig("address2")</f>
        <v>address2</v>
      </c>
      <c r="F214" s="215"/>
      <c r="G214" s="215"/>
      <c r="H214" s="227"/>
      <c r="I214" s="226"/>
    </row>
    <row r="215" spans="1:9" x14ac:dyDescent="0.2">
      <c r="A215" s="205" t="s">
        <v>122</v>
      </c>
      <c r="B215" s="203"/>
      <c r="C215" s="205"/>
      <c r="D215" s="655"/>
      <c r="E215" s="223" t="str">
        <f>[2]!GetDataConfig("city")</f>
        <v>city</v>
      </c>
      <c r="F215" s="215"/>
      <c r="G215" s="215"/>
      <c r="H215" s="227"/>
      <c r="I215" s="226"/>
    </row>
    <row r="216" spans="1:9" x14ac:dyDescent="0.2">
      <c r="A216" s="205" t="s">
        <v>124</v>
      </c>
      <c r="B216" s="203"/>
      <c r="C216" s="205"/>
      <c r="D216" s="655"/>
      <c r="E216" s="223" t="str">
        <f>[2]!GetDataConfig("state")</f>
        <v>state</v>
      </c>
      <c r="F216" s="215"/>
      <c r="G216" s="215"/>
      <c r="H216" s="227"/>
      <c r="I216" s="226"/>
    </row>
    <row r="217" spans="1:9" x14ac:dyDescent="0.2">
      <c r="A217" s="205" t="s">
        <v>126</v>
      </c>
      <c r="B217" s="203"/>
      <c r="C217" s="205"/>
      <c r="D217" s="655"/>
      <c r="E217" s="223" t="str">
        <f>[2]!GetDataConfig("zip")</f>
        <v>zip</v>
      </c>
      <c r="F217" s="215"/>
      <c r="G217" s="215"/>
      <c r="H217" s="227"/>
      <c r="I217" s="226"/>
    </row>
    <row r="218" spans="1:9" x14ac:dyDescent="0.2">
      <c r="A218" s="208" t="s">
        <v>364</v>
      </c>
      <c r="B218" s="203"/>
      <c r="C218" s="205"/>
      <c r="D218" s="655"/>
      <c r="E218" s="206"/>
      <c r="F218" s="215" t="str">
        <f>[2]!CopyFormula(F173)</f>
        <v>Calculation Overrides</v>
      </c>
      <c r="G218" s="215"/>
      <c r="H218" s="227"/>
      <c r="I218" s="226"/>
    </row>
    <row r="219" spans="1:9" x14ac:dyDescent="0.2">
      <c r="A219" s="205" t="s">
        <v>1523</v>
      </c>
      <c r="B219" s="203"/>
      <c r="C219" s="205"/>
      <c r="D219" s="655"/>
      <c r="E219" s="232"/>
      <c r="F219" s="215"/>
      <c r="G219" s="215"/>
      <c r="H219" s="227"/>
      <c r="I219" s="226"/>
    </row>
    <row r="220" spans="1:9" x14ac:dyDescent="0.2">
      <c r="A220" s="205" t="s">
        <v>1526</v>
      </c>
      <c r="B220" s="203"/>
      <c r="C220" s="205"/>
      <c r="D220" s="655"/>
      <c r="E220" s="232"/>
      <c r="F220" s="215"/>
      <c r="G220" s="215"/>
      <c r="H220" s="227"/>
      <c r="I220" s="226"/>
    </row>
    <row r="221" spans="1:9" x14ac:dyDescent="0.2">
      <c r="A221" s="205" t="s">
        <v>582</v>
      </c>
      <c r="B221" s="203"/>
      <c r="C221" s="205"/>
      <c r="D221" s="655"/>
      <c r="E221" s="232"/>
      <c r="F221" s="215"/>
      <c r="G221" s="215"/>
      <c r="H221" s="227"/>
      <c r="I221" s="226"/>
    </row>
    <row r="222" spans="1:9" x14ac:dyDescent="0.2">
      <c r="A222" s="205" t="s">
        <v>585</v>
      </c>
      <c r="B222" s="203"/>
      <c r="C222" s="205"/>
      <c r="D222" s="655"/>
      <c r="E222" s="232"/>
      <c r="F222" s="215"/>
      <c r="G222" s="215"/>
      <c r="H222" s="227"/>
      <c r="I222" s="226"/>
    </row>
    <row r="223" spans="1:9" x14ac:dyDescent="0.2">
      <c r="A223" s="205" t="s">
        <v>588</v>
      </c>
      <c r="B223" s="203"/>
      <c r="C223" s="205"/>
      <c r="D223" s="655"/>
      <c r="E223" s="206"/>
      <c r="F223" s="215"/>
      <c r="G223" s="215"/>
      <c r="H223" s="227"/>
      <c r="I223" s="226"/>
    </row>
    <row r="224" spans="1:9" x14ac:dyDescent="0.2">
      <c r="A224" s="208" t="s">
        <v>364</v>
      </c>
      <c r="B224" s="203"/>
      <c r="C224" s="205"/>
      <c r="D224" s="655"/>
      <c r="E224" s="206"/>
      <c r="F224" s="215" t="str">
        <f>Localization!B354</f>
        <v>Accrued Benefit Calculation</v>
      </c>
      <c r="G224" s="215"/>
      <c r="H224" s="227"/>
      <c r="I224" s="226"/>
    </row>
    <row r="225" spans="1:11" x14ac:dyDescent="0.2">
      <c r="A225" s="209" t="s">
        <v>276</v>
      </c>
      <c r="B225" s="210"/>
      <c r="C225" s="209"/>
      <c r="D225" s="657"/>
      <c r="E225" s="491"/>
      <c r="F225" s="216"/>
      <c r="G225" s="216"/>
      <c r="H225" s="229"/>
      <c r="I225" s="230"/>
    </row>
    <row r="226" spans="1:11" x14ac:dyDescent="0.2">
      <c r="D226" s="52"/>
      <c r="E226" s="61"/>
      <c r="F226" s="61"/>
      <c r="G226" s="97"/>
    </row>
    <row r="227" spans="1:11" x14ac:dyDescent="0.2">
      <c r="A227" s="59" t="s">
        <v>1684</v>
      </c>
      <c r="B227" s="60" t="s">
        <v>2012</v>
      </c>
      <c r="C227" s="60"/>
      <c r="D227" s="658"/>
      <c r="E227" s="217"/>
      <c r="F227" s="401" t="s">
        <v>543</v>
      </c>
      <c r="G227" s="70"/>
      <c r="H227" s="218"/>
      <c r="I227" s="218"/>
      <c r="J227" s="218"/>
      <c r="K227" s="219"/>
    </row>
    <row r="228" spans="1:11" x14ac:dyDescent="0.2">
      <c r="A228" s="201" t="s">
        <v>1681</v>
      </c>
      <c r="B228" s="37" t="s">
        <v>1682</v>
      </c>
      <c r="C228" s="37" t="s">
        <v>542</v>
      </c>
      <c r="D228" s="37" t="s">
        <v>2466</v>
      </c>
      <c r="E228" s="38" t="s">
        <v>548</v>
      </c>
      <c r="F228" s="73" t="s">
        <v>356</v>
      </c>
      <c r="G228" s="73" t="s">
        <v>862</v>
      </c>
      <c r="H228" s="73" t="s">
        <v>357</v>
      </c>
      <c r="I228" s="73" t="s">
        <v>358</v>
      </c>
      <c r="J228" s="73" t="s">
        <v>865</v>
      </c>
      <c r="K228" s="74" t="s">
        <v>866</v>
      </c>
    </row>
    <row r="229" spans="1:11" x14ac:dyDescent="0.2">
      <c r="A229" s="213" t="s">
        <v>364</v>
      </c>
      <c r="B229" s="212"/>
      <c r="C229" s="204"/>
      <c r="D229" s="654"/>
      <c r="E229" s="231"/>
      <c r="F229" s="214" t="str">
        <f>[2]!CopyFormula(F158)</f>
        <v>Calculation Parameters</v>
      </c>
      <c r="G229" s="214"/>
      <c r="H229" s="221"/>
      <c r="I229" s="558"/>
      <c r="J229" s="204"/>
      <c r="K229" s="231"/>
    </row>
    <row r="230" spans="1:11" x14ac:dyDescent="0.2">
      <c r="A230" s="205" t="s">
        <v>744</v>
      </c>
      <c r="B230" s="203"/>
      <c r="C230" s="205"/>
      <c r="D230" s="655"/>
      <c r="E230" s="206"/>
      <c r="F230" s="215"/>
      <c r="G230" s="215"/>
      <c r="H230" s="227"/>
      <c r="I230" s="559"/>
      <c r="J230" s="205"/>
      <c r="K230" s="206"/>
    </row>
    <row r="231" spans="1:11" x14ac:dyDescent="0.2">
      <c r="A231" s="205" t="s">
        <v>745</v>
      </c>
      <c r="B231" s="203"/>
      <c r="C231" s="205"/>
      <c r="D231" s="655"/>
      <c r="E231" s="206"/>
      <c r="F231" s="215" t="str">
        <f>[2]!CopyFormula(F160)</f>
        <v>Date of Retirement</v>
      </c>
      <c r="G231" s="215"/>
      <c r="H231" s="224">
        <f>MAX(G59, [2]!GetProfileDate("date-erd"))</f>
        <v>50534</v>
      </c>
      <c r="I231" s="560">
        <f>MAX(H231, [2]!AddYears( [2]!GetProfileDate("date-birth"), 80 ))</f>
        <v>56013</v>
      </c>
      <c r="J231" s="205" t="s">
        <v>744</v>
      </c>
      <c r="K231" s="206" t="s">
        <v>746</v>
      </c>
    </row>
    <row r="232" spans="1:11" x14ac:dyDescent="0.2">
      <c r="A232" s="205" t="s">
        <v>799</v>
      </c>
      <c r="B232" s="203"/>
      <c r="C232" s="205"/>
      <c r="D232" s="655"/>
      <c r="E232" s="206"/>
      <c r="F232" s="215"/>
      <c r="G232" s="215"/>
      <c r="H232" s="227"/>
      <c r="I232" s="559"/>
      <c r="J232" s="205"/>
      <c r="K232" s="206"/>
    </row>
    <row r="233" spans="1:11" x14ac:dyDescent="0.2">
      <c r="A233" s="205" t="s">
        <v>802</v>
      </c>
      <c r="B233" s="203"/>
      <c r="C233" s="205"/>
      <c r="D233" s="655"/>
      <c r="E233" s="206"/>
      <c r="F233" s="215"/>
      <c r="G233" s="215"/>
      <c r="H233" s="227"/>
      <c r="I233" s="559"/>
      <c r="J233" s="205"/>
      <c r="K233" s="206"/>
    </row>
    <row r="234" spans="1:11" x14ac:dyDescent="0.2">
      <c r="A234" s="202" t="s">
        <v>364</v>
      </c>
      <c r="B234" s="203"/>
      <c r="C234" s="205"/>
      <c r="D234" s="655"/>
      <c r="E234" s="206"/>
      <c r="F234" s="215" t="str">
        <f>[2]!CopyFormula(F111)</f>
        <v>Beneficiary Information</v>
      </c>
      <c r="G234" s="215"/>
      <c r="H234" s="227"/>
      <c r="I234" s="559"/>
      <c r="J234" s="205"/>
      <c r="K234" s="206"/>
    </row>
    <row r="235" spans="1:11" x14ac:dyDescent="0.2">
      <c r="A235" s="205" t="s">
        <v>108</v>
      </c>
      <c r="B235" s="203"/>
      <c r="C235" s="205"/>
      <c r="D235" s="655"/>
      <c r="E235" s="223" t="str">
        <f>[2]!GetDataConfig("name-first-ben")</f>
        <v>name-first-ben</v>
      </c>
      <c r="F235" s="215"/>
      <c r="G235" s="215"/>
      <c r="H235" s="227"/>
      <c r="I235" s="559"/>
      <c r="J235" s="205"/>
      <c r="K235" s="206"/>
    </row>
    <row r="236" spans="1:11" x14ac:dyDescent="0.2">
      <c r="A236" s="207" t="s">
        <v>111</v>
      </c>
      <c r="B236" s="203"/>
      <c r="C236" s="205"/>
      <c r="D236" s="655"/>
      <c r="E236" s="223" t="str">
        <f>[2]!GetDataConfig("name-last-ben")</f>
        <v>name-last-ben</v>
      </c>
      <c r="F236" s="215"/>
      <c r="G236" s="215"/>
      <c r="H236" s="227"/>
      <c r="I236" s="559"/>
      <c r="J236" s="205"/>
      <c r="K236" s="206"/>
    </row>
    <row r="237" spans="1:11" x14ac:dyDescent="0.2">
      <c r="A237" s="205" t="s">
        <v>114</v>
      </c>
      <c r="B237" s="203"/>
      <c r="C237" s="205"/>
      <c r="D237" s="655"/>
      <c r="E237" s="223" t="str">
        <f>[2]!GetDataConfig("date-birth-ben")</f>
        <v>date-birth-ben</v>
      </c>
      <c r="F237" s="215"/>
      <c r="G237" s="215"/>
      <c r="H237" s="227"/>
      <c r="I237" s="559"/>
      <c r="J237" s="205"/>
      <c r="K237" s="206"/>
    </row>
    <row r="238" spans="1:11" x14ac:dyDescent="0.2">
      <c r="A238" s="202" t="s">
        <v>364</v>
      </c>
      <c r="B238" s="203"/>
      <c r="C238" s="205"/>
      <c r="D238" s="655"/>
      <c r="E238" s="223"/>
      <c r="F238" s="215" t="str">
        <f>[2]!CopyFormula(F167)</f>
        <v>Demographic Information</v>
      </c>
      <c r="G238" s="215"/>
      <c r="H238" s="227"/>
      <c r="I238" s="559"/>
      <c r="J238" s="205"/>
      <c r="K238" s="206"/>
    </row>
    <row r="239" spans="1:11" x14ac:dyDescent="0.2">
      <c r="A239" s="205" t="s">
        <v>117</v>
      </c>
      <c r="B239" s="203"/>
      <c r="C239" s="205"/>
      <c r="D239" s="655"/>
      <c r="E239" s="223" t="str">
        <f>[2]!GetDataConfig("address1")</f>
        <v>address1</v>
      </c>
      <c r="F239" s="215"/>
      <c r="G239" s="215"/>
      <c r="H239" s="227"/>
      <c r="I239" s="559"/>
      <c r="J239" s="205"/>
      <c r="K239" s="206"/>
    </row>
    <row r="240" spans="1:11" x14ac:dyDescent="0.2">
      <c r="A240" s="205" t="s">
        <v>120</v>
      </c>
      <c r="B240" s="203"/>
      <c r="C240" s="205"/>
      <c r="D240" s="655"/>
      <c r="E240" s="223" t="str">
        <f>[2]!GetDataConfig("address2")</f>
        <v>address2</v>
      </c>
      <c r="F240" s="215"/>
      <c r="G240" s="215"/>
      <c r="H240" s="227"/>
      <c r="I240" s="559"/>
      <c r="J240" s="205"/>
      <c r="K240" s="206"/>
    </row>
    <row r="241" spans="1:11" x14ac:dyDescent="0.2">
      <c r="A241" s="205" t="s">
        <v>122</v>
      </c>
      <c r="B241" s="203"/>
      <c r="C241" s="205"/>
      <c r="D241" s="655"/>
      <c r="E241" s="223" t="str">
        <f>[2]!GetDataConfig("city")</f>
        <v>city</v>
      </c>
      <c r="F241" s="215"/>
      <c r="G241" s="215"/>
      <c r="H241" s="227"/>
      <c r="I241" s="559"/>
      <c r="J241" s="205"/>
      <c r="K241" s="206"/>
    </row>
    <row r="242" spans="1:11" x14ac:dyDescent="0.2">
      <c r="A242" s="205" t="s">
        <v>124</v>
      </c>
      <c r="B242" s="203"/>
      <c r="C242" s="205"/>
      <c r="D242" s="655"/>
      <c r="E242" s="223" t="str">
        <f>[2]!GetDataConfig("state")</f>
        <v>state</v>
      </c>
      <c r="F242" s="215"/>
      <c r="G242" s="215"/>
      <c r="H242" s="227"/>
      <c r="I242" s="559"/>
      <c r="J242" s="205"/>
      <c r="K242" s="206"/>
    </row>
    <row r="243" spans="1:11" x14ac:dyDescent="0.2">
      <c r="A243" s="205" t="s">
        <v>126</v>
      </c>
      <c r="B243" s="203"/>
      <c r="C243" s="205"/>
      <c r="D243" s="655"/>
      <c r="E243" s="223" t="str">
        <f>[2]!GetDataConfig("zip")</f>
        <v>zip</v>
      </c>
      <c r="F243" s="215"/>
      <c r="G243" s="215"/>
      <c r="H243" s="227"/>
      <c r="I243" s="559"/>
      <c r="J243" s="205"/>
      <c r="K243" s="206"/>
    </row>
    <row r="244" spans="1:11" x14ac:dyDescent="0.2">
      <c r="A244" s="208" t="s">
        <v>364</v>
      </c>
      <c r="B244" s="203"/>
      <c r="C244" s="205"/>
      <c r="D244" s="655"/>
      <c r="E244" s="206"/>
      <c r="F244" s="215" t="str">
        <f>[2]!CopyFormula(F173)</f>
        <v>Calculation Overrides</v>
      </c>
      <c r="G244" s="215"/>
      <c r="H244" s="227"/>
      <c r="I244" s="559"/>
      <c r="J244" s="205"/>
      <c r="K244" s="206"/>
    </row>
    <row r="245" spans="1:11" x14ac:dyDescent="0.2">
      <c r="A245" s="205" t="s">
        <v>1523</v>
      </c>
      <c r="B245" s="203"/>
      <c r="C245" s="205"/>
      <c r="D245" s="655"/>
      <c r="E245" s="232"/>
      <c r="F245" s="215"/>
      <c r="G245" s="215"/>
      <c r="H245" s="227"/>
      <c r="I245" s="559"/>
      <c r="J245" s="205"/>
      <c r="K245" s="206"/>
    </row>
    <row r="246" spans="1:11" x14ac:dyDescent="0.2">
      <c r="A246" s="205" t="s">
        <v>1526</v>
      </c>
      <c r="B246" s="203"/>
      <c r="C246" s="205"/>
      <c r="D246" s="655"/>
      <c r="E246" s="232"/>
      <c r="F246" s="215"/>
      <c r="G246" s="215"/>
      <c r="H246" s="227"/>
      <c r="I246" s="559"/>
      <c r="J246" s="205"/>
      <c r="K246" s="206"/>
    </row>
    <row r="247" spans="1:11" x14ac:dyDescent="0.2">
      <c r="A247" s="205" t="s">
        <v>582</v>
      </c>
      <c r="B247" s="203"/>
      <c r="C247" s="205"/>
      <c r="D247" s="655"/>
      <c r="E247" s="232"/>
      <c r="F247" s="215"/>
      <c r="G247" s="215"/>
      <c r="H247" s="227"/>
      <c r="I247" s="559"/>
      <c r="J247" s="205"/>
      <c r="K247" s="206"/>
    </row>
    <row r="248" spans="1:11" x14ac:dyDescent="0.2">
      <c r="A248" s="205" t="s">
        <v>585</v>
      </c>
      <c r="B248" s="203"/>
      <c r="C248" s="205"/>
      <c r="D248" s="655"/>
      <c r="E248" s="232"/>
      <c r="F248" s="215"/>
      <c r="G248" s="215"/>
      <c r="H248" s="227"/>
      <c r="I248" s="559"/>
      <c r="J248" s="205"/>
      <c r="K248" s="206"/>
    </row>
    <row r="249" spans="1:11" x14ac:dyDescent="0.2">
      <c r="A249" s="205" t="s">
        <v>588</v>
      </c>
      <c r="B249" s="203"/>
      <c r="C249" s="205"/>
      <c r="D249" s="655"/>
      <c r="E249" s="206"/>
      <c r="F249" s="215"/>
      <c r="G249" s="215"/>
      <c r="H249" s="227"/>
      <c r="I249" s="559"/>
      <c r="J249" s="205"/>
      <c r="K249" s="206"/>
    </row>
    <row r="250" spans="1:11" x14ac:dyDescent="0.2">
      <c r="A250" s="202" t="s">
        <v>364</v>
      </c>
      <c r="B250" s="203"/>
      <c r="C250" s="205"/>
      <c r="D250" s="655"/>
      <c r="E250" s="223"/>
      <c r="F250" s="215" t="str">
        <f>[2]!CopyFormula(F$179)</f>
        <v>Calculation Parameters</v>
      </c>
      <c r="G250" s="215"/>
      <c r="H250" s="227"/>
      <c r="I250" s="559"/>
      <c r="J250" s="205"/>
      <c r="K250" s="206"/>
    </row>
    <row r="251" spans="1:11" x14ac:dyDescent="0.2">
      <c r="A251" s="209" t="s">
        <v>531</v>
      </c>
      <c r="B251" s="210"/>
      <c r="C251" s="209"/>
      <c r="D251" s="656" t="s">
        <v>366</v>
      </c>
      <c r="E251" s="228"/>
      <c r="F251" s="216"/>
      <c r="G251" s="216"/>
      <c r="H251" s="229"/>
      <c r="I251" s="561"/>
      <c r="J251" s="209"/>
      <c r="K251" s="211"/>
    </row>
    <row r="252" spans="1:11" x14ac:dyDescent="0.2">
      <c r="D252" s="52"/>
      <c r="G252" s="97"/>
      <c r="J252" s="97"/>
    </row>
    <row r="253" spans="1:11" x14ac:dyDescent="0.2">
      <c r="A253" s="59" t="s">
        <v>1684</v>
      </c>
      <c r="B253" s="60" t="s">
        <v>2013</v>
      </c>
      <c r="C253" s="60"/>
      <c r="D253" s="658"/>
      <c r="E253" s="217"/>
      <c r="F253" s="401" t="s">
        <v>543</v>
      </c>
      <c r="G253" s="70"/>
      <c r="H253" s="218"/>
      <c r="I253" s="218"/>
      <c r="J253" s="218"/>
      <c r="K253" s="219"/>
    </row>
    <row r="254" spans="1:11" x14ac:dyDescent="0.2">
      <c r="A254" s="201" t="s">
        <v>1681</v>
      </c>
      <c r="B254" s="37" t="s">
        <v>1682</v>
      </c>
      <c r="C254" s="37" t="s">
        <v>542</v>
      </c>
      <c r="D254" s="37" t="s">
        <v>2466</v>
      </c>
      <c r="E254" s="38" t="s">
        <v>548</v>
      </c>
      <c r="F254" s="73" t="s">
        <v>356</v>
      </c>
      <c r="G254" s="73" t="s">
        <v>862</v>
      </c>
      <c r="H254" s="73" t="s">
        <v>357</v>
      </c>
      <c r="I254" s="73" t="s">
        <v>358</v>
      </c>
      <c r="J254" s="73" t="s">
        <v>865</v>
      </c>
      <c r="K254" s="74" t="s">
        <v>866</v>
      </c>
    </row>
    <row r="255" spans="1:11" x14ac:dyDescent="0.2">
      <c r="A255" s="202" t="s">
        <v>364</v>
      </c>
      <c r="B255" s="212"/>
      <c r="C255" s="204"/>
      <c r="D255" s="654"/>
      <c r="E255" s="231"/>
      <c r="F255" s="214" t="str">
        <f>[2]!CopyFormula(F158)</f>
        <v>Calculation Parameters</v>
      </c>
      <c r="G255" s="214"/>
      <c r="H255" s="221"/>
      <c r="I255" s="558"/>
      <c r="J255" s="204"/>
      <c r="K255" s="231"/>
    </row>
    <row r="256" spans="1:11" x14ac:dyDescent="0.2">
      <c r="A256" s="205" t="s">
        <v>748</v>
      </c>
      <c r="B256" s="203"/>
      <c r="C256" s="205"/>
      <c r="D256" s="655"/>
      <c r="E256" s="206"/>
      <c r="F256" s="215"/>
      <c r="G256" s="215"/>
      <c r="H256" s="227"/>
      <c r="I256" s="559"/>
      <c r="J256" s="205"/>
      <c r="K256" s="206"/>
    </row>
    <row r="257" spans="1:11" x14ac:dyDescent="0.2">
      <c r="A257" s="205" t="s">
        <v>745</v>
      </c>
      <c r="B257" s="203"/>
      <c r="C257" s="205"/>
      <c r="D257" s="655"/>
      <c r="E257" s="206"/>
      <c r="F257" s="215" t="str">
        <f>[2]!CopyFormula(F160)</f>
        <v>Date of Retirement</v>
      </c>
      <c r="G257" s="215"/>
      <c r="H257" s="224">
        <f>MAX(G60, [2]!GetProfileDate("date-erd"))</f>
        <v>50534</v>
      </c>
      <c r="I257" s="560">
        <f>MAX(H257, [2]!AddYears( [2]!GetProfileDate("date-birth"), 80 ))</f>
        <v>56013</v>
      </c>
      <c r="J257" s="205" t="s">
        <v>748</v>
      </c>
      <c r="K257" s="206" t="s">
        <v>746</v>
      </c>
    </row>
    <row r="258" spans="1:11" x14ac:dyDescent="0.2">
      <c r="A258" s="205" t="s">
        <v>799</v>
      </c>
      <c r="B258" s="203"/>
      <c r="C258" s="205"/>
      <c r="D258" s="655"/>
      <c r="E258" s="206"/>
      <c r="F258" s="215"/>
      <c r="G258" s="215"/>
      <c r="H258" s="227"/>
      <c r="I258" s="559"/>
      <c r="J258" s="205"/>
      <c r="K258" s="206"/>
    </row>
    <row r="259" spans="1:11" x14ac:dyDescent="0.2">
      <c r="A259" s="205" t="s">
        <v>802</v>
      </c>
      <c r="B259" s="203"/>
      <c r="C259" s="205"/>
      <c r="D259" s="655"/>
      <c r="E259" s="206"/>
      <c r="F259" s="215"/>
      <c r="G259" s="215"/>
      <c r="H259" s="227"/>
      <c r="I259" s="559"/>
      <c r="J259" s="205"/>
      <c r="K259" s="206"/>
    </row>
    <row r="260" spans="1:11" x14ac:dyDescent="0.2">
      <c r="A260" s="202" t="s">
        <v>364</v>
      </c>
      <c r="B260" s="203"/>
      <c r="C260" s="205"/>
      <c r="D260" s="655"/>
      <c r="E260" s="206"/>
      <c r="F260" s="215" t="str">
        <f>[2]!CopyFormula(F111)</f>
        <v>Beneficiary Information</v>
      </c>
      <c r="G260" s="215"/>
      <c r="H260" s="227"/>
      <c r="I260" s="559"/>
      <c r="J260" s="205"/>
      <c r="K260" s="206"/>
    </row>
    <row r="261" spans="1:11" x14ac:dyDescent="0.2">
      <c r="A261" s="205" t="s">
        <v>108</v>
      </c>
      <c r="B261" s="203"/>
      <c r="C261" s="205"/>
      <c r="D261" s="655"/>
      <c r="E261" s="223" t="str">
        <f>[2]!GetDataConfig("name-first-ben")</f>
        <v>name-first-ben</v>
      </c>
      <c r="F261" s="215"/>
      <c r="G261" s="215"/>
      <c r="H261" s="227"/>
      <c r="I261" s="559"/>
      <c r="J261" s="205"/>
      <c r="K261" s="206"/>
    </row>
    <row r="262" spans="1:11" x14ac:dyDescent="0.2">
      <c r="A262" s="207" t="s">
        <v>111</v>
      </c>
      <c r="B262" s="203"/>
      <c r="C262" s="205"/>
      <c r="D262" s="655"/>
      <c r="E262" s="223" t="str">
        <f>[2]!GetDataConfig("name-last-ben")</f>
        <v>name-last-ben</v>
      </c>
      <c r="F262" s="215"/>
      <c r="G262" s="215"/>
      <c r="H262" s="227"/>
      <c r="I262" s="559"/>
      <c r="J262" s="205"/>
      <c r="K262" s="206"/>
    </row>
    <row r="263" spans="1:11" x14ac:dyDescent="0.2">
      <c r="A263" s="205" t="s">
        <v>114</v>
      </c>
      <c r="B263" s="203"/>
      <c r="C263" s="205"/>
      <c r="D263" s="655"/>
      <c r="E263" s="223" t="str">
        <f>[2]!GetDataConfig("date-birth-ben")</f>
        <v>date-birth-ben</v>
      </c>
      <c r="F263" s="215"/>
      <c r="G263" s="215"/>
      <c r="H263" s="227"/>
      <c r="I263" s="559"/>
      <c r="J263" s="205"/>
      <c r="K263" s="206"/>
    </row>
    <row r="264" spans="1:11" x14ac:dyDescent="0.2">
      <c r="A264" s="202" t="s">
        <v>364</v>
      </c>
      <c r="B264" s="203"/>
      <c r="C264" s="205"/>
      <c r="D264" s="655"/>
      <c r="E264" s="223"/>
      <c r="F264" s="215" t="str">
        <f>[2]!CopyFormula(F167)</f>
        <v>Demographic Information</v>
      </c>
      <c r="G264" s="215"/>
      <c r="H264" s="227"/>
      <c r="I264" s="559"/>
      <c r="J264" s="205"/>
      <c r="K264" s="206"/>
    </row>
    <row r="265" spans="1:11" x14ac:dyDescent="0.2">
      <c r="A265" s="205" t="s">
        <v>117</v>
      </c>
      <c r="B265" s="203"/>
      <c r="C265" s="205"/>
      <c r="D265" s="655"/>
      <c r="E265" s="223" t="str">
        <f>[2]!GetDataConfig("address1")</f>
        <v>address1</v>
      </c>
      <c r="F265" s="215"/>
      <c r="G265" s="215"/>
      <c r="H265" s="227"/>
      <c r="I265" s="559"/>
      <c r="J265" s="205"/>
      <c r="K265" s="206"/>
    </row>
    <row r="266" spans="1:11" x14ac:dyDescent="0.2">
      <c r="A266" s="205" t="s">
        <v>120</v>
      </c>
      <c r="B266" s="203"/>
      <c r="C266" s="205"/>
      <c r="D266" s="655"/>
      <c r="E266" s="223" t="str">
        <f>[2]!GetDataConfig("address2")</f>
        <v>address2</v>
      </c>
      <c r="F266" s="215"/>
      <c r="G266" s="215"/>
      <c r="H266" s="227"/>
      <c r="I266" s="559"/>
      <c r="J266" s="205"/>
      <c r="K266" s="206"/>
    </row>
    <row r="267" spans="1:11" x14ac:dyDescent="0.2">
      <c r="A267" s="205" t="s">
        <v>122</v>
      </c>
      <c r="B267" s="203"/>
      <c r="C267" s="205"/>
      <c r="D267" s="655"/>
      <c r="E267" s="223" t="str">
        <f>[2]!GetDataConfig("city")</f>
        <v>city</v>
      </c>
      <c r="F267" s="215"/>
      <c r="G267" s="215"/>
      <c r="H267" s="227"/>
      <c r="I267" s="559"/>
      <c r="J267" s="205"/>
      <c r="K267" s="206"/>
    </row>
    <row r="268" spans="1:11" x14ac:dyDescent="0.2">
      <c r="A268" s="205" t="s">
        <v>124</v>
      </c>
      <c r="B268" s="203"/>
      <c r="C268" s="205"/>
      <c r="D268" s="655"/>
      <c r="E268" s="223" t="str">
        <f>[2]!GetDataConfig("state")</f>
        <v>state</v>
      </c>
      <c r="F268" s="215"/>
      <c r="G268" s="215"/>
      <c r="H268" s="227"/>
      <c r="I268" s="559"/>
      <c r="J268" s="205"/>
      <c r="K268" s="206"/>
    </row>
    <row r="269" spans="1:11" x14ac:dyDescent="0.2">
      <c r="A269" s="205" t="s">
        <v>126</v>
      </c>
      <c r="B269" s="203"/>
      <c r="C269" s="205"/>
      <c r="D269" s="655"/>
      <c r="E269" s="223" t="str">
        <f>[2]!GetDataConfig("zip")</f>
        <v>zip</v>
      </c>
      <c r="F269" s="215"/>
      <c r="G269" s="215"/>
      <c r="H269" s="227"/>
      <c r="I269" s="559"/>
      <c r="J269" s="205"/>
      <c r="K269" s="206"/>
    </row>
    <row r="270" spans="1:11" x14ac:dyDescent="0.2">
      <c r="A270" s="202" t="s">
        <v>364</v>
      </c>
      <c r="B270" s="203"/>
      <c r="C270" s="205"/>
      <c r="D270" s="655"/>
      <c r="E270" s="206"/>
      <c r="F270" s="215" t="str">
        <f>[2]!CopyFormula(F173)</f>
        <v>Calculation Overrides</v>
      </c>
      <c r="G270" s="215"/>
      <c r="H270" s="227"/>
      <c r="I270" s="559"/>
      <c r="J270" s="205"/>
      <c r="K270" s="206"/>
    </row>
    <row r="271" spans="1:11" x14ac:dyDescent="0.2">
      <c r="A271" s="205" t="s">
        <v>1523</v>
      </c>
      <c r="B271" s="203"/>
      <c r="C271" s="205"/>
      <c r="D271" s="655"/>
      <c r="E271" s="232"/>
      <c r="F271" s="215"/>
      <c r="G271" s="215"/>
      <c r="H271" s="227"/>
      <c r="I271" s="559"/>
      <c r="J271" s="205"/>
      <c r="K271" s="206"/>
    </row>
    <row r="272" spans="1:11" x14ac:dyDescent="0.2">
      <c r="A272" s="205" t="s">
        <v>1526</v>
      </c>
      <c r="B272" s="203"/>
      <c r="C272" s="205"/>
      <c r="D272" s="655"/>
      <c r="E272" s="232"/>
      <c r="F272" s="215"/>
      <c r="G272" s="215"/>
      <c r="H272" s="227"/>
      <c r="I272" s="559"/>
      <c r="J272" s="205"/>
      <c r="K272" s="206"/>
    </row>
    <row r="273" spans="1:11" x14ac:dyDescent="0.2">
      <c r="A273" s="205" t="s">
        <v>582</v>
      </c>
      <c r="B273" s="203"/>
      <c r="C273" s="205"/>
      <c r="D273" s="655"/>
      <c r="E273" s="232"/>
      <c r="F273" s="215"/>
      <c r="G273" s="215"/>
      <c r="H273" s="227"/>
      <c r="I273" s="559"/>
      <c r="J273" s="205"/>
      <c r="K273" s="206"/>
    </row>
    <row r="274" spans="1:11" x14ac:dyDescent="0.2">
      <c r="A274" s="205" t="s">
        <v>585</v>
      </c>
      <c r="B274" s="203"/>
      <c r="C274" s="205"/>
      <c r="D274" s="655"/>
      <c r="E274" s="232"/>
      <c r="F274" s="215"/>
      <c r="G274" s="215"/>
      <c r="H274" s="227"/>
      <c r="I274" s="559"/>
      <c r="J274" s="205"/>
      <c r="K274" s="206"/>
    </row>
    <row r="275" spans="1:11" x14ac:dyDescent="0.2">
      <c r="A275" s="209" t="s">
        <v>588</v>
      </c>
      <c r="B275" s="210"/>
      <c r="C275" s="209"/>
      <c r="D275" s="657"/>
      <c r="E275" s="211"/>
      <c r="F275" s="216"/>
      <c r="G275" s="216"/>
      <c r="H275" s="229"/>
      <c r="I275" s="561"/>
      <c r="J275" s="209"/>
      <c r="K275" s="211"/>
    </row>
    <row r="277" spans="1:11" x14ac:dyDescent="0.2">
      <c r="A277" s="59" t="s">
        <v>1684</v>
      </c>
      <c r="B277" s="60" t="s">
        <v>1061</v>
      </c>
      <c r="C277" s="60"/>
      <c r="D277" s="217"/>
      <c r="E277" s="401" t="s">
        <v>543</v>
      </c>
      <c r="F277" s="71"/>
      <c r="G277" s="61"/>
      <c r="H277" s="61"/>
    </row>
    <row r="278" spans="1:11" x14ac:dyDescent="0.2">
      <c r="A278" s="201" t="s">
        <v>1681</v>
      </c>
      <c r="B278" s="37" t="s">
        <v>1682</v>
      </c>
      <c r="C278" s="37" t="s">
        <v>542</v>
      </c>
      <c r="D278" s="38" t="s">
        <v>548</v>
      </c>
      <c r="E278" s="72" t="s">
        <v>862</v>
      </c>
      <c r="F278" s="74" t="s">
        <v>356</v>
      </c>
      <c r="G278" s="61"/>
      <c r="H278" s="61"/>
    </row>
    <row r="279" spans="1:11" x14ac:dyDescent="0.2">
      <c r="A279" s="213" t="s">
        <v>364</v>
      </c>
      <c r="B279" s="212"/>
      <c r="C279" s="204"/>
      <c r="D279" s="231"/>
      <c r="E279" s="205"/>
      <c r="F279" s="206" t="str">
        <f>Localization!B353</f>
        <v>Parameters</v>
      </c>
      <c r="G279" s="61"/>
      <c r="H279" s="61"/>
    </row>
    <row r="280" spans="1:11" x14ac:dyDescent="0.2">
      <c r="A280" s="209" t="s">
        <v>535</v>
      </c>
      <c r="B280" s="210"/>
      <c r="C280" s="209"/>
      <c r="D280" s="211"/>
      <c r="E280" s="209"/>
      <c r="F280" s="211"/>
      <c r="G280" s="61"/>
      <c r="H280" s="61"/>
    </row>
    <row r="281" spans="1:11" x14ac:dyDescent="0.2">
      <c r="G281" s="61"/>
      <c r="H281" s="61"/>
    </row>
    <row r="282" spans="1:11" x14ac:dyDescent="0.2">
      <c r="A282" s="59" t="s">
        <v>1684</v>
      </c>
      <c r="B282" s="60" t="s">
        <v>3</v>
      </c>
      <c r="C282" s="60"/>
      <c r="D282" s="217"/>
      <c r="E282" s="401" t="s">
        <v>543</v>
      </c>
      <c r="F282" s="71"/>
    </row>
    <row r="283" spans="1:11" x14ac:dyDescent="0.2">
      <c r="A283" s="201" t="s">
        <v>1681</v>
      </c>
      <c r="B283" s="37" t="s">
        <v>1682</v>
      </c>
      <c r="C283" s="37" t="s">
        <v>542</v>
      </c>
      <c r="D283" s="38" t="s">
        <v>548</v>
      </c>
      <c r="E283" s="72" t="s">
        <v>862</v>
      </c>
      <c r="F283" s="74" t="s">
        <v>356</v>
      </c>
    </row>
    <row r="284" spans="1:11" x14ac:dyDescent="0.2">
      <c r="A284" s="213" t="s">
        <v>364</v>
      </c>
      <c r="B284" s="212"/>
      <c r="C284" s="204"/>
      <c r="D284" s="231"/>
      <c r="E284" s="205"/>
      <c r="F284" s="206" t="str">
        <f>[2]!CopyFormula(F279)</f>
        <v>Parameters</v>
      </c>
    </row>
    <row r="285" spans="1:11" x14ac:dyDescent="0.2">
      <c r="A285" s="406" t="s">
        <v>5</v>
      </c>
      <c r="B285" s="203"/>
      <c r="C285" s="205"/>
      <c r="D285" s="206"/>
      <c r="E285" s="205"/>
      <c r="F285" s="206"/>
    </row>
    <row r="286" spans="1:11" x14ac:dyDescent="0.2">
      <c r="A286" s="406" t="s">
        <v>8</v>
      </c>
      <c r="B286" s="203"/>
      <c r="C286" s="205"/>
      <c r="D286" s="206"/>
      <c r="E286" s="205"/>
      <c r="F286" s="206"/>
    </row>
    <row r="287" spans="1:11" x14ac:dyDescent="0.2">
      <c r="A287" s="406" t="s">
        <v>11</v>
      </c>
      <c r="B287" s="203"/>
      <c r="C287" s="205"/>
      <c r="D287" s="206"/>
      <c r="E287" s="205"/>
      <c r="F287" s="206"/>
      <c r="G287" s="61"/>
      <c r="H287" s="61"/>
    </row>
    <row r="288" spans="1:11" x14ac:dyDescent="0.2">
      <c r="A288" s="209" t="s">
        <v>471</v>
      </c>
      <c r="B288" s="210"/>
      <c r="C288" s="209"/>
      <c r="D288" s="211"/>
      <c r="E288" s="209"/>
      <c r="F288" s="211"/>
    </row>
    <row r="290" spans="1:11" x14ac:dyDescent="0.2">
      <c r="A290" s="59" t="s">
        <v>1684</v>
      </c>
      <c r="B290" s="60" t="s">
        <v>2011</v>
      </c>
      <c r="C290" s="60"/>
      <c r="D290" s="217"/>
      <c r="E290" s="401" t="s">
        <v>543</v>
      </c>
      <c r="F290" s="71"/>
      <c r="G290" s="61"/>
      <c r="H290" s="61"/>
    </row>
    <row r="291" spans="1:11" x14ac:dyDescent="0.2">
      <c r="A291" s="201" t="s">
        <v>1681</v>
      </c>
      <c r="B291" s="37" t="s">
        <v>1682</v>
      </c>
      <c r="C291" s="37" t="s">
        <v>542</v>
      </c>
      <c r="D291" s="38" t="s">
        <v>548</v>
      </c>
      <c r="E291" s="72" t="s">
        <v>862</v>
      </c>
      <c r="F291" s="74" t="s">
        <v>356</v>
      </c>
      <c r="G291" s="61"/>
      <c r="H291" s="61"/>
    </row>
    <row r="292" spans="1:11" x14ac:dyDescent="0.2">
      <c r="A292" s="213" t="s">
        <v>364</v>
      </c>
      <c r="B292" s="212"/>
      <c r="C292" s="204"/>
      <c r="D292" s="231"/>
      <c r="E292" s="205"/>
      <c r="F292" s="206" t="str">
        <f>[2]!CopyFormula(F279)</f>
        <v>Parameters</v>
      </c>
      <c r="G292" s="61"/>
      <c r="H292" s="61"/>
    </row>
    <row r="293" spans="1:11" x14ac:dyDescent="0.2">
      <c r="A293" s="209" t="s">
        <v>533</v>
      </c>
      <c r="B293" s="210"/>
      <c r="C293" s="209"/>
      <c r="D293" s="211"/>
      <c r="E293" s="209"/>
      <c r="F293" s="211"/>
      <c r="G293" s="61"/>
      <c r="H293" s="61"/>
    </row>
    <row r="295" spans="1:11" x14ac:dyDescent="0.2">
      <c r="I295" s="61"/>
    </row>
    <row r="296" spans="1:11" x14ac:dyDescent="0.2">
      <c r="I296" s="61"/>
    </row>
    <row r="297" spans="1:11" x14ac:dyDescent="0.2">
      <c r="I297" s="61"/>
    </row>
    <row r="298" spans="1:11" x14ac:dyDescent="0.2">
      <c r="G298" s="61"/>
      <c r="H298" s="61"/>
      <c r="I298" s="61"/>
    </row>
    <row r="299" spans="1:11" x14ac:dyDescent="0.2">
      <c r="I299" s="61"/>
    </row>
    <row r="300" spans="1:11" x14ac:dyDescent="0.2">
      <c r="I300" s="61"/>
    </row>
    <row r="301" spans="1:11" x14ac:dyDescent="0.2">
      <c r="G301" s="61"/>
      <c r="H301" s="61"/>
      <c r="I301" s="61"/>
      <c r="J301" s="61"/>
    </row>
    <row r="302" spans="1:11" x14ac:dyDescent="0.2">
      <c r="I302" s="61"/>
      <c r="J302" s="61"/>
    </row>
    <row r="303" spans="1:11" x14ac:dyDescent="0.2">
      <c r="J303" s="61"/>
    </row>
    <row r="304" spans="1:11" x14ac:dyDescent="0.2">
      <c r="J304" s="61"/>
      <c r="K304" s="61"/>
    </row>
    <row r="305" spans="1:11" x14ac:dyDescent="0.2">
      <c r="J305" s="61"/>
      <c r="K305" s="61"/>
    </row>
    <row r="306" spans="1:11" x14ac:dyDescent="0.2">
      <c r="I306" s="61"/>
      <c r="J306" s="61"/>
      <c r="K306" s="61"/>
    </row>
    <row r="307" spans="1:11" x14ac:dyDescent="0.2">
      <c r="I307" s="61"/>
      <c r="J307" s="61"/>
      <c r="K307" s="61"/>
    </row>
    <row r="308" spans="1:11" x14ac:dyDescent="0.2">
      <c r="I308" s="61"/>
      <c r="J308" s="61"/>
      <c r="K308" s="61"/>
    </row>
    <row r="309" spans="1:11" x14ac:dyDescent="0.2">
      <c r="I309" s="61"/>
      <c r="K309" s="61"/>
    </row>
    <row r="310" spans="1:11" x14ac:dyDescent="0.2">
      <c r="I310" s="61"/>
      <c r="K310" s="61"/>
    </row>
    <row r="311" spans="1:11" x14ac:dyDescent="0.2">
      <c r="K311" s="61"/>
    </row>
    <row r="312" spans="1:11" x14ac:dyDescent="0.2">
      <c r="J312" s="61"/>
    </row>
    <row r="313" spans="1:11" s="61" customFormat="1" x14ac:dyDescent="0.2">
      <c r="A313"/>
      <c r="B313"/>
      <c r="C313"/>
      <c r="D313"/>
      <c r="E313"/>
      <c r="F313"/>
      <c r="G313"/>
      <c r="H313"/>
      <c r="I313"/>
      <c r="K313"/>
    </row>
    <row r="314" spans="1:11" s="61" customFormat="1" x14ac:dyDescent="0.2">
      <c r="A314"/>
      <c r="B314"/>
      <c r="C314"/>
      <c r="D314"/>
      <c r="E314"/>
      <c r="F314"/>
      <c r="G314"/>
      <c r="H314"/>
      <c r="I314"/>
      <c r="K314"/>
    </row>
    <row r="315" spans="1:11" s="61" customFormat="1" x14ac:dyDescent="0.2">
      <c r="A315"/>
      <c r="B315"/>
      <c r="C315"/>
      <c r="D315"/>
      <c r="E315"/>
      <c r="F315"/>
      <c r="G315"/>
      <c r="H315"/>
      <c r="I315"/>
    </row>
    <row r="316" spans="1:11" s="61" customFormat="1" x14ac:dyDescent="0.2">
      <c r="A316"/>
      <c r="B316"/>
      <c r="C316"/>
      <c r="D316"/>
      <c r="E316"/>
      <c r="F316"/>
      <c r="G316"/>
      <c r="H316"/>
    </row>
    <row r="317" spans="1:11" s="61" customFormat="1" x14ac:dyDescent="0.2">
      <c r="A317"/>
      <c r="B317"/>
      <c r="C317"/>
      <c r="D317"/>
      <c r="E317"/>
      <c r="F317"/>
      <c r="G317"/>
      <c r="H317"/>
      <c r="I317"/>
      <c r="J317"/>
    </row>
    <row r="318" spans="1:11" s="61" customFormat="1" x14ac:dyDescent="0.2">
      <c r="A318"/>
      <c r="B318"/>
      <c r="C318"/>
      <c r="D318"/>
      <c r="E318"/>
      <c r="F318"/>
      <c r="G318"/>
      <c r="H318"/>
      <c r="I318"/>
      <c r="J318"/>
    </row>
    <row r="319" spans="1:11" s="61" customFormat="1" x14ac:dyDescent="0.2">
      <c r="A319"/>
      <c r="B319"/>
      <c r="C319"/>
      <c r="D319"/>
      <c r="E319"/>
      <c r="F319"/>
      <c r="G319"/>
      <c r="H319"/>
      <c r="J319"/>
    </row>
    <row r="320" spans="1:11" s="61" customFormat="1" x14ac:dyDescent="0.2">
      <c r="A320"/>
      <c r="B320"/>
      <c r="C320"/>
      <c r="D320"/>
      <c r="E320"/>
      <c r="F320"/>
      <c r="G320"/>
      <c r="H320"/>
      <c r="I320"/>
      <c r="J320"/>
      <c r="K320"/>
    </row>
    <row r="322" spans="1:11" x14ac:dyDescent="0.2">
      <c r="J322" s="61"/>
    </row>
    <row r="324" spans="1:11" s="61" customFormat="1" x14ac:dyDescent="0.2">
      <c r="A324"/>
      <c r="B324"/>
      <c r="C324"/>
      <c r="D324"/>
      <c r="E324"/>
      <c r="F324"/>
      <c r="G324"/>
      <c r="H324"/>
      <c r="I324"/>
      <c r="J324"/>
      <c r="K324"/>
    </row>
    <row r="325" spans="1:11" s="61" customFormat="1" x14ac:dyDescent="0.2">
      <c r="A325"/>
      <c r="B325"/>
      <c r="C325"/>
      <c r="D325"/>
      <c r="E325"/>
      <c r="F325"/>
      <c r="G325"/>
      <c r="H325"/>
      <c r="I325"/>
    </row>
    <row r="326" spans="1:11" s="61" customFormat="1" x14ac:dyDescent="0.2">
      <c r="A326"/>
      <c r="B326"/>
      <c r="C326"/>
      <c r="D326"/>
      <c r="E326"/>
      <c r="F326"/>
      <c r="G326"/>
      <c r="H326"/>
      <c r="I326"/>
      <c r="J326"/>
      <c r="K326"/>
    </row>
    <row r="327" spans="1:11" s="61" customFormat="1" x14ac:dyDescent="0.2">
      <c r="A327"/>
      <c r="B327"/>
      <c r="C327"/>
      <c r="D327"/>
      <c r="E327"/>
      <c r="F327"/>
      <c r="G327"/>
      <c r="H327"/>
      <c r="I327"/>
      <c r="J327"/>
      <c r="K327"/>
    </row>
    <row r="328" spans="1:11" s="61" customFormat="1" x14ac:dyDescent="0.2">
      <c r="A328"/>
      <c r="B328"/>
      <c r="C328"/>
      <c r="D328"/>
      <c r="E328"/>
      <c r="F328"/>
      <c r="G328"/>
      <c r="H328"/>
      <c r="I328"/>
      <c r="J328"/>
    </row>
    <row r="334" spans="1:11" s="61" customFormat="1" x14ac:dyDescent="0.2">
      <c r="A334"/>
      <c r="B334"/>
      <c r="C334"/>
      <c r="D334"/>
      <c r="E334"/>
      <c r="F334"/>
      <c r="G334"/>
      <c r="H334"/>
      <c r="I334"/>
      <c r="J334"/>
      <c r="K334"/>
    </row>
    <row r="337" spans="1:11" s="61" customFormat="1" x14ac:dyDescent="0.2">
      <c r="A337"/>
      <c r="B337"/>
      <c r="C337"/>
      <c r="D337"/>
      <c r="E337"/>
      <c r="F337"/>
      <c r="G337"/>
      <c r="H337"/>
      <c r="I337"/>
      <c r="J337"/>
      <c r="K337"/>
    </row>
  </sheetData>
  <phoneticPr fontId="26" type="noConversion"/>
  <dataValidations count="19">
    <dataValidation type="list" errorStyle="information" allowBlank="1" showErrorMessage="1" error="Please select a value from the drop down list." sqref="R95:R97">
      <formula1>"Equal,NotEqual,GreaterThan,GreaterThanEqual,LessThan,LessThanEqual"</formula1>
    </dataValidation>
    <dataValidation type="list" showInputMessage="1" showErrorMessage="1" sqref="B3">
      <formula1>"Calc Inputs"</formula1>
    </dataValidation>
    <dataValidation type="list" errorStyle="information" allowBlank="1" showErrorMessage="1" error="Please select a value from the drop down list." sqref="E95:E97">
      <formula1>HiddenBTR_ValidFieldTypes</formula1>
    </dataValidation>
    <dataValidation type="list" errorStyle="information" allowBlank="1" showErrorMessage="1" error="Please select a value from the drop down list." sqref="E53:E94">
      <formula1>HiddenBTR_ValidFieldTypes</formula1>
    </dataValidation>
    <dataValidation type="list" errorStyle="information" allowBlank="1" showErrorMessage="1" error="Please select a value from the drop down list." sqref="R53:R94">
      <formula1>"Equal,NotEqual,GreaterThan,GreaterThanEqual,LessThan,LessThanEqual"</formula1>
    </dataValidation>
    <dataValidation type="list" errorStyle="information" allowBlank="1" showErrorMessage="1" error="Please select a value from the drop down list." sqref="K229:K251">
      <formula1>"Equal,NotEqual,GreaterThan,GreaterThanEqual,LessThan,LessThanEqual"</formula1>
    </dataValidation>
    <dataValidation type="list" errorStyle="information" allowBlank="1" showErrorMessage="1" error="Please select a value from the drop down list." sqref="K255:K275">
      <formula1>"Equal,NotEqual,GreaterThan,GreaterThanEqual,LessThan,LessThanEqual"</formula1>
    </dataValidation>
    <dataValidation type="list" errorStyle="information" allowBlank="1" showErrorMessage="1" error="Please select a value from the drop down list." sqref="B101">
      <formula1>HiddenBTR_ValidCalculationLayouts</formula1>
    </dataValidation>
    <dataValidation type="list" errorStyle="information" allowBlank="1" showErrorMessage="1" error="Please select a value from the drop down list." sqref="B114">
      <formula1>HiddenBTR_ValidCalculationLayouts</formula1>
    </dataValidation>
    <dataValidation type="list" errorStyle="information" allowBlank="1" showErrorMessage="1" error="Please select a value from the drop down list." sqref="B131">
      <formula1>HiddenBTR_ValidCalculationLayouts</formula1>
    </dataValidation>
    <dataValidation type="list" errorStyle="information" allowBlank="1" showErrorMessage="1" error="Please select a value from the drop down list." sqref="B151">
      <formula1>HiddenBTR_ValidCalculationLayouts</formula1>
    </dataValidation>
    <dataValidation type="list" errorStyle="information" allowBlank="1" showErrorMessage="1" error="Please select a value from the drop down list." sqref="B156">
      <formula1>HiddenBTR_ValidCalculationLayouts</formula1>
    </dataValidation>
    <dataValidation type="list" errorStyle="information" allowBlank="1" showErrorMessage="1" error="Please select a value from the drop down list." sqref="B182">
      <formula1>HiddenBTR_ValidCalculationLayouts</formula1>
    </dataValidation>
    <dataValidation type="list" errorStyle="information" allowBlank="1" showErrorMessage="1" error="Please select a value from the drop down list." sqref="B206">
      <formula1>HiddenBTR_ValidCalculationLayouts</formula1>
    </dataValidation>
    <dataValidation type="list" errorStyle="information" allowBlank="1" showErrorMessage="1" error="Please select a value from the drop down list." sqref="B227">
      <formula1>HiddenBTR_ValidCalculationLayouts</formula1>
    </dataValidation>
    <dataValidation type="list" errorStyle="information" allowBlank="1" showErrorMessage="1" error="Please select a value from the drop down list." sqref="B253">
      <formula1>HiddenBTR_ValidCalculationLayouts</formula1>
    </dataValidation>
    <dataValidation type="list" errorStyle="information" allowBlank="1" showErrorMessage="1" error="Please select a value from the drop down list." sqref="B277">
      <formula1>HiddenBTR_ValidCalculationLayouts</formula1>
    </dataValidation>
    <dataValidation type="list" errorStyle="information" allowBlank="1" showErrorMessage="1" error="Please select a value from the drop down list." sqref="B282">
      <formula1>HiddenBTR_ValidCalculationLayouts</formula1>
    </dataValidation>
    <dataValidation type="list" errorStyle="information" allowBlank="1" showErrorMessage="1" error="Please select a value from the drop down list." sqref="B290">
      <formula1>HiddenBTR_ValidCalculationLayouts</formula1>
    </dataValidation>
  </dataValidations>
  <pageMargins left="0.7" right="0.7" top="0.75" bottom="0.75" header="0.3" footer="0.3"/>
  <pageSetup orientation="portrait" horizontalDpi="4294967293" r:id="rId1"/>
  <headerFooter alignWithMargins="0"/>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MHARateTables">
    <tabColor theme="1"/>
  </sheetPr>
  <dimension ref="A1:H32"/>
  <sheetViews>
    <sheetView workbookViewId="0"/>
  </sheetViews>
  <sheetFormatPr defaultRowHeight="12.75" x14ac:dyDescent="0.2"/>
  <cols>
    <col min="1" max="1" width="23.85546875" bestFit="1" customWidth="1"/>
    <col min="2" max="2" width="26.140625" customWidth="1"/>
    <col min="3" max="3" width="24" customWidth="1"/>
    <col min="4" max="4" width="24.140625" customWidth="1"/>
    <col min="5" max="5" width="24" bestFit="1" customWidth="1"/>
    <col min="6" max="6" width="23.28515625" bestFit="1" customWidth="1"/>
    <col min="7" max="7" width="22.85546875" bestFit="1" customWidth="1"/>
    <col min="8" max="8" width="10.7109375" customWidth="1"/>
  </cols>
  <sheetData>
    <row r="1" spans="1:8" s="3" customFormat="1" x14ac:dyDescent="0.2">
      <c r="A1" s="1" t="s">
        <v>1148</v>
      </c>
      <c r="B1" s="2"/>
    </row>
    <row r="2" spans="1:8" x14ac:dyDescent="0.2">
      <c r="A2" s="4" t="s">
        <v>209</v>
      </c>
      <c r="B2" s="99">
        <v>6</v>
      </c>
      <c r="C2" s="6"/>
      <c r="D2" s="6"/>
      <c r="E2" s="6"/>
      <c r="F2" s="6"/>
      <c r="G2" s="6"/>
      <c r="H2" s="7"/>
    </row>
    <row r="3" spans="1:8" x14ac:dyDescent="0.2">
      <c r="A3" s="8" t="s">
        <v>1149</v>
      </c>
      <c r="B3" s="9" t="s">
        <v>1036</v>
      </c>
      <c r="C3" s="10"/>
      <c r="D3" s="10"/>
      <c r="E3" s="10"/>
      <c r="F3" s="10"/>
      <c r="G3" s="10"/>
      <c r="H3" s="11"/>
    </row>
    <row r="4" spans="1:8" x14ac:dyDescent="0.2">
      <c r="A4" s="8" t="s">
        <v>70</v>
      </c>
      <c r="B4" s="100" t="s">
        <v>1037</v>
      </c>
      <c r="C4" s="10"/>
      <c r="D4" s="10"/>
      <c r="E4" s="10"/>
      <c r="F4" s="10"/>
      <c r="G4" s="10"/>
      <c r="H4" s="11"/>
    </row>
    <row r="5" spans="1:8" x14ac:dyDescent="0.2">
      <c r="A5" s="8" t="s">
        <v>1151</v>
      </c>
      <c r="B5" s="12" t="s">
        <v>1038</v>
      </c>
      <c r="C5" s="10"/>
      <c r="D5" s="10"/>
      <c r="E5" s="10"/>
      <c r="F5" s="10"/>
      <c r="G5" s="10"/>
      <c r="H5" s="11"/>
    </row>
    <row r="6" spans="1:8" x14ac:dyDescent="0.2">
      <c r="A6" s="13"/>
      <c r="B6" s="12"/>
      <c r="C6" s="10"/>
      <c r="D6" s="10"/>
      <c r="E6" s="10"/>
      <c r="F6" s="10"/>
      <c r="G6" s="10"/>
      <c r="H6" s="11"/>
    </row>
    <row r="7" spans="1:8" x14ac:dyDescent="0.2">
      <c r="A7" s="46"/>
      <c r="B7" s="102"/>
      <c r="C7" s="23"/>
      <c r="D7" s="23"/>
      <c r="E7" s="23"/>
      <c r="F7" s="23"/>
      <c r="G7" s="23"/>
      <c r="H7" s="24"/>
    </row>
    <row r="8" spans="1:8" ht="13.5" thickBot="1" x14ac:dyDescent="0.25">
      <c r="A8" s="25"/>
      <c r="B8" s="29"/>
    </row>
    <row r="9" spans="1:8" x14ac:dyDescent="0.2">
      <c r="A9" s="103" t="s">
        <v>926</v>
      </c>
      <c r="B9" s="104" t="s">
        <v>1056</v>
      </c>
      <c r="C9" s="104" t="s">
        <v>1057</v>
      </c>
    </row>
    <row r="10" spans="1:8" x14ac:dyDescent="0.2">
      <c r="A10" s="65" t="s">
        <v>537</v>
      </c>
      <c r="B10" s="65" t="s">
        <v>1039</v>
      </c>
      <c r="C10" s="65" t="s">
        <v>355</v>
      </c>
    </row>
    <row r="11" spans="1:8" x14ac:dyDescent="0.2">
      <c r="A11" s="356">
        <v>1994</v>
      </c>
      <c r="B11">
        <v>4.7500000000000001E-2</v>
      </c>
      <c r="C11" t="s">
        <v>928</v>
      </c>
    </row>
    <row r="12" spans="1:8" x14ac:dyDescent="0.2">
      <c r="A12" s="382">
        <v>1995</v>
      </c>
      <c r="B12" s="367">
        <v>7.4999999999999997E-2</v>
      </c>
      <c r="C12" t="s">
        <v>928</v>
      </c>
    </row>
    <row r="13" spans="1:8" x14ac:dyDescent="0.2">
      <c r="A13" s="382">
        <v>1996</v>
      </c>
      <c r="B13" s="367">
        <v>5.5E-2</v>
      </c>
      <c r="C13" t="s">
        <v>928</v>
      </c>
    </row>
    <row r="14" spans="1:8" x14ac:dyDescent="0.2">
      <c r="A14" s="382">
        <v>1997</v>
      </c>
      <c r="B14" s="367">
        <v>0.06</v>
      </c>
      <c r="C14" t="s">
        <v>928</v>
      </c>
    </row>
    <row r="15" spans="1:8" x14ac:dyDescent="0.2">
      <c r="A15" s="382">
        <v>1998</v>
      </c>
      <c r="B15" s="367">
        <v>5.7500000000000002E-2</v>
      </c>
      <c r="C15" t="s">
        <v>928</v>
      </c>
    </row>
    <row r="16" spans="1:8" x14ac:dyDescent="0.2">
      <c r="A16" s="382">
        <v>1999</v>
      </c>
      <c r="B16" s="367">
        <v>4.2500000000000003E-2</v>
      </c>
      <c r="C16" t="s">
        <v>928</v>
      </c>
    </row>
    <row r="17" spans="1:3" x14ac:dyDescent="0.2">
      <c r="A17" s="382">
        <v>2000</v>
      </c>
      <c r="B17" s="367">
        <v>0.06</v>
      </c>
      <c r="C17" t="s">
        <v>928</v>
      </c>
    </row>
    <row r="18" spans="1:3" x14ac:dyDescent="0.2">
      <c r="A18" s="382">
        <v>2001</v>
      </c>
      <c r="B18" s="367">
        <v>5.5E-2</v>
      </c>
      <c r="C18" t="s">
        <v>928</v>
      </c>
    </row>
    <row r="19" spans="1:3" x14ac:dyDescent="0.2">
      <c r="A19" s="382">
        <v>2002</v>
      </c>
      <c r="B19" s="367">
        <v>0.04</v>
      </c>
      <c r="C19" t="s">
        <v>928</v>
      </c>
    </row>
    <row r="20" spans="1:3" x14ac:dyDescent="0.2">
      <c r="A20" s="382">
        <v>2003</v>
      </c>
      <c r="B20" s="367">
        <v>0.03</v>
      </c>
      <c r="C20" t="s">
        <v>928</v>
      </c>
    </row>
    <row r="21" spans="1:3" x14ac:dyDescent="0.2">
      <c r="A21" s="382">
        <v>2004</v>
      </c>
      <c r="B21" s="367">
        <v>3.2500000000000001E-2</v>
      </c>
      <c r="C21" t="s">
        <v>928</v>
      </c>
    </row>
    <row r="22" spans="1:3" x14ac:dyDescent="0.2">
      <c r="A22" s="382">
        <v>2005</v>
      </c>
      <c r="B22" s="367">
        <v>3.2500000000000001E-2</v>
      </c>
      <c r="C22" t="s">
        <v>928</v>
      </c>
    </row>
    <row r="23" spans="1:3" x14ac:dyDescent="0.2">
      <c r="A23" s="382">
        <v>2006</v>
      </c>
      <c r="B23" s="367">
        <v>4.2500000000000003E-2</v>
      </c>
      <c r="C23" t="s">
        <v>928</v>
      </c>
    </row>
    <row r="24" spans="1:3" x14ac:dyDescent="0.2">
      <c r="A24" s="382">
        <v>2007</v>
      </c>
      <c r="B24" s="383">
        <v>4.4999999999999998E-2</v>
      </c>
      <c r="C24" t="s">
        <v>928</v>
      </c>
    </row>
    <row r="25" spans="1:3" x14ac:dyDescent="0.2">
      <c r="A25" s="382">
        <v>2008</v>
      </c>
      <c r="B25" s="367">
        <v>3.7499999999999999E-2</v>
      </c>
      <c r="C25" t="s">
        <v>928</v>
      </c>
    </row>
    <row r="26" spans="1:3" x14ac:dyDescent="0.2">
      <c r="A26" s="382">
        <v>2009</v>
      </c>
      <c r="B26" s="367">
        <v>0.02</v>
      </c>
      <c r="C26" t="s">
        <v>928</v>
      </c>
    </row>
    <row r="27" spans="1:3" x14ac:dyDescent="0.2">
      <c r="A27" s="382">
        <v>2010</v>
      </c>
      <c r="B27" s="367">
        <v>2.2499999999999999E-2</v>
      </c>
      <c r="C27" t="s">
        <v>928</v>
      </c>
    </row>
    <row r="28" spans="1:3" x14ac:dyDescent="0.2">
      <c r="A28" s="382">
        <v>2011</v>
      </c>
      <c r="B28" s="367">
        <v>0</v>
      </c>
      <c r="C28" t="s">
        <v>928</v>
      </c>
    </row>
    <row r="29" spans="1:3" x14ac:dyDescent="0.2">
      <c r="A29" s="382">
        <v>2012</v>
      </c>
      <c r="B29" s="367">
        <v>0</v>
      </c>
      <c r="C29" t="s">
        <v>928</v>
      </c>
    </row>
    <row r="30" spans="1:3" x14ac:dyDescent="0.2">
      <c r="A30" s="382">
        <v>2013</v>
      </c>
      <c r="B30" s="367">
        <v>0</v>
      </c>
      <c r="C30" t="s">
        <v>928</v>
      </c>
    </row>
    <row r="31" spans="1:3" x14ac:dyDescent="0.2">
      <c r="A31" s="382">
        <v>2014</v>
      </c>
      <c r="B31" s="367">
        <v>0</v>
      </c>
      <c r="C31" t="s">
        <v>928</v>
      </c>
    </row>
    <row r="32" spans="1:3" x14ac:dyDescent="0.2">
      <c r="A32" s="382">
        <v>2015</v>
      </c>
      <c r="B32" s="367">
        <v>0</v>
      </c>
      <c r="C32" t="s">
        <v>928</v>
      </c>
    </row>
  </sheetData>
  <phoneticPr fontId="0" type="noConversion"/>
  <dataValidations count="1">
    <dataValidation type="list" showInputMessage="1" showErrorMessage="1" sqref="B3">
      <formula1>"Rate Tables"</formula1>
    </dataValidation>
  </dataValidations>
  <pageMargins left="0.75" right="0.75" top="1" bottom="1" header="0.5" footer="0.5"/>
  <pageSetup orientation="portrait" horizontalDpi="4294967293" verticalDpi="4294967293" r:id="rId1"/>
  <headerFooter alignWithMargins="0"/>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Localization">
    <tabColor theme="1"/>
  </sheetPr>
  <dimension ref="A1:I406"/>
  <sheetViews>
    <sheetView workbookViewId="0"/>
  </sheetViews>
  <sheetFormatPr defaultRowHeight="12.75" x14ac:dyDescent="0.2"/>
  <cols>
    <col min="1" max="1" width="40.5703125" customWidth="1"/>
    <col min="2" max="2" width="63" customWidth="1"/>
  </cols>
  <sheetData>
    <row r="1" spans="1:9" s="3" customFormat="1" ht="13.5" thickBot="1" x14ac:dyDescent="0.25">
      <c r="A1" s="59" t="s">
        <v>1148</v>
      </c>
      <c r="B1" s="60"/>
      <c r="C1" s="40"/>
      <c r="D1" s="40"/>
      <c r="E1" s="40"/>
      <c r="F1" s="40"/>
      <c r="G1" s="40"/>
      <c r="H1" s="40"/>
      <c r="I1" s="40"/>
    </row>
    <row r="2" spans="1:9" x14ac:dyDescent="0.2">
      <c r="A2" s="644" t="s">
        <v>209</v>
      </c>
      <c r="B2" s="646">
        <v>6</v>
      </c>
      <c r="C2" s="639"/>
      <c r="D2" s="639"/>
      <c r="E2" s="639"/>
      <c r="F2" s="639"/>
      <c r="G2" s="639"/>
      <c r="H2" s="639"/>
      <c r="I2" s="640"/>
    </row>
    <row r="3" spans="1:9" x14ac:dyDescent="0.2">
      <c r="A3" s="645" t="s">
        <v>1149</v>
      </c>
      <c r="B3" s="641" t="s">
        <v>520</v>
      </c>
      <c r="C3" s="642"/>
      <c r="D3" s="642"/>
      <c r="E3" s="642"/>
      <c r="F3" s="642"/>
      <c r="G3" s="642"/>
      <c r="H3" s="642"/>
      <c r="I3" s="643"/>
    </row>
    <row r="4" spans="1:9" x14ac:dyDescent="0.2">
      <c r="A4" s="645" t="s">
        <v>1151</v>
      </c>
      <c r="B4" s="642"/>
      <c r="C4" s="642"/>
      <c r="D4" s="642"/>
      <c r="E4" s="642"/>
      <c r="F4" s="642"/>
      <c r="G4" s="642"/>
      <c r="H4" s="642"/>
      <c r="I4" s="643"/>
    </row>
    <row r="5" spans="1:9" x14ac:dyDescent="0.2">
      <c r="A5" s="647"/>
      <c r="B5" s="642" t="s">
        <v>1698</v>
      </c>
      <c r="C5" s="642"/>
      <c r="D5" s="642"/>
      <c r="E5" s="642"/>
      <c r="F5" s="642"/>
      <c r="G5" s="642"/>
      <c r="H5" s="642"/>
      <c r="I5" s="643"/>
    </row>
    <row r="6" spans="1:9" x14ac:dyDescent="0.2">
      <c r="A6" s="647"/>
      <c r="B6" s="642" t="s">
        <v>1412</v>
      </c>
      <c r="C6" s="642"/>
      <c r="D6" s="642"/>
      <c r="E6" s="642"/>
      <c r="F6" s="642"/>
      <c r="G6" s="642"/>
      <c r="H6" s="642"/>
      <c r="I6" s="643"/>
    </row>
    <row r="7" spans="1:9" x14ac:dyDescent="0.2">
      <c r="A7" s="647"/>
      <c r="B7" s="642" t="s">
        <v>1699</v>
      </c>
      <c r="C7" s="642"/>
      <c r="D7" s="642"/>
      <c r="E7" s="642"/>
      <c r="F7" s="642"/>
      <c r="G7" s="642"/>
      <c r="H7" s="642"/>
      <c r="I7" s="643"/>
    </row>
    <row r="8" spans="1:9" x14ac:dyDescent="0.2">
      <c r="A8" s="647"/>
      <c r="B8" s="642"/>
      <c r="C8" s="642"/>
      <c r="D8" s="642"/>
      <c r="E8" s="642"/>
      <c r="F8" s="642"/>
      <c r="G8" s="642"/>
      <c r="H8" s="642"/>
      <c r="I8" s="643"/>
    </row>
    <row r="9" spans="1:9" x14ac:dyDescent="0.2">
      <c r="A9" s="647"/>
      <c r="B9" s="642" t="s">
        <v>1700</v>
      </c>
      <c r="C9" s="642"/>
      <c r="D9" s="642"/>
      <c r="E9" s="642"/>
      <c r="F9" s="642"/>
      <c r="G9" s="642"/>
      <c r="H9" s="642"/>
      <c r="I9" s="643"/>
    </row>
    <row r="10" spans="1:9" x14ac:dyDescent="0.2">
      <c r="A10" s="647"/>
      <c r="B10" s="648" t="s">
        <v>1458</v>
      </c>
      <c r="C10" s="642"/>
      <c r="D10" s="642"/>
      <c r="E10" s="642"/>
      <c r="F10" s="642"/>
      <c r="G10" s="642"/>
      <c r="H10" s="642"/>
      <c r="I10" s="643"/>
    </row>
    <row r="11" spans="1:9" x14ac:dyDescent="0.2">
      <c r="A11" s="647"/>
      <c r="B11" s="642" t="s">
        <v>1701</v>
      </c>
      <c r="C11" s="642"/>
      <c r="D11" s="642"/>
      <c r="E11" s="642"/>
      <c r="F11" s="642"/>
      <c r="G11" s="642"/>
      <c r="H11" s="642"/>
      <c r="I11" s="643"/>
    </row>
    <row r="12" spans="1:9" x14ac:dyDescent="0.2">
      <c r="A12" s="647"/>
      <c r="B12" s="642" t="s">
        <v>1702</v>
      </c>
      <c r="C12" s="642"/>
      <c r="D12" s="642"/>
      <c r="E12" s="642"/>
      <c r="F12" s="642"/>
      <c r="G12" s="642"/>
      <c r="H12" s="642"/>
      <c r="I12" s="643"/>
    </row>
    <row r="13" spans="1:9" x14ac:dyDescent="0.2">
      <c r="A13" s="647"/>
      <c r="B13" s="642"/>
      <c r="C13" s="642"/>
      <c r="D13" s="642"/>
      <c r="E13" s="642"/>
      <c r="F13" s="642"/>
      <c r="G13" s="642"/>
      <c r="H13" s="642"/>
      <c r="I13" s="643"/>
    </row>
    <row r="14" spans="1:9" x14ac:dyDescent="0.2">
      <c r="A14" s="647"/>
      <c r="B14" s="642" t="s">
        <v>522</v>
      </c>
      <c r="C14" s="642"/>
      <c r="D14" s="642"/>
      <c r="E14" s="642"/>
      <c r="F14" s="642"/>
      <c r="G14" s="642"/>
      <c r="H14" s="642"/>
      <c r="I14" s="643"/>
    </row>
    <row r="15" spans="1:9" x14ac:dyDescent="0.2">
      <c r="A15" s="647"/>
      <c r="B15" s="642" t="s">
        <v>1703</v>
      </c>
      <c r="C15" s="642"/>
      <c r="D15" s="642"/>
      <c r="E15" s="642"/>
      <c r="F15" s="642"/>
      <c r="G15" s="642"/>
      <c r="H15" s="642"/>
      <c r="I15" s="643"/>
    </row>
    <row r="16" spans="1:9" ht="13.5" thickBot="1" x14ac:dyDescent="0.25">
      <c r="A16" s="649"/>
      <c r="B16" s="650"/>
      <c r="C16" s="650"/>
      <c r="D16" s="650"/>
      <c r="E16" s="650"/>
      <c r="F16" s="650"/>
      <c r="G16" s="650"/>
      <c r="H16" s="650"/>
      <c r="I16" s="651"/>
    </row>
    <row r="18" spans="1:3" s="3" customFormat="1" x14ac:dyDescent="0.2">
      <c r="A18" s="1" t="s">
        <v>1704</v>
      </c>
      <c r="B18" s="1" t="s">
        <v>1831</v>
      </c>
      <c r="C18" s="198" t="s">
        <v>1705</v>
      </c>
    </row>
    <row r="19" spans="1:3" x14ac:dyDescent="0.2">
      <c r="A19" t="s">
        <v>506</v>
      </c>
      <c r="B19" t="s">
        <v>363</v>
      </c>
      <c r="C19" t="str">
        <f>"French: " &amp;B19</f>
        <v>French: Employee Information</v>
      </c>
    </row>
    <row r="20" spans="1:3" x14ac:dyDescent="0.2">
      <c r="A20" t="s">
        <v>507</v>
      </c>
      <c r="B20" t="s">
        <v>365</v>
      </c>
      <c r="C20" t="str">
        <f t="shared" ref="C20:C75" si="0">"French: " &amp;B20</f>
        <v>French: Basic Information</v>
      </c>
    </row>
    <row r="21" spans="1:3" x14ac:dyDescent="0.2">
      <c r="A21" t="s">
        <v>1659</v>
      </c>
      <c r="B21" t="s">
        <v>341</v>
      </c>
      <c r="C21" t="str">
        <f t="shared" si="0"/>
        <v>French: Last Name</v>
      </c>
    </row>
    <row r="22" spans="1:3" x14ac:dyDescent="0.2">
      <c r="A22" t="s">
        <v>1660</v>
      </c>
      <c r="B22" t="s">
        <v>343</v>
      </c>
      <c r="C22" t="str">
        <f t="shared" si="0"/>
        <v>French: First Name</v>
      </c>
    </row>
    <row r="23" spans="1:3" x14ac:dyDescent="0.2">
      <c r="A23" t="s">
        <v>1661</v>
      </c>
      <c r="B23" t="s">
        <v>370</v>
      </c>
      <c r="C23" t="str">
        <f t="shared" si="0"/>
        <v>French: Middle Initial</v>
      </c>
    </row>
    <row r="24" spans="1:3" x14ac:dyDescent="0.2">
      <c r="A24" t="s">
        <v>674</v>
      </c>
      <c r="B24" t="s">
        <v>372</v>
      </c>
      <c r="C24" t="str">
        <f t="shared" si="0"/>
        <v>French: Sex</v>
      </c>
    </row>
    <row r="25" spans="1:3" x14ac:dyDescent="0.2">
      <c r="A25" t="s">
        <v>559</v>
      </c>
      <c r="B25" t="s">
        <v>340</v>
      </c>
      <c r="C25" t="str">
        <f t="shared" si="0"/>
        <v>French: SSN</v>
      </c>
    </row>
    <row r="26" spans="1:3" x14ac:dyDescent="0.2">
      <c r="A26" t="s">
        <v>1662</v>
      </c>
      <c r="B26" t="s">
        <v>375</v>
      </c>
      <c r="C26" t="str">
        <f t="shared" si="0"/>
        <v>French: Date of Birth</v>
      </c>
    </row>
    <row r="27" spans="1:3" x14ac:dyDescent="0.2">
      <c r="A27" t="s">
        <v>1663</v>
      </c>
      <c r="B27" t="s">
        <v>377</v>
      </c>
      <c r="C27" t="str">
        <f t="shared" si="0"/>
        <v>French: Date of Death</v>
      </c>
    </row>
    <row r="28" spans="1:3" x14ac:dyDescent="0.2">
      <c r="A28" t="s">
        <v>560</v>
      </c>
      <c r="B28" t="s">
        <v>378</v>
      </c>
      <c r="C28" t="str">
        <f t="shared" si="0"/>
        <v>French: Employment Information</v>
      </c>
    </row>
    <row r="29" spans="1:3" x14ac:dyDescent="0.2">
      <c r="A29" t="s">
        <v>1664</v>
      </c>
      <c r="B29" t="s">
        <v>380</v>
      </c>
      <c r="C29" t="str">
        <f t="shared" si="0"/>
        <v>French: Division</v>
      </c>
    </row>
    <row r="30" spans="1:3" x14ac:dyDescent="0.2">
      <c r="A30" t="s">
        <v>561</v>
      </c>
      <c r="B30" t="s">
        <v>383</v>
      </c>
      <c r="C30" t="str">
        <f t="shared" si="0"/>
        <v>French: Location</v>
      </c>
    </row>
    <row r="31" spans="1:3" x14ac:dyDescent="0.2">
      <c r="A31" t="s">
        <v>1665</v>
      </c>
      <c r="B31" t="s">
        <v>386</v>
      </c>
      <c r="C31" t="str">
        <f t="shared" si="0"/>
        <v>French: Job Title</v>
      </c>
    </row>
    <row r="32" spans="1:3" x14ac:dyDescent="0.2">
      <c r="A32" t="s">
        <v>1666</v>
      </c>
      <c r="B32" t="s">
        <v>388</v>
      </c>
      <c r="C32" t="str">
        <f t="shared" si="0"/>
        <v>French: Original Date of Hire</v>
      </c>
    </row>
    <row r="33" spans="1:3" x14ac:dyDescent="0.2">
      <c r="A33" t="s">
        <v>1667</v>
      </c>
      <c r="B33" t="s">
        <v>1001</v>
      </c>
      <c r="C33" t="str">
        <f t="shared" si="0"/>
        <v>French: Final Termination Date</v>
      </c>
    </row>
    <row r="34" spans="1:3" x14ac:dyDescent="0.2">
      <c r="A34" t="s">
        <v>562</v>
      </c>
      <c r="B34" t="s">
        <v>1002</v>
      </c>
      <c r="C34" t="str">
        <f t="shared" si="0"/>
        <v>French: Demographic Information</v>
      </c>
    </row>
    <row r="35" spans="1:3" x14ac:dyDescent="0.2">
      <c r="A35" t="s">
        <v>563</v>
      </c>
      <c r="B35" t="s">
        <v>1004</v>
      </c>
      <c r="C35" t="str">
        <f t="shared" si="0"/>
        <v>French: Address 1</v>
      </c>
    </row>
    <row r="36" spans="1:3" x14ac:dyDescent="0.2">
      <c r="A36" t="s">
        <v>564</v>
      </c>
      <c r="B36" t="s">
        <v>1006</v>
      </c>
      <c r="C36" t="str">
        <f t="shared" si="0"/>
        <v>French: Address 2</v>
      </c>
    </row>
    <row r="37" spans="1:3" x14ac:dyDescent="0.2">
      <c r="A37" t="s">
        <v>565</v>
      </c>
      <c r="B37" t="s">
        <v>1008</v>
      </c>
      <c r="C37" t="str">
        <f t="shared" si="0"/>
        <v>French: City</v>
      </c>
    </row>
    <row r="38" spans="1:3" x14ac:dyDescent="0.2">
      <c r="A38" t="s">
        <v>566</v>
      </c>
      <c r="B38" t="s">
        <v>1010</v>
      </c>
      <c r="C38" t="str">
        <f t="shared" si="0"/>
        <v>French: State</v>
      </c>
    </row>
    <row r="39" spans="1:3" x14ac:dyDescent="0.2">
      <c r="A39" t="s">
        <v>1668</v>
      </c>
      <c r="B39" t="s">
        <v>1013</v>
      </c>
      <c r="C39" t="str">
        <f t="shared" si="0"/>
        <v>French: Zip Code</v>
      </c>
    </row>
    <row r="40" spans="1:3" x14ac:dyDescent="0.2">
      <c r="A40" t="s">
        <v>2170</v>
      </c>
      <c r="B40" t="s">
        <v>2169</v>
      </c>
      <c r="C40" t="str">
        <f t="shared" si="0"/>
        <v>French: Please enter a valid standard 5 digit US Zip Code format (#####) or the US ZIP + 4 Standard format (#####-####).</v>
      </c>
    </row>
    <row r="41" spans="1:3" x14ac:dyDescent="0.2">
      <c r="A41" t="s">
        <v>567</v>
      </c>
      <c r="B41" t="s">
        <v>1015</v>
      </c>
      <c r="C41" t="str">
        <f t="shared" si="0"/>
        <v>French: Beneficiary Information</v>
      </c>
    </row>
    <row r="42" spans="1:3" x14ac:dyDescent="0.2">
      <c r="A42" t="s">
        <v>1669</v>
      </c>
      <c r="B42" t="s">
        <v>341</v>
      </c>
      <c r="C42" t="str">
        <f t="shared" si="0"/>
        <v>French: Last Name</v>
      </c>
    </row>
    <row r="43" spans="1:3" x14ac:dyDescent="0.2">
      <c r="A43" t="s">
        <v>1670</v>
      </c>
      <c r="B43" t="s">
        <v>343</v>
      </c>
      <c r="C43" t="str">
        <f t="shared" si="0"/>
        <v>French: First Name</v>
      </c>
    </row>
    <row r="44" spans="1:3" x14ac:dyDescent="0.2">
      <c r="A44" t="s">
        <v>1671</v>
      </c>
      <c r="B44" t="s">
        <v>370</v>
      </c>
      <c r="C44" t="str">
        <f t="shared" si="0"/>
        <v>French: Middle Initial</v>
      </c>
    </row>
    <row r="45" spans="1:3" x14ac:dyDescent="0.2">
      <c r="A45" t="s">
        <v>1672</v>
      </c>
      <c r="B45" t="s">
        <v>372</v>
      </c>
      <c r="C45" t="str">
        <f t="shared" si="0"/>
        <v>French: Sex</v>
      </c>
    </row>
    <row r="46" spans="1:3" x14ac:dyDescent="0.2">
      <c r="A46" t="s">
        <v>1673</v>
      </c>
      <c r="B46" t="s">
        <v>340</v>
      </c>
      <c r="C46" t="str">
        <f t="shared" si="0"/>
        <v>French: SSN</v>
      </c>
    </row>
    <row r="47" spans="1:3" x14ac:dyDescent="0.2">
      <c r="A47" t="s">
        <v>1674</v>
      </c>
      <c r="B47" t="s">
        <v>375</v>
      </c>
      <c r="C47" t="str">
        <f t="shared" si="0"/>
        <v>French: Date of Birth</v>
      </c>
    </row>
    <row r="48" spans="1:3" x14ac:dyDescent="0.2">
      <c r="A48" t="s">
        <v>568</v>
      </c>
      <c r="B48" t="s">
        <v>1022</v>
      </c>
      <c r="C48" t="str">
        <f t="shared" si="0"/>
        <v>French: System Information</v>
      </c>
    </row>
    <row r="49" spans="1:3" x14ac:dyDescent="0.2">
      <c r="A49" t="s">
        <v>1675</v>
      </c>
      <c r="B49" t="s">
        <v>1023</v>
      </c>
      <c r="C49" t="str">
        <f t="shared" si="0"/>
        <v>French: Batch Indicator</v>
      </c>
    </row>
    <row r="50" spans="1:3" x14ac:dyDescent="0.2">
      <c r="A50" t="s">
        <v>580</v>
      </c>
      <c r="B50" t="s">
        <v>701</v>
      </c>
      <c r="C50" t="str">
        <f t="shared" si="0"/>
        <v>French: Testing Calculation Control Indicator</v>
      </c>
    </row>
    <row r="51" spans="1:3" x14ac:dyDescent="0.2">
      <c r="A51" t="s">
        <v>1676</v>
      </c>
      <c r="B51" t="s">
        <v>1527</v>
      </c>
      <c r="C51" t="str">
        <f t="shared" si="0"/>
        <v>French: Initial Data Is Bad</v>
      </c>
    </row>
    <row r="52" spans="1:3" x14ac:dyDescent="0.2">
      <c r="A52" t="s">
        <v>1677</v>
      </c>
      <c r="B52" t="s">
        <v>1529</v>
      </c>
      <c r="C52" t="str">
        <f t="shared" si="0"/>
        <v>French: Employee Allowed on Self Service Site?</v>
      </c>
    </row>
    <row r="53" spans="1:3" x14ac:dyDescent="0.2">
      <c r="A53" t="s">
        <v>1678</v>
      </c>
      <c r="B53" t="s">
        <v>1530</v>
      </c>
      <c r="C53" t="str">
        <f t="shared" si="0"/>
        <v>French: Pin for Registration</v>
      </c>
    </row>
    <row r="54" spans="1:3" x14ac:dyDescent="0.2">
      <c r="A54" t="s">
        <v>569</v>
      </c>
      <c r="B54" t="s">
        <v>1531</v>
      </c>
      <c r="C54" t="str">
        <f t="shared" si="0"/>
        <v>French: Plan Information</v>
      </c>
    </row>
    <row r="55" spans="1:3" x14ac:dyDescent="0.2">
      <c r="A55" t="s">
        <v>570</v>
      </c>
      <c r="B55" t="s">
        <v>1532</v>
      </c>
      <c r="C55" t="str">
        <f t="shared" si="0"/>
        <v>French: Plan Dates</v>
      </c>
    </row>
    <row r="56" spans="1:3" x14ac:dyDescent="0.2">
      <c r="A56" t="s">
        <v>1261</v>
      </c>
      <c r="B56" t="s">
        <v>1534</v>
      </c>
      <c r="C56" t="str">
        <f t="shared" si="0"/>
        <v>French: Adjusted Date of Hire</v>
      </c>
    </row>
    <row r="57" spans="1:3" x14ac:dyDescent="0.2">
      <c r="A57" t="s">
        <v>1262</v>
      </c>
      <c r="B57" t="s">
        <v>1536</v>
      </c>
      <c r="C57" t="str">
        <f t="shared" si="0"/>
        <v>French: Date of Entry</v>
      </c>
    </row>
    <row r="58" spans="1:3" x14ac:dyDescent="0.2">
      <c r="A58" t="s">
        <v>1263</v>
      </c>
      <c r="B58" t="s">
        <v>1538</v>
      </c>
      <c r="C58" t="str">
        <f t="shared" si="0"/>
        <v>French: Date Vesting Service Starts</v>
      </c>
    </row>
    <row r="59" spans="1:3" x14ac:dyDescent="0.2">
      <c r="A59" t="s">
        <v>1264</v>
      </c>
      <c r="B59" t="s">
        <v>1540</v>
      </c>
      <c r="C59" t="str">
        <f t="shared" si="0"/>
        <v>French: Normal Retirement Date</v>
      </c>
    </row>
    <row r="60" spans="1:3" x14ac:dyDescent="0.2">
      <c r="A60" t="s">
        <v>1265</v>
      </c>
      <c r="B60" t="s">
        <v>1542</v>
      </c>
      <c r="C60" t="str">
        <f t="shared" si="0"/>
        <v>French: Early Retirement Date</v>
      </c>
    </row>
    <row r="61" spans="1:3" x14ac:dyDescent="0.2">
      <c r="A61" t="s">
        <v>571</v>
      </c>
      <c r="B61" t="s">
        <v>1543</v>
      </c>
      <c r="C61" t="str">
        <f t="shared" si="0"/>
        <v>French: Plan Service</v>
      </c>
    </row>
    <row r="62" spans="1:3" x14ac:dyDescent="0.2">
      <c r="A62" t="s">
        <v>1266</v>
      </c>
      <c r="B62" t="s">
        <v>1545</v>
      </c>
      <c r="C62" t="str">
        <f t="shared" si="0"/>
        <v>French: Benefit Crediting Service</v>
      </c>
    </row>
    <row r="63" spans="1:3" x14ac:dyDescent="0.2">
      <c r="A63" t="s">
        <v>1267</v>
      </c>
      <c r="B63" t="s">
        <v>1550</v>
      </c>
      <c r="C63" t="str">
        <f t="shared" si="0"/>
        <v>French: Vesting Service</v>
      </c>
    </row>
    <row r="64" spans="1:3" x14ac:dyDescent="0.2">
      <c r="A64" t="s">
        <v>1268</v>
      </c>
      <c r="B64" t="s">
        <v>1552</v>
      </c>
      <c r="C64" t="str">
        <f t="shared" si="0"/>
        <v>French: Miscellaneous Service 1</v>
      </c>
    </row>
    <row r="65" spans="1:3" x14ac:dyDescent="0.2">
      <c r="A65" t="s">
        <v>872</v>
      </c>
      <c r="B65" t="s">
        <v>1554</v>
      </c>
      <c r="C65" t="str">
        <f t="shared" si="0"/>
        <v>French: Miscellaneous Service 2</v>
      </c>
    </row>
    <row r="66" spans="1:3" x14ac:dyDescent="0.2">
      <c r="A66" t="s">
        <v>873</v>
      </c>
      <c r="B66" t="s">
        <v>1556</v>
      </c>
      <c r="C66" t="str">
        <f t="shared" si="0"/>
        <v>French: Miscellaneous Service 3</v>
      </c>
    </row>
    <row r="67" spans="1:3" x14ac:dyDescent="0.2">
      <c r="A67" t="s">
        <v>874</v>
      </c>
      <c r="B67" t="s">
        <v>240</v>
      </c>
      <c r="C67" t="str">
        <f t="shared" si="0"/>
        <v>French: Miscellaneous Service 4</v>
      </c>
    </row>
    <row r="68" spans="1:3" x14ac:dyDescent="0.2">
      <c r="A68" t="s">
        <v>875</v>
      </c>
      <c r="B68" t="s">
        <v>242</v>
      </c>
      <c r="C68" t="str">
        <f t="shared" si="0"/>
        <v>French: Miscellaneous Service 5</v>
      </c>
    </row>
    <row r="69" spans="1:3" x14ac:dyDescent="0.2">
      <c r="A69" t="s">
        <v>572</v>
      </c>
      <c r="B69" t="s">
        <v>243</v>
      </c>
      <c r="C69" t="str">
        <f t="shared" si="0"/>
        <v>French: Plan Benefits</v>
      </c>
    </row>
    <row r="70" spans="1:3" x14ac:dyDescent="0.2">
      <c r="A70" t="s">
        <v>876</v>
      </c>
      <c r="B70" t="s">
        <v>1117</v>
      </c>
      <c r="C70" t="str">
        <f t="shared" si="0"/>
        <v>French: Frozen Benefit 1</v>
      </c>
    </row>
    <row r="71" spans="1:3" x14ac:dyDescent="0.2">
      <c r="A71" t="s">
        <v>877</v>
      </c>
      <c r="B71" t="s">
        <v>1121</v>
      </c>
      <c r="C71" t="str">
        <f t="shared" si="0"/>
        <v>French: Frozen Benefit 2</v>
      </c>
    </row>
    <row r="72" spans="1:3" x14ac:dyDescent="0.2">
      <c r="A72" t="s">
        <v>878</v>
      </c>
      <c r="B72" t="s">
        <v>1123</v>
      </c>
      <c r="C72" t="str">
        <f t="shared" si="0"/>
        <v>French: Frozen Benefit 3</v>
      </c>
    </row>
    <row r="73" spans="1:3" x14ac:dyDescent="0.2">
      <c r="A73" t="s">
        <v>879</v>
      </c>
      <c r="B73" t="s">
        <v>1125</v>
      </c>
      <c r="C73" t="str">
        <f t="shared" si="0"/>
        <v>French: Frozen Benefit 4</v>
      </c>
    </row>
    <row r="74" spans="1:3" x14ac:dyDescent="0.2">
      <c r="A74" t="s">
        <v>234</v>
      </c>
      <c r="B74" t="s">
        <v>1127</v>
      </c>
      <c r="C74" t="str">
        <f t="shared" si="0"/>
        <v>French: Frozen Benefit 5</v>
      </c>
    </row>
    <row r="75" spans="1:3" x14ac:dyDescent="0.2">
      <c r="A75" t="s">
        <v>235</v>
      </c>
      <c r="B75" t="s">
        <v>2004</v>
      </c>
      <c r="C75" t="str">
        <f t="shared" si="0"/>
        <v>French: Value can not increase by more than 50%.</v>
      </c>
    </row>
    <row r="76" spans="1:3" x14ac:dyDescent="0.2">
      <c r="A76" t="s">
        <v>236</v>
      </c>
      <c r="B76" t="s">
        <v>202</v>
      </c>
      <c r="C76" t="str">
        <f t="shared" ref="C76:C83" si="1">"French: " &amp;B76</f>
        <v>French: Status History</v>
      </c>
    </row>
    <row r="77" spans="1:3" x14ac:dyDescent="0.2">
      <c r="A77" t="s">
        <v>237</v>
      </c>
      <c r="B77" t="s">
        <v>205</v>
      </c>
      <c r="C77" t="str">
        <f t="shared" si="1"/>
        <v>French: Pay History</v>
      </c>
    </row>
    <row r="78" spans="1:3" x14ac:dyDescent="0.2">
      <c r="A78" t="s">
        <v>1607</v>
      </c>
      <c r="B78" t="s">
        <v>207</v>
      </c>
      <c r="C78" t="str">
        <f t="shared" si="1"/>
        <v>French: Employment History</v>
      </c>
    </row>
    <row r="79" spans="1:3" x14ac:dyDescent="0.2">
      <c r="A79" t="s">
        <v>1608</v>
      </c>
      <c r="B79" t="s">
        <v>1409</v>
      </c>
      <c r="C79" t="str">
        <f t="shared" si="1"/>
        <v>French: Benefit Payable History</v>
      </c>
    </row>
    <row r="80" spans="1:3" x14ac:dyDescent="0.2">
      <c r="A80" t="s">
        <v>1609</v>
      </c>
      <c r="B80" t="s">
        <v>1015</v>
      </c>
      <c r="C80" t="str">
        <f t="shared" si="1"/>
        <v>French: Beneficiary Information</v>
      </c>
    </row>
    <row r="81" spans="1:3" x14ac:dyDescent="0.2">
      <c r="A81" t="s">
        <v>1610</v>
      </c>
      <c r="B81" t="s">
        <v>1258</v>
      </c>
      <c r="C81" t="str">
        <f t="shared" si="1"/>
        <v>French: Status for Plan 1</v>
      </c>
    </row>
    <row r="82" spans="1:3" x14ac:dyDescent="0.2">
      <c r="A82" t="s">
        <v>216</v>
      </c>
      <c r="B82" t="s">
        <v>260</v>
      </c>
      <c r="C82" t="str">
        <f t="shared" si="1"/>
        <v>French: Status for Plan 2</v>
      </c>
    </row>
    <row r="83" spans="1:3" x14ac:dyDescent="0.2">
      <c r="A83" t="s">
        <v>217</v>
      </c>
      <c r="B83" t="s">
        <v>339</v>
      </c>
      <c r="C83" t="str">
        <f t="shared" si="1"/>
        <v>French: Index</v>
      </c>
    </row>
    <row r="84" spans="1:3" x14ac:dyDescent="0.2">
      <c r="A84" t="s">
        <v>218</v>
      </c>
      <c r="B84" t="s">
        <v>2045</v>
      </c>
      <c r="C84" t="str">
        <f t="shared" ref="C84:C108" si="2">"French: " &amp;B84</f>
        <v>French: Status</v>
      </c>
    </row>
    <row r="85" spans="1:3" x14ac:dyDescent="0.2">
      <c r="A85" t="s">
        <v>219</v>
      </c>
      <c r="B85" t="s">
        <v>339</v>
      </c>
      <c r="C85" t="str">
        <f t="shared" si="2"/>
        <v>French: Index</v>
      </c>
    </row>
    <row r="86" spans="1:3" x14ac:dyDescent="0.2">
      <c r="A86" t="s">
        <v>220</v>
      </c>
      <c r="B86" t="s">
        <v>203</v>
      </c>
      <c r="C86" t="str">
        <f t="shared" si="2"/>
        <v>French: Pay</v>
      </c>
    </row>
    <row r="87" spans="1:3" x14ac:dyDescent="0.2">
      <c r="A87" t="s">
        <v>221</v>
      </c>
      <c r="B87" t="s">
        <v>274</v>
      </c>
      <c r="C87" t="str">
        <f t="shared" si="2"/>
        <v>French: Hours</v>
      </c>
    </row>
    <row r="88" spans="1:3" x14ac:dyDescent="0.2">
      <c r="A88" t="s">
        <v>1820</v>
      </c>
      <c r="B88" t="s">
        <v>206</v>
      </c>
      <c r="C88" t="str">
        <f t="shared" si="2"/>
        <v>French: Hire</v>
      </c>
    </row>
    <row r="89" spans="1:3" x14ac:dyDescent="0.2">
      <c r="A89" t="s">
        <v>1821</v>
      </c>
      <c r="B89" t="s">
        <v>1846</v>
      </c>
      <c r="C89" t="str">
        <f t="shared" si="2"/>
        <v>French: Term</v>
      </c>
    </row>
    <row r="90" spans="1:3" x14ac:dyDescent="0.2">
      <c r="A90" t="s">
        <v>1822</v>
      </c>
      <c r="B90" t="s">
        <v>339</v>
      </c>
      <c r="C90" t="str">
        <f t="shared" si="2"/>
        <v>French: Index</v>
      </c>
    </row>
    <row r="91" spans="1:3" x14ac:dyDescent="0.2">
      <c r="A91" t="s">
        <v>1823</v>
      </c>
      <c r="B91" t="s">
        <v>1850</v>
      </c>
      <c r="C91" t="str">
        <f t="shared" si="2"/>
        <v>French: Amount</v>
      </c>
    </row>
    <row r="92" spans="1:3" x14ac:dyDescent="0.2">
      <c r="A92" t="s">
        <v>1824</v>
      </c>
      <c r="B92" t="s">
        <v>1852</v>
      </c>
      <c r="C92" t="str">
        <f t="shared" si="2"/>
        <v>French: Frequency</v>
      </c>
    </row>
    <row r="93" spans="1:3" x14ac:dyDescent="0.2">
      <c r="A93" t="s">
        <v>1825</v>
      </c>
      <c r="B93" t="s">
        <v>1855</v>
      </c>
      <c r="C93" t="str">
        <f t="shared" si="2"/>
        <v>French: Form</v>
      </c>
    </row>
    <row r="94" spans="1:3" x14ac:dyDescent="0.2">
      <c r="A94" t="s">
        <v>1826</v>
      </c>
      <c r="B94" t="s">
        <v>283</v>
      </c>
      <c r="C94" t="str">
        <f t="shared" si="2"/>
        <v>French: Start</v>
      </c>
    </row>
    <row r="95" spans="1:3" x14ac:dyDescent="0.2">
      <c r="A95" t="s">
        <v>1827</v>
      </c>
      <c r="B95" t="s">
        <v>285</v>
      </c>
      <c r="C95" t="str">
        <f t="shared" si="2"/>
        <v>French: End</v>
      </c>
    </row>
    <row r="96" spans="1:3" x14ac:dyDescent="0.2">
      <c r="A96" t="s">
        <v>1828</v>
      </c>
      <c r="B96" t="s">
        <v>287</v>
      </c>
      <c r="C96" t="str">
        <f t="shared" si="2"/>
        <v>French: Stop</v>
      </c>
    </row>
    <row r="97" spans="1:3" x14ac:dyDescent="0.2">
      <c r="A97" t="s">
        <v>880</v>
      </c>
      <c r="B97" t="s">
        <v>289</v>
      </c>
      <c r="C97" t="str">
        <f t="shared" si="2"/>
        <v>French: Payable</v>
      </c>
    </row>
    <row r="98" spans="1:3" x14ac:dyDescent="0.2">
      <c r="A98" t="s">
        <v>881</v>
      </c>
      <c r="B98" t="s">
        <v>340</v>
      </c>
      <c r="C98" t="str">
        <f t="shared" si="2"/>
        <v>French: SSN</v>
      </c>
    </row>
    <row r="99" spans="1:3" x14ac:dyDescent="0.2">
      <c r="A99" t="s">
        <v>882</v>
      </c>
      <c r="B99" t="s">
        <v>341</v>
      </c>
      <c r="C99" t="str">
        <f t="shared" si="2"/>
        <v>French: Last Name</v>
      </c>
    </row>
    <row r="100" spans="1:3" x14ac:dyDescent="0.2">
      <c r="A100" t="s">
        <v>883</v>
      </c>
      <c r="B100" t="s">
        <v>343</v>
      </c>
      <c r="C100" t="str">
        <f t="shared" si="2"/>
        <v>French: First Name</v>
      </c>
    </row>
    <row r="101" spans="1:3" x14ac:dyDescent="0.2">
      <c r="A101" t="s">
        <v>884</v>
      </c>
      <c r="B101" t="s">
        <v>370</v>
      </c>
      <c r="C101" t="str">
        <f t="shared" si="2"/>
        <v>French: Middle Initial</v>
      </c>
    </row>
    <row r="102" spans="1:3" x14ac:dyDescent="0.2">
      <c r="A102" t="s">
        <v>885</v>
      </c>
      <c r="B102" t="s">
        <v>372</v>
      </c>
      <c r="C102" t="str">
        <f t="shared" si="2"/>
        <v>French: Sex</v>
      </c>
    </row>
    <row r="103" spans="1:3" x14ac:dyDescent="0.2">
      <c r="A103" t="s">
        <v>2083</v>
      </c>
      <c r="B103" t="s">
        <v>375</v>
      </c>
      <c r="C103" t="str">
        <f t="shared" si="2"/>
        <v>French: Date of Birth</v>
      </c>
    </row>
    <row r="104" spans="1:3" x14ac:dyDescent="0.2">
      <c r="A104" t="s">
        <v>2084</v>
      </c>
      <c r="B104" t="s">
        <v>339</v>
      </c>
      <c r="C104" t="str">
        <f t="shared" si="2"/>
        <v>French: Index</v>
      </c>
    </row>
    <row r="105" spans="1:3" x14ac:dyDescent="0.2">
      <c r="A105" t="s">
        <v>1155</v>
      </c>
      <c r="B105" t="s">
        <v>294</v>
      </c>
      <c r="C105" t="str">
        <f t="shared" si="2"/>
        <v>French: Status Date</v>
      </c>
    </row>
    <row r="106" spans="1:3" x14ac:dyDescent="0.2">
      <c r="A106" t="s">
        <v>1156</v>
      </c>
      <c r="B106" t="s">
        <v>296</v>
      </c>
      <c r="C106" t="str">
        <f t="shared" si="2"/>
        <v>French: Appendix</v>
      </c>
    </row>
    <row r="107" spans="1:3" x14ac:dyDescent="0.2">
      <c r="A107" t="s">
        <v>1174</v>
      </c>
      <c r="B107" t="s">
        <v>2045</v>
      </c>
      <c r="C107" t="str">
        <f t="shared" si="2"/>
        <v>French: Status</v>
      </c>
    </row>
    <row r="108" spans="1:3" x14ac:dyDescent="0.2">
      <c r="A108" t="s">
        <v>1175</v>
      </c>
      <c r="B108" t="s">
        <v>2004</v>
      </c>
      <c r="C108" t="str">
        <f t="shared" si="2"/>
        <v>French: Value can not increase by more than 50%.</v>
      </c>
    </row>
    <row r="109" spans="1:3" x14ac:dyDescent="0.2">
      <c r="A109" t="s">
        <v>1962</v>
      </c>
      <c r="B109" t="s">
        <v>932</v>
      </c>
      <c r="C109" t="str">
        <f t="shared" ref="C109:C140" si="3">"French: " &amp;B109</f>
        <v>French: Active</v>
      </c>
    </row>
    <row r="110" spans="1:3" x14ac:dyDescent="0.2">
      <c r="A110" t="s">
        <v>1963</v>
      </c>
      <c r="B110" t="s">
        <v>943</v>
      </c>
      <c r="C110" t="str">
        <f t="shared" si="3"/>
        <v>French: Alternate Payee in Pay Status</v>
      </c>
    </row>
    <row r="111" spans="1:3" x14ac:dyDescent="0.2">
      <c r="A111" t="s">
        <v>1964</v>
      </c>
      <c r="B111" t="s">
        <v>954</v>
      </c>
      <c r="C111" t="str">
        <f t="shared" si="3"/>
        <v>French: Alternate Payee in Deferred Status</v>
      </c>
    </row>
    <row r="112" spans="1:3" x14ac:dyDescent="0.2">
      <c r="A112" t="s">
        <v>1965</v>
      </c>
      <c r="B112" t="s">
        <v>81</v>
      </c>
      <c r="C112" t="str">
        <f t="shared" si="3"/>
        <v>French: Beneficiary in Deferred Status</v>
      </c>
    </row>
    <row r="113" spans="1:3" x14ac:dyDescent="0.2">
      <c r="A113" t="s">
        <v>1966</v>
      </c>
      <c r="B113" t="s">
        <v>86</v>
      </c>
      <c r="C113" t="str">
        <f t="shared" si="3"/>
        <v>French: Beneficiary in Pay Status</v>
      </c>
    </row>
    <row r="114" spans="1:3" x14ac:dyDescent="0.2">
      <c r="A114" t="s">
        <v>1967</v>
      </c>
      <c r="B114" t="s">
        <v>677</v>
      </c>
      <c r="C114" t="str">
        <f t="shared" si="3"/>
        <v>French: Cashout</v>
      </c>
    </row>
    <row r="115" spans="1:3" x14ac:dyDescent="0.2">
      <c r="A115" t="s">
        <v>1342</v>
      </c>
      <c r="B115" t="s">
        <v>682</v>
      </c>
      <c r="C115" t="str">
        <f t="shared" si="3"/>
        <v>French: CertainPd.Expired</v>
      </c>
    </row>
    <row r="116" spans="1:3" x14ac:dyDescent="0.2">
      <c r="A116" t="s">
        <v>1343</v>
      </c>
      <c r="B116" t="s">
        <v>19</v>
      </c>
      <c r="C116" t="str">
        <f t="shared" si="3"/>
        <v>French: Deceased</v>
      </c>
    </row>
    <row r="117" spans="1:3" x14ac:dyDescent="0.2">
      <c r="A117" t="s">
        <v>1344</v>
      </c>
      <c r="B117" t="s">
        <v>1414</v>
      </c>
      <c r="C117" t="str">
        <f t="shared" si="3"/>
        <v>French: Disabled</v>
      </c>
    </row>
    <row r="118" spans="1:3" x14ac:dyDescent="0.2">
      <c r="A118" t="s">
        <v>1345</v>
      </c>
      <c r="B118" t="s">
        <v>1419</v>
      </c>
      <c r="C118" t="str">
        <f t="shared" si="3"/>
        <v>French: Leave</v>
      </c>
    </row>
    <row r="119" spans="1:3" x14ac:dyDescent="0.2">
      <c r="A119" t="s">
        <v>1346</v>
      </c>
      <c r="B119" t="s">
        <v>1424</v>
      </c>
      <c r="C119" t="str">
        <f t="shared" si="3"/>
        <v>French: Non Participant</v>
      </c>
    </row>
    <row r="120" spans="1:3" x14ac:dyDescent="0.2">
      <c r="A120" t="s">
        <v>1347</v>
      </c>
      <c r="B120" t="s">
        <v>1429</v>
      </c>
      <c r="C120" t="str">
        <f t="shared" si="3"/>
        <v>French: Non Vested Term</v>
      </c>
    </row>
    <row r="121" spans="1:3" x14ac:dyDescent="0.2">
      <c r="A121" t="s">
        <v>1348</v>
      </c>
      <c r="B121" t="s">
        <v>1434</v>
      </c>
      <c r="C121" t="str">
        <f t="shared" si="3"/>
        <v>French: Not Eligible</v>
      </c>
    </row>
    <row r="122" spans="1:3" x14ac:dyDescent="0.2">
      <c r="A122" t="s">
        <v>1349</v>
      </c>
      <c r="B122" t="s">
        <v>1439</v>
      </c>
      <c r="C122" t="str">
        <f t="shared" si="3"/>
        <v>French: Retiree</v>
      </c>
    </row>
    <row r="123" spans="1:3" x14ac:dyDescent="0.2">
      <c r="A123" t="s">
        <v>1350</v>
      </c>
      <c r="B123" t="s">
        <v>1444</v>
      </c>
      <c r="C123" t="str">
        <f t="shared" si="3"/>
        <v>French: Severance</v>
      </c>
    </row>
    <row r="124" spans="1:3" x14ac:dyDescent="0.2">
      <c r="A124" t="s">
        <v>1351</v>
      </c>
      <c r="B124" t="s">
        <v>1449</v>
      </c>
      <c r="C124" t="str">
        <f t="shared" si="3"/>
        <v>French: Terminated Vested</v>
      </c>
    </row>
    <row r="125" spans="1:3" x14ac:dyDescent="0.2">
      <c r="A125" t="s">
        <v>1352</v>
      </c>
      <c r="B125" t="s">
        <v>303</v>
      </c>
      <c r="C125" t="str">
        <f t="shared" si="3"/>
        <v>French: Not Eligible - Age Restriction</v>
      </c>
    </row>
    <row r="126" spans="1:3" x14ac:dyDescent="0.2">
      <c r="A126" t="s">
        <v>1353</v>
      </c>
      <c r="B126" t="s">
        <v>308</v>
      </c>
      <c r="C126" t="str">
        <f t="shared" si="3"/>
        <v>French: Transferred Out</v>
      </c>
    </row>
    <row r="127" spans="1:3" x14ac:dyDescent="0.2">
      <c r="A127" t="s">
        <v>1354</v>
      </c>
      <c r="B127" t="s">
        <v>934</v>
      </c>
      <c r="C127" t="str">
        <f t="shared" si="3"/>
        <v>French: 100% J&amp;S</v>
      </c>
    </row>
    <row r="128" spans="1:3" x14ac:dyDescent="0.2">
      <c r="A128" t="s">
        <v>1355</v>
      </c>
      <c r="B128" t="s">
        <v>945</v>
      </c>
      <c r="C128" t="str">
        <f t="shared" si="3"/>
        <v>French: 100% J&amp;S w/POP Up</v>
      </c>
    </row>
    <row r="129" spans="1:3" x14ac:dyDescent="0.2">
      <c r="A129" t="s">
        <v>1356</v>
      </c>
      <c r="B129" t="s">
        <v>78</v>
      </c>
      <c r="C129" t="str">
        <f t="shared" si="3"/>
        <v>French: 10 Year Certain</v>
      </c>
    </row>
    <row r="130" spans="1:3" x14ac:dyDescent="0.2">
      <c r="A130" t="s">
        <v>1357</v>
      </c>
      <c r="B130" t="s">
        <v>83</v>
      </c>
      <c r="C130" t="str">
        <f t="shared" si="3"/>
        <v>French: 10 Year CL</v>
      </c>
    </row>
    <row r="131" spans="1:3" x14ac:dyDescent="0.2">
      <c r="A131" t="s">
        <v>1358</v>
      </c>
      <c r="B131" t="s">
        <v>88</v>
      </c>
      <c r="C131" t="str">
        <f t="shared" si="3"/>
        <v>French: 15 Year Certain</v>
      </c>
    </row>
    <row r="132" spans="1:3" x14ac:dyDescent="0.2">
      <c r="A132" t="s">
        <v>1359</v>
      </c>
      <c r="B132" t="s">
        <v>679</v>
      </c>
      <c r="C132" t="str">
        <f t="shared" si="3"/>
        <v>French: 15 Year CL</v>
      </c>
    </row>
    <row r="133" spans="1:3" x14ac:dyDescent="0.2">
      <c r="A133" t="s">
        <v>1360</v>
      </c>
      <c r="B133" t="s">
        <v>16</v>
      </c>
      <c r="C133" t="str">
        <f t="shared" si="3"/>
        <v>French: 1% Increasing Annuity</v>
      </c>
    </row>
    <row r="134" spans="1:3" x14ac:dyDescent="0.2">
      <c r="A134" t="s">
        <v>1361</v>
      </c>
      <c r="B134" t="s">
        <v>21</v>
      </c>
      <c r="C134" t="str">
        <f t="shared" si="3"/>
        <v>French: 20 Year Certain</v>
      </c>
    </row>
    <row r="135" spans="1:3" x14ac:dyDescent="0.2">
      <c r="A135" t="s">
        <v>1362</v>
      </c>
      <c r="B135" t="s">
        <v>1416</v>
      </c>
      <c r="C135" t="str">
        <f t="shared" si="3"/>
        <v>French: 20 Year CL</v>
      </c>
    </row>
    <row r="136" spans="1:3" x14ac:dyDescent="0.2">
      <c r="A136" t="s">
        <v>1363</v>
      </c>
      <c r="B136" t="s">
        <v>1421</v>
      </c>
      <c r="C136" t="str">
        <f t="shared" si="3"/>
        <v>French: 25% J&amp;S</v>
      </c>
    </row>
    <row r="137" spans="1:3" x14ac:dyDescent="0.2">
      <c r="A137" t="s">
        <v>1364</v>
      </c>
      <c r="B137" t="s">
        <v>1426</v>
      </c>
      <c r="C137" t="str">
        <f t="shared" si="3"/>
        <v>French: 25% J&amp;S w/POP Up</v>
      </c>
    </row>
    <row r="138" spans="1:3" x14ac:dyDescent="0.2">
      <c r="A138" t="s">
        <v>1365</v>
      </c>
      <c r="B138" t="s">
        <v>1431</v>
      </c>
      <c r="C138" t="str">
        <f t="shared" si="3"/>
        <v>French: 2% Increasing Annuity</v>
      </c>
    </row>
    <row r="139" spans="1:3" x14ac:dyDescent="0.2">
      <c r="A139" t="s">
        <v>1366</v>
      </c>
      <c r="B139" t="s">
        <v>1436</v>
      </c>
      <c r="C139" t="str">
        <f t="shared" si="3"/>
        <v>French: 3% Increasing Annuity</v>
      </c>
    </row>
    <row r="140" spans="1:3" x14ac:dyDescent="0.2">
      <c r="A140" t="s">
        <v>1367</v>
      </c>
      <c r="B140" t="s">
        <v>1441</v>
      </c>
      <c r="C140" t="str">
        <f t="shared" si="3"/>
        <v>French: 4% Increasing Annuity</v>
      </c>
    </row>
    <row r="141" spans="1:3" x14ac:dyDescent="0.2">
      <c r="A141" t="s">
        <v>1368</v>
      </c>
      <c r="B141" t="s">
        <v>1446</v>
      </c>
      <c r="C141" t="str">
        <f t="shared" ref="C141:C160" si="4">"French: " &amp;B141</f>
        <v>French: 50% J&amp;S</v>
      </c>
    </row>
    <row r="142" spans="1:3" x14ac:dyDescent="0.2">
      <c r="A142" t="s">
        <v>1369</v>
      </c>
      <c r="B142" t="s">
        <v>300</v>
      </c>
      <c r="C142" t="str">
        <f t="shared" si="4"/>
        <v>French: 50% Joint and Contingent</v>
      </c>
    </row>
    <row r="143" spans="1:3" x14ac:dyDescent="0.2">
      <c r="A143" t="s">
        <v>1370</v>
      </c>
      <c r="B143" t="s">
        <v>305</v>
      </c>
      <c r="C143" t="str">
        <f t="shared" si="4"/>
        <v>French: 50% J&amp;S w/POP Up</v>
      </c>
    </row>
    <row r="144" spans="1:3" x14ac:dyDescent="0.2">
      <c r="A144" t="s">
        <v>1371</v>
      </c>
      <c r="B144" t="s">
        <v>310</v>
      </c>
      <c r="C144" t="str">
        <f t="shared" si="4"/>
        <v>French: 5 Year Certain</v>
      </c>
    </row>
    <row r="145" spans="1:3" x14ac:dyDescent="0.2">
      <c r="A145" t="s">
        <v>1372</v>
      </c>
      <c r="B145" t="s">
        <v>313</v>
      </c>
      <c r="C145" t="str">
        <f t="shared" si="4"/>
        <v>French: 5 Year CL</v>
      </c>
    </row>
    <row r="146" spans="1:3" x14ac:dyDescent="0.2">
      <c r="A146" t="s">
        <v>1373</v>
      </c>
      <c r="B146" t="s">
        <v>315</v>
      </c>
      <c r="C146" t="str">
        <f t="shared" si="4"/>
        <v>French: 5% Increasing Annuity</v>
      </c>
    </row>
    <row r="147" spans="1:3" x14ac:dyDescent="0.2">
      <c r="A147" t="s">
        <v>1374</v>
      </c>
      <c r="B147" t="s">
        <v>317</v>
      </c>
      <c r="C147" t="str">
        <f t="shared" si="4"/>
        <v>French: 66% J&amp;S</v>
      </c>
    </row>
    <row r="148" spans="1:3" x14ac:dyDescent="0.2">
      <c r="A148" t="s">
        <v>510</v>
      </c>
      <c r="B148" t="s">
        <v>319</v>
      </c>
      <c r="C148" t="str">
        <f t="shared" si="4"/>
        <v>French: 66% J&amp;S w/POP Up</v>
      </c>
    </row>
    <row r="149" spans="1:3" x14ac:dyDescent="0.2">
      <c r="A149" t="s">
        <v>1570</v>
      </c>
      <c r="B149" t="s">
        <v>321</v>
      </c>
      <c r="C149" t="str">
        <f t="shared" si="4"/>
        <v>French: 75% J&amp;S</v>
      </c>
    </row>
    <row r="150" spans="1:3" x14ac:dyDescent="0.2">
      <c r="A150" t="s">
        <v>1571</v>
      </c>
      <c r="B150" t="s">
        <v>323</v>
      </c>
      <c r="C150" t="str">
        <f t="shared" si="4"/>
        <v>French: 75'% J&amp;S w/POP Up</v>
      </c>
    </row>
    <row r="151" spans="1:3" x14ac:dyDescent="0.2">
      <c r="A151" t="s">
        <v>1572</v>
      </c>
      <c r="B151" t="s">
        <v>677</v>
      </c>
      <c r="C151" t="str">
        <f t="shared" si="4"/>
        <v>French: Cashout</v>
      </c>
    </row>
    <row r="152" spans="1:3" x14ac:dyDescent="0.2">
      <c r="A152" t="s">
        <v>1573</v>
      </c>
      <c r="B152" t="s">
        <v>326</v>
      </c>
      <c r="C152" t="str">
        <f t="shared" si="4"/>
        <v>French: Level Option</v>
      </c>
    </row>
    <row r="153" spans="1:3" x14ac:dyDescent="0.2">
      <c r="A153" t="s">
        <v>1574</v>
      </c>
      <c r="B153" t="s">
        <v>328</v>
      </c>
      <c r="C153" t="str">
        <f t="shared" si="4"/>
        <v>French: Single Life Annuity</v>
      </c>
    </row>
    <row r="154" spans="1:3" x14ac:dyDescent="0.2">
      <c r="A154" t="s">
        <v>1575</v>
      </c>
      <c r="B154" t="s">
        <v>330</v>
      </c>
      <c r="C154" t="str">
        <f t="shared" si="4"/>
        <v>French: 50% J&amp;S w/10 years certain</v>
      </c>
    </row>
    <row r="155" spans="1:3" x14ac:dyDescent="0.2">
      <c r="A155" t="s">
        <v>1576</v>
      </c>
      <c r="B155" t="s">
        <v>332</v>
      </c>
      <c r="C155" t="str">
        <f t="shared" si="4"/>
        <v>French: 100% J&amp;S w/10 years certain</v>
      </c>
    </row>
    <row r="156" spans="1:3" x14ac:dyDescent="0.2">
      <c r="A156" t="s">
        <v>1176</v>
      </c>
      <c r="B156" t="s">
        <v>936</v>
      </c>
      <c r="C156" t="str">
        <f t="shared" si="4"/>
        <v>French: Location 01</v>
      </c>
    </row>
    <row r="157" spans="1:3" x14ac:dyDescent="0.2">
      <c r="A157" t="s">
        <v>1177</v>
      </c>
      <c r="B157" t="s">
        <v>947</v>
      </c>
      <c r="C157" t="str">
        <f t="shared" si="4"/>
        <v>French: Location 02</v>
      </c>
    </row>
    <row r="158" spans="1:3" x14ac:dyDescent="0.2">
      <c r="A158" t="s">
        <v>1178</v>
      </c>
      <c r="B158" t="s">
        <v>938</v>
      </c>
      <c r="C158" t="str">
        <f t="shared" si="4"/>
        <v>French: Texas Heiroglyphics</v>
      </c>
    </row>
    <row r="159" spans="1:3" x14ac:dyDescent="0.2">
      <c r="A159" t="s">
        <v>1179</v>
      </c>
      <c r="B159" t="s">
        <v>949</v>
      </c>
      <c r="C159" t="str">
        <f t="shared" si="4"/>
        <v>French: Alabama Tiki Huts</v>
      </c>
    </row>
    <row r="160" spans="1:3" x14ac:dyDescent="0.2">
      <c r="A160" t="s">
        <v>1180</v>
      </c>
      <c r="B160" t="s">
        <v>939</v>
      </c>
      <c r="C160" t="str">
        <f t="shared" si="4"/>
        <v>French: Salaried and Non Union Hourly Employees</v>
      </c>
    </row>
    <row r="161" spans="1:3" x14ac:dyDescent="0.2">
      <c r="A161" t="s">
        <v>1181</v>
      </c>
      <c r="B161" t="s">
        <v>950</v>
      </c>
      <c r="C161" t="str">
        <f t="shared" ref="C161:C178" si="5">"French: " &amp;B161</f>
        <v>French: Union: Kalamazoo</v>
      </c>
    </row>
    <row r="162" spans="1:3" x14ac:dyDescent="0.2">
      <c r="A162" t="s">
        <v>1182</v>
      </c>
      <c r="B162" t="s">
        <v>79</v>
      </c>
      <c r="C162" t="str">
        <f t="shared" si="5"/>
        <v>French: Union:Menasha and Wausau/USW</v>
      </c>
    </row>
    <row r="163" spans="1:3" x14ac:dyDescent="0.2">
      <c r="A163" t="s">
        <v>1183</v>
      </c>
      <c r="B163" t="s">
        <v>84</v>
      </c>
      <c r="C163" t="str">
        <f t="shared" si="5"/>
        <v>French: Union: Charlotte</v>
      </c>
    </row>
    <row r="164" spans="1:3" x14ac:dyDescent="0.2">
      <c r="A164" t="s">
        <v>1184</v>
      </c>
      <c r="B164" t="s">
        <v>675</v>
      </c>
      <c r="C164" t="str">
        <f t="shared" si="5"/>
        <v>French: Union: Gordonsville</v>
      </c>
    </row>
    <row r="165" spans="1:3" x14ac:dyDescent="0.2">
      <c r="A165" t="s">
        <v>1185</v>
      </c>
      <c r="B165" t="s">
        <v>680</v>
      </c>
      <c r="C165" t="str">
        <f t="shared" si="5"/>
        <v>French: Union: Garden Grove (closed)</v>
      </c>
    </row>
    <row r="166" spans="1:3" x14ac:dyDescent="0.2">
      <c r="A166" t="s">
        <v>1186</v>
      </c>
      <c r="B166" t="s">
        <v>17</v>
      </c>
      <c r="C166" t="str">
        <f t="shared" si="5"/>
        <v>French: Union: Perrrysburg (closed)</v>
      </c>
    </row>
    <row r="167" spans="1:3" x14ac:dyDescent="0.2">
      <c r="A167" t="s">
        <v>1187</v>
      </c>
      <c r="B167" t="s">
        <v>22</v>
      </c>
      <c r="C167" t="str">
        <f t="shared" si="5"/>
        <v>French: Union: North Portland</v>
      </c>
    </row>
    <row r="168" spans="1:3" x14ac:dyDescent="0.2">
      <c r="A168" t="s">
        <v>1188</v>
      </c>
      <c r="B168" t="s">
        <v>1417</v>
      </c>
      <c r="C168" t="str">
        <f t="shared" si="5"/>
        <v>French: Union:GCC/IBT</v>
      </c>
    </row>
    <row r="169" spans="1:3" x14ac:dyDescent="0.2">
      <c r="A169" t="s">
        <v>1189</v>
      </c>
      <c r="B169" t="s">
        <v>1422</v>
      </c>
      <c r="C169" t="str">
        <f t="shared" si="5"/>
        <v>French: Benefit earned under prior Universal Packaging Corporation Pension Plan</v>
      </c>
    </row>
    <row r="170" spans="1:3" x14ac:dyDescent="0.2">
      <c r="A170" t="s">
        <v>1190</v>
      </c>
      <c r="B170" t="s">
        <v>1427</v>
      </c>
      <c r="C170" t="str">
        <f t="shared" si="5"/>
        <v>French: N/A</v>
      </c>
    </row>
    <row r="171" spans="1:3" x14ac:dyDescent="0.2">
      <c r="A171" t="s">
        <v>1191</v>
      </c>
      <c r="B171" t="s">
        <v>1432</v>
      </c>
      <c r="C171" t="str">
        <f t="shared" si="5"/>
        <v>French: Bakersfield</v>
      </c>
    </row>
    <row r="172" spans="1:3" x14ac:dyDescent="0.2">
      <c r="A172" t="s">
        <v>1192</v>
      </c>
      <c r="B172" t="s">
        <v>1437</v>
      </c>
      <c r="C172" t="str">
        <f t="shared" si="5"/>
        <v>French: Cincinnati</v>
      </c>
    </row>
    <row r="173" spans="1:3" x14ac:dyDescent="0.2">
      <c r="A173" t="s">
        <v>1193</v>
      </c>
      <c r="B173" t="s">
        <v>1442</v>
      </c>
      <c r="C173" t="str">
        <f t="shared" si="5"/>
        <v>French: Clinton</v>
      </c>
    </row>
    <row r="174" spans="1:3" x14ac:dyDescent="0.2">
      <c r="A174" t="s">
        <v>1194</v>
      </c>
      <c r="B174" t="s">
        <v>1447</v>
      </c>
      <c r="C174" t="str">
        <f t="shared" si="5"/>
        <v>French: Fort Atkinson</v>
      </c>
    </row>
    <row r="175" spans="1:3" x14ac:dyDescent="0.2">
      <c r="A175" t="s">
        <v>1195</v>
      </c>
      <c r="B175" t="s">
        <v>301</v>
      </c>
      <c r="C175" t="str">
        <f t="shared" si="5"/>
        <v>French: Packaging</v>
      </c>
    </row>
    <row r="176" spans="1:3" x14ac:dyDescent="0.2">
      <c r="A176" t="s">
        <v>1196</v>
      </c>
      <c r="B176" t="s">
        <v>306</v>
      </c>
      <c r="C176" t="str">
        <f t="shared" si="5"/>
        <v>French: Paperboard Macon</v>
      </c>
    </row>
    <row r="177" spans="1:3" x14ac:dyDescent="0.2">
      <c r="A177" t="s">
        <v>1197</v>
      </c>
      <c r="B177" t="s">
        <v>311</v>
      </c>
      <c r="C177" t="str">
        <f t="shared" si="5"/>
        <v>French: Paperboard West Monroe</v>
      </c>
    </row>
    <row r="178" spans="1:3" x14ac:dyDescent="0.2">
      <c r="A178" t="s">
        <v>1198</v>
      </c>
      <c r="B178" t="s">
        <v>941</v>
      </c>
      <c r="C178" t="str">
        <f t="shared" si="5"/>
        <v>French: Unknown</v>
      </c>
    </row>
    <row r="179" spans="1:3" x14ac:dyDescent="0.2">
      <c r="A179" t="s">
        <v>1577</v>
      </c>
      <c r="B179" s="31" t="s">
        <v>2022</v>
      </c>
      <c r="C179" t="str">
        <f t="shared" ref="C179:C198" si="6">"French: " &amp;B179</f>
        <v>French: Plan Name</v>
      </c>
    </row>
    <row r="180" spans="1:3" x14ac:dyDescent="0.2">
      <c r="A180" t="s">
        <v>1578</v>
      </c>
      <c r="B180" t="s">
        <v>1281</v>
      </c>
      <c r="C180" t="str">
        <f t="shared" si="6"/>
        <v>French: Plan Sponsor</v>
      </c>
    </row>
    <row r="181" spans="1:3" x14ac:dyDescent="0.2">
      <c r="A181" t="s">
        <v>99</v>
      </c>
      <c r="B181" t="s">
        <v>482</v>
      </c>
      <c r="C181" t="str">
        <f t="shared" si="6"/>
        <v>French: Employer Identification Number</v>
      </c>
    </row>
    <row r="182" spans="1:3" x14ac:dyDescent="0.2">
      <c r="A182" t="s">
        <v>100</v>
      </c>
      <c r="B182" t="s">
        <v>1397</v>
      </c>
      <c r="C182" t="str">
        <f t="shared" si="6"/>
        <v>French: Plan Number</v>
      </c>
    </row>
    <row r="183" spans="1:3" x14ac:dyDescent="0.2">
      <c r="A183" t="s">
        <v>101</v>
      </c>
      <c r="B183" t="s">
        <v>1402</v>
      </c>
      <c r="C183" t="str">
        <f t="shared" si="6"/>
        <v>French: Effective Date</v>
      </c>
    </row>
    <row r="184" spans="1:3" x14ac:dyDescent="0.2">
      <c r="A184" t="s">
        <v>102</v>
      </c>
      <c r="B184" t="s">
        <v>1404</v>
      </c>
      <c r="C184" t="str">
        <f t="shared" si="6"/>
        <v>French: Plan Contact</v>
      </c>
    </row>
    <row r="185" spans="1:3" x14ac:dyDescent="0.2">
      <c r="A185" t="s">
        <v>103</v>
      </c>
      <c r="B185" t="s">
        <v>1026</v>
      </c>
      <c r="C185" t="str">
        <f t="shared" si="6"/>
        <v>French: Plan Contact Email</v>
      </c>
    </row>
    <row r="186" spans="1:3" x14ac:dyDescent="0.2">
      <c r="A186" t="s">
        <v>104</v>
      </c>
      <c r="B186" t="s">
        <v>1028</v>
      </c>
      <c r="C186" t="str">
        <f t="shared" si="6"/>
        <v>French: Plan Contact Title</v>
      </c>
    </row>
    <row r="187" spans="1:3" x14ac:dyDescent="0.2">
      <c r="A187" t="s">
        <v>105</v>
      </c>
      <c r="B187" t="s">
        <v>1030</v>
      </c>
      <c r="C187" t="str">
        <f t="shared" si="6"/>
        <v>French: Plan Contact Phone</v>
      </c>
    </row>
    <row r="188" spans="1:3" x14ac:dyDescent="0.2">
      <c r="A188" t="s">
        <v>106</v>
      </c>
      <c r="B188" t="s">
        <v>1032</v>
      </c>
      <c r="C188" t="str">
        <f t="shared" si="6"/>
        <v>French: Tech Contact</v>
      </c>
    </row>
    <row r="189" spans="1:3" x14ac:dyDescent="0.2">
      <c r="A189" t="s">
        <v>107</v>
      </c>
      <c r="B189" t="s">
        <v>1033</v>
      </c>
      <c r="C189" t="str">
        <f t="shared" si="6"/>
        <v>French: Tech Contact Email</v>
      </c>
    </row>
    <row r="190" spans="1:3" x14ac:dyDescent="0.2">
      <c r="A190" t="s">
        <v>523</v>
      </c>
      <c r="B190" t="s">
        <v>1034</v>
      </c>
      <c r="C190" t="str">
        <f t="shared" si="6"/>
        <v>French: Tech Contact Phone</v>
      </c>
    </row>
    <row r="191" spans="1:3" x14ac:dyDescent="0.2">
      <c r="A191" t="s">
        <v>524</v>
      </c>
      <c r="B191" t="s">
        <v>957</v>
      </c>
      <c r="C191" t="str">
        <f t="shared" si="6"/>
        <v>French: HR Phone</v>
      </c>
    </row>
    <row r="192" spans="1:3" x14ac:dyDescent="0.2">
      <c r="A192" t="s">
        <v>525</v>
      </c>
      <c r="B192" t="s">
        <v>958</v>
      </c>
      <c r="C192" t="str">
        <f t="shared" si="6"/>
        <v>French: HR Fax Phone</v>
      </c>
    </row>
    <row r="193" spans="1:3" x14ac:dyDescent="0.2">
      <c r="A193" t="s">
        <v>526</v>
      </c>
      <c r="B193" t="s">
        <v>527</v>
      </c>
      <c r="C193" t="str">
        <f t="shared" si="6"/>
        <v>French: Plan Form Return</v>
      </c>
    </row>
    <row r="194" spans="1:3" x14ac:dyDescent="0.2">
      <c r="A194" t="s">
        <v>528</v>
      </c>
      <c r="B194" t="s">
        <v>1029</v>
      </c>
      <c r="C194" t="str">
        <f t="shared" si="6"/>
        <v>French: Pension Plan Administrator</v>
      </c>
    </row>
    <row r="195" spans="1:3" x14ac:dyDescent="0.2">
      <c r="A195" t="s">
        <v>1199</v>
      </c>
      <c r="B195" t="s">
        <v>1898</v>
      </c>
      <c r="C195" t="str">
        <f t="shared" si="6"/>
        <v>French: Severance Company</v>
      </c>
    </row>
    <row r="196" spans="1:3" x14ac:dyDescent="0.2">
      <c r="A196" t="s">
        <v>1200</v>
      </c>
      <c r="B196" t="s">
        <v>1283</v>
      </c>
      <c r="C196" t="str">
        <f t="shared" si="6"/>
        <v>French: Severance Plan Name</v>
      </c>
    </row>
    <row r="197" spans="1:3" x14ac:dyDescent="0.2">
      <c r="A197" t="s">
        <v>1203</v>
      </c>
      <c r="B197" t="s">
        <v>1284</v>
      </c>
      <c r="C197" t="str">
        <f t="shared" si="6"/>
        <v>French: AZI SUB Plan</v>
      </c>
    </row>
    <row r="198" spans="1:3" x14ac:dyDescent="0.2">
      <c r="A198" t="s">
        <v>1201</v>
      </c>
      <c r="B198" t="s">
        <v>1389</v>
      </c>
      <c r="C198" t="str">
        <f t="shared" si="6"/>
        <v>French: Participant URL</v>
      </c>
    </row>
    <row r="199" spans="1:3" x14ac:dyDescent="0.2">
      <c r="A199" t="s">
        <v>1202</v>
      </c>
      <c r="B199" s="106" t="s">
        <v>1625</v>
      </c>
      <c r="C199" s="106" t="str">
        <f>B199&amp;"/fr"</f>
        <v>https://www.myseverancebenefits.com/azi/fr</v>
      </c>
    </row>
    <row r="200" spans="1:3" x14ac:dyDescent="0.2">
      <c r="A200" t="s">
        <v>529</v>
      </c>
      <c r="B200" t="s">
        <v>1285</v>
      </c>
      <c r="C200" t="str">
        <f>"French: " &amp;B200</f>
        <v>French: Social Security Online</v>
      </c>
    </row>
    <row r="201" spans="1:3" x14ac:dyDescent="0.2">
      <c r="A201" t="s">
        <v>1131</v>
      </c>
      <c r="B201" t="s">
        <v>472</v>
      </c>
      <c r="C201" t="str">
        <f>"French: " &amp;B201</f>
        <v>French: The Official Website of the U.S. Social Security Administration</v>
      </c>
    </row>
    <row r="202" spans="1:3" x14ac:dyDescent="0.2">
      <c r="A202" t="s">
        <v>1204</v>
      </c>
      <c r="B202" s="106" t="s">
        <v>1286</v>
      </c>
      <c r="C202" s="106" t="s">
        <v>1286</v>
      </c>
    </row>
    <row r="203" spans="1:3" x14ac:dyDescent="0.2">
      <c r="A203" t="s">
        <v>1205</v>
      </c>
      <c r="B203" s="29" t="s">
        <v>29</v>
      </c>
      <c r="C203" t="str">
        <f>"French: " &amp;B203</f>
        <v>French: eActuary</v>
      </c>
    </row>
    <row r="204" spans="1:3" x14ac:dyDescent="0.2">
      <c r="A204" t="s">
        <v>1206</v>
      </c>
      <c r="B204" s="106" t="s">
        <v>478</v>
      </c>
      <c r="C204" s="106" t="str">
        <f>B204</f>
        <v>http://eactuary.mellon.com/intro.html</v>
      </c>
    </row>
    <row r="205" spans="1:3" x14ac:dyDescent="0.2">
      <c r="A205" t="s">
        <v>1132</v>
      </c>
      <c r="B205" s="29" t="s">
        <v>129</v>
      </c>
      <c r="C205" t="str">
        <f t="shared" ref="C205:C219" si="7">"French: " &amp;B205</f>
        <v>French: Summary Plan Description</v>
      </c>
    </row>
    <row r="206" spans="1:3" x14ac:dyDescent="0.2">
      <c r="A206" t="s">
        <v>1133</v>
      </c>
      <c r="B206" s="31" t="s">
        <v>473</v>
      </c>
      <c r="C206" t="str">
        <f t="shared" si="7"/>
        <v>French: Summary Annual Report</v>
      </c>
    </row>
    <row r="207" spans="1:3" x14ac:dyDescent="0.2">
      <c r="A207" t="s">
        <v>1134</v>
      </c>
      <c r="B207" s="31" t="s">
        <v>1390</v>
      </c>
      <c r="C207" t="str">
        <f t="shared" si="7"/>
        <v>French: Decision Guide</v>
      </c>
    </row>
    <row r="208" spans="1:3" x14ac:dyDescent="0.2">
      <c r="A208" t="s">
        <v>1135</v>
      </c>
      <c r="B208" s="29" t="s">
        <v>137</v>
      </c>
      <c r="C208" t="str">
        <f t="shared" si="7"/>
        <v>French: Download the latest Plan Description to review all provisions being applied.</v>
      </c>
    </row>
    <row r="209" spans="1:3" x14ac:dyDescent="0.2">
      <c r="A209" t="s">
        <v>1627</v>
      </c>
      <c r="B209" s="29" t="s">
        <v>138</v>
      </c>
      <c r="C209" t="str">
        <f t="shared" si="7"/>
        <v>French: Account Balance</v>
      </c>
    </row>
    <row r="210" spans="1:3" x14ac:dyDescent="0.2">
      <c r="A210" t="s">
        <v>1628</v>
      </c>
      <c r="B210" s="31" t="s">
        <v>474</v>
      </c>
      <c r="C210" t="str">
        <f t="shared" si="7"/>
        <v>French: Minimum Account Balance</v>
      </c>
    </row>
    <row r="211" spans="1:3" x14ac:dyDescent="0.2">
      <c r="A211" t="s">
        <v>1629</v>
      </c>
      <c r="B211" s="31" t="s">
        <v>1391</v>
      </c>
      <c r="C211" t="str">
        <f t="shared" si="7"/>
        <v>French: Years of Service</v>
      </c>
    </row>
    <row r="212" spans="1:3" x14ac:dyDescent="0.2">
      <c r="A212" t="s">
        <v>1630</v>
      </c>
      <c r="B212" s="31" t="s">
        <v>1540</v>
      </c>
      <c r="C212" t="str">
        <f t="shared" si="7"/>
        <v>French: Normal Retirement Date</v>
      </c>
    </row>
    <row r="213" spans="1:3" x14ac:dyDescent="0.2">
      <c r="A213" t="s">
        <v>1631</v>
      </c>
      <c r="B213" s="29" t="s">
        <v>1273</v>
      </c>
      <c r="C213" t="str">
        <f t="shared" si="7"/>
        <v>French: The sum of the participant's Opening Account Balance, Deposit Credits (based on years of service) and Investment Credits</v>
      </c>
    </row>
    <row r="214" spans="1:3" x14ac:dyDescent="0.2">
      <c r="A214" t="s">
        <v>1642</v>
      </c>
      <c r="B214" t="s">
        <v>480</v>
      </c>
      <c r="C214" t="str">
        <f t="shared" si="7"/>
        <v>French: Amount equal to $2000 on the later of January 1, 2002 or Date of Hire, credited with interest only each January 1 and July 1</v>
      </c>
    </row>
    <row r="215" spans="1:3" x14ac:dyDescent="0.2">
      <c r="A215" t="s">
        <v>1643</v>
      </c>
      <c r="B215" s="29" t="s">
        <v>1392</v>
      </c>
      <c r="C215" t="str">
        <f t="shared" si="7"/>
        <v>French: Plan Years with at least 1000 hours worked</v>
      </c>
    </row>
    <row r="216" spans="1:3" x14ac:dyDescent="0.2">
      <c r="A216" t="s">
        <v>1644</v>
      </c>
      <c r="B216" s="29" t="s">
        <v>1399</v>
      </c>
      <c r="C216" t="str">
        <f t="shared" si="7"/>
        <v>French: Age 65</v>
      </c>
    </row>
    <row r="217" spans="1:3" x14ac:dyDescent="0.2">
      <c r="A217" t="s">
        <v>1645</v>
      </c>
      <c r="B217" t="s">
        <v>1277</v>
      </c>
      <c r="C217" t="str">
        <f t="shared" si="7"/>
        <v>French: Custom Batch Process #1</v>
      </c>
    </row>
    <row r="218" spans="1:3" x14ac:dyDescent="0.2">
      <c r="A218" t="s">
        <v>1626</v>
      </c>
      <c r="B218" t="s">
        <v>2</v>
      </c>
      <c r="C218" t="str">
        <f t="shared" si="7"/>
        <v>French: Test Calculations</v>
      </c>
    </row>
    <row r="219" spans="1:3" x14ac:dyDescent="0.2">
      <c r="A219" t="s">
        <v>1646</v>
      </c>
      <c r="B219" t="s">
        <v>1279</v>
      </c>
      <c r="C219" t="str">
        <f t="shared" si="7"/>
        <v>French: Adhoc Report</v>
      </c>
    </row>
    <row r="220" spans="1:3" x14ac:dyDescent="0.2">
      <c r="A220" t="s">
        <v>1819</v>
      </c>
      <c r="B220" t="s">
        <v>1224</v>
      </c>
      <c r="C220" t="s">
        <v>1048</v>
      </c>
    </row>
    <row r="221" spans="1:3" x14ac:dyDescent="0.2">
      <c r="A221" t="s">
        <v>1558</v>
      </c>
      <c r="B221" t="s">
        <v>783</v>
      </c>
      <c r="C221" t="s">
        <v>1881</v>
      </c>
    </row>
    <row r="222" spans="1:3" x14ac:dyDescent="0.2">
      <c r="A222" t="s">
        <v>1882</v>
      </c>
      <c r="B222" t="s">
        <v>1818</v>
      </c>
      <c r="C222" t="s">
        <v>895</v>
      </c>
    </row>
    <row r="223" spans="1:3" x14ac:dyDescent="0.2">
      <c r="A223" t="s">
        <v>896</v>
      </c>
      <c r="B223" t="s">
        <v>1896</v>
      </c>
      <c r="C223" t="s">
        <v>897</v>
      </c>
    </row>
    <row r="224" spans="1:3" x14ac:dyDescent="0.2">
      <c r="A224" t="s">
        <v>31</v>
      </c>
      <c r="B224" t="s">
        <v>1885</v>
      </c>
      <c r="C224" t="s">
        <v>1048</v>
      </c>
    </row>
    <row r="225" spans="1:3" x14ac:dyDescent="0.2">
      <c r="A225" t="s">
        <v>32</v>
      </c>
      <c r="B225" t="s">
        <v>1886</v>
      </c>
      <c r="C225" t="s">
        <v>1881</v>
      </c>
    </row>
    <row r="226" spans="1:3" x14ac:dyDescent="0.2">
      <c r="A226" t="s">
        <v>33</v>
      </c>
      <c r="B226" t="s">
        <v>684</v>
      </c>
      <c r="C226" t="s">
        <v>895</v>
      </c>
    </row>
    <row r="227" spans="1:3" x14ac:dyDescent="0.2">
      <c r="A227" t="s">
        <v>34</v>
      </c>
      <c r="B227" t="s">
        <v>1884</v>
      </c>
      <c r="C227" t="s">
        <v>897</v>
      </c>
    </row>
    <row r="228" spans="1:3" x14ac:dyDescent="0.2">
      <c r="A228" t="s">
        <v>898</v>
      </c>
      <c r="B228" t="s">
        <v>1814</v>
      </c>
      <c r="C228" t="s">
        <v>899</v>
      </c>
    </row>
    <row r="229" spans="1:3" x14ac:dyDescent="0.2">
      <c r="A229" t="s">
        <v>900</v>
      </c>
      <c r="B229" t="s">
        <v>1224</v>
      </c>
      <c r="C229" t="s">
        <v>1048</v>
      </c>
    </row>
    <row r="230" spans="1:3" x14ac:dyDescent="0.2">
      <c r="A230" t="s">
        <v>901</v>
      </c>
      <c r="B230" t="s">
        <v>1815</v>
      </c>
      <c r="C230" t="s">
        <v>902</v>
      </c>
    </row>
    <row r="231" spans="1:3" x14ac:dyDescent="0.2">
      <c r="A231" t="s">
        <v>135</v>
      </c>
      <c r="B231" t="s">
        <v>1816</v>
      </c>
      <c r="C231" t="s">
        <v>1309</v>
      </c>
    </row>
    <row r="232" spans="1:3" x14ac:dyDescent="0.2">
      <c r="A232" t="s">
        <v>1310</v>
      </c>
      <c r="B232" t="s">
        <v>1817</v>
      </c>
      <c r="C232" t="s">
        <v>1311</v>
      </c>
    </row>
    <row r="233" spans="1:3" x14ac:dyDescent="0.2">
      <c r="A233" t="s">
        <v>685</v>
      </c>
      <c r="B233" t="s">
        <v>1886</v>
      </c>
      <c r="C233" t="s">
        <v>899</v>
      </c>
    </row>
    <row r="234" spans="1:3" x14ac:dyDescent="0.2">
      <c r="A234" t="s">
        <v>686</v>
      </c>
      <c r="B234" t="s">
        <v>1885</v>
      </c>
      <c r="C234" t="s">
        <v>1048</v>
      </c>
    </row>
    <row r="235" spans="1:3" x14ac:dyDescent="0.2">
      <c r="A235" t="s">
        <v>687</v>
      </c>
      <c r="B235" t="s">
        <v>227</v>
      </c>
      <c r="C235" t="s">
        <v>902</v>
      </c>
    </row>
    <row r="236" spans="1:3" x14ac:dyDescent="0.2">
      <c r="A236" t="s">
        <v>688</v>
      </c>
      <c r="B236" t="s">
        <v>228</v>
      </c>
      <c r="C236" t="s">
        <v>1309</v>
      </c>
    </row>
    <row r="237" spans="1:3" x14ac:dyDescent="0.2">
      <c r="A237" t="s">
        <v>226</v>
      </c>
      <c r="B237" t="s">
        <v>229</v>
      </c>
      <c r="C237" t="s">
        <v>1311</v>
      </c>
    </row>
    <row r="238" spans="1:3" x14ac:dyDescent="0.2">
      <c r="A238" t="s">
        <v>1647</v>
      </c>
      <c r="B238" t="s">
        <v>1280</v>
      </c>
      <c r="C238" t="str">
        <f>"French: " &amp;B238</f>
        <v>French: All</v>
      </c>
    </row>
    <row r="239" spans="1:3" x14ac:dyDescent="0.2">
      <c r="A239" t="s">
        <v>1648</v>
      </c>
      <c r="B239" t="s">
        <v>1023</v>
      </c>
      <c r="C239" t="str">
        <f>"French: " &amp;B239</f>
        <v>French: Batch Indicator</v>
      </c>
    </row>
    <row r="240" spans="1:3" x14ac:dyDescent="0.2">
      <c r="A240" t="s">
        <v>1649</v>
      </c>
      <c r="B240" t="s">
        <v>1396</v>
      </c>
      <c r="C240" t="str">
        <f>"French: " &amp;B240</f>
        <v>French: Current Participant</v>
      </c>
    </row>
    <row r="241" spans="1:3" x14ac:dyDescent="0.2">
      <c r="A241" t="s">
        <v>1043</v>
      </c>
      <c r="B241" t="s">
        <v>1222</v>
      </c>
      <c r="C241" t="s">
        <v>1044</v>
      </c>
    </row>
    <row r="242" spans="1:3" x14ac:dyDescent="0.2">
      <c r="A242" t="s">
        <v>1045</v>
      </c>
      <c r="B242" t="s">
        <v>1223</v>
      </c>
      <c r="C242" t="s">
        <v>1046</v>
      </c>
    </row>
    <row r="243" spans="1:3" x14ac:dyDescent="0.2">
      <c r="A243" t="s">
        <v>1047</v>
      </c>
      <c r="B243" t="s">
        <v>1224</v>
      </c>
      <c r="C243" t="s">
        <v>1048</v>
      </c>
    </row>
    <row r="244" spans="1:3" x14ac:dyDescent="0.2">
      <c r="A244" t="s">
        <v>1049</v>
      </c>
      <c r="B244" t="s">
        <v>1225</v>
      </c>
      <c r="C244" t="s">
        <v>1050</v>
      </c>
    </row>
    <row r="245" spans="1:3" x14ac:dyDescent="0.2">
      <c r="A245" t="s">
        <v>1798</v>
      </c>
      <c r="B245" t="s">
        <v>1226</v>
      </c>
      <c r="C245" t="s">
        <v>1799</v>
      </c>
    </row>
    <row r="246" spans="1:3" x14ac:dyDescent="0.2">
      <c r="A246" t="s">
        <v>1800</v>
      </c>
      <c r="B246" t="s">
        <v>1227</v>
      </c>
      <c r="C246" t="s">
        <v>1801</v>
      </c>
    </row>
    <row r="247" spans="1:3" x14ac:dyDescent="0.2">
      <c r="A247" t="s">
        <v>1802</v>
      </c>
      <c r="B247" t="s">
        <v>1228</v>
      </c>
      <c r="C247" t="s">
        <v>1803</v>
      </c>
    </row>
    <row r="248" spans="1:3" x14ac:dyDescent="0.2">
      <c r="A248" t="s">
        <v>1804</v>
      </c>
      <c r="B248" t="s">
        <v>1229</v>
      </c>
      <c r="C248" t="s">
        <v>1805</v>
      </c>
    </row>
    <row r="249" spans="1:3" x14ac:dyDescent="0.2">
      <c r="A249" t="s">
        <v>1806</v>
      </c>
      <c r="B249" t="s">
        <v>1230</v>
      </c>
      <c r="C249" t="s">
        <v>1807</v>
      </c>
    </row>
    <row r="250" spans="1:3" x14ac:dyDescent="0.2">
      <c r="A250" t="s">
        <v>1808</v>
      </c>
      <c r="B250" t="s">
        <v>1040</v>
      </c>
      <c r="C250" t="s">
        <v>1809</v>
      </c>
    </row>
    <row r="251" spans="1:3" x14ac:dyDescent="0.2">
      <c r="A251" t="s">
        <v>1810</v>
      </c>
      <c r="B251" t="s">
        <v>1041</v>
      </c>
      <c r="C251" t="s">
        <v>1811</v>
      </c>
    </row>
    <row r="252" spans="1:3" x14ac:dyDescent="0.2">
      <c r="A252" t="s">
        <v>1812</v>
      </c>
      <c r="B252" t="s">
        <v>1042</v>
      </c>
      <c r="C252" t="s">
        <v>1813</v>
      </c>
    </row>
    <row r="253" spans="1:3" x14ac:dyDescent="0.2">
      <c r="A253" t="s">
        <v>1313</v>
      </c>
      <c r="B253" t="s">
        <v>1729</v>
      </c>
      <c r="C253" t="s">
        <v>1314</v>
      </c>
    </row>
    <row r="254" spans="1:3" x14ac:dyDescent="0.2">
      <c r="A254" t="s">
        <v>1650</v>
      </c>
      <c r="B254" t="s">
        <v>871</v>
      </c>
      <c r="C254" t="str">
        <f t="shared" ref="C254:C285" si="8">"French: " &amp;B254</f>
        <v>French: What age do you wish to retire?</v>
      </c>
    </row>
    <row r="255" spans="1:3" x14ac:dyDescent="0.2">
      <c r="A255" t="s">
        <v>1651</v>
      </c>
      <c r="B255" t="s">
        <v>763</v>
      </c>
      <c r="C255" t="str">
        <f t="shared" si="8"/>
        <v>French: In planning for retirement what would you like to vary</v>
      </c>
    </row>
    <row r="256" spans="1:3" x14ac:dyDescent="0.2">
      <c r="A256" t="s">
        <v>1652</v>
      </c>
      <c r="B256" t="s">
        <v>767</v>
      </c>
      <c r="C256" t="str">
        <f t="shared" si="8"/>
        <v>French: What Is Your Retirement Goal?</v>
      </c>
    </row>
    <row r="257" spans="1:3" x14ac:dyDescent="0.2">
      <c r="A257" t="s">
        <v>1653</v>
      </c>
      <c r="B257" t="s">
        <v>769</v>
      </c>
      <c r="C257" t="str">
        <f t="shared" si="8"/>
        <v>French: Enter Your Retirement Goal</v>
      </c>
    </row>
    <row r="258" spans="1:3" x14ac:dyDescent="0.2">
      <c r="A258" t="s">
        <v>1654</v>
      </c>
      <c r="B258" t="s">
        <v>769</v>
      </c>
      <c r="C258" t="str">
        <f t="shared" si="8"/>
        <v>French: Enter Your Retirement Goal</v>
      </c>
    </row>
    <row r="259" spans="1:3" x14ac:dyDescent="0.2">
      <c r="A259" t="s">
        <v>1655</v>
      </c>
      <c r="B259" t="s">
        <v>743</v>
      </c>
      <c r="C259" t="str">
        <f t="shared" si="8"/>
        <v>French: Would you like to model additional retirement ages?</v>
      </c>
    </row>
    <row r="260" spans="1:3" x14ac:dyDescent="0.2">
      <c r="A260" t="s">
        <v>1656</v>
      </c>
      <c r="B260" t="s">
        <v>377</v>
      </c>
      <c r="C260" t="str">
        <f t="shared" si="8"/>
        <v>French: Date of Death</v>
      </c>
    </row>
    <row r="261" spans="1:3" x14ac:dyDescent="0.2">
      <c r="A261" t="s">
        <v>1657</v>
      </c>
      <c r="B261" t="s">
        <v>749</v>
      </c>
      <c r="C261" t="str">
        <f t="shared" si="8"/>
        <v>French: Date of Disability</v>
      </c>
    </row>
    <row r="262" spans="1:3" x14ac:dyDescent="0.2">
      <c r="A262" t="s">
        <v>1658</v>
      </c>
      <c r="B262" t="s">
        <v>753</v>
      </c>
      <c r="C262" t="str">
        <f t="shared" si="8"/>
        <v>French: Date/Age of Termination</v>
      </c>
    </row>
    <row r="263" spans="1:3" x14ac:dyDescent="0.2">
      <c r="A263" t="s">
        <v>653</v>
      </c>
      <c r="B263" t="s">
        <v>1782</v>
      </c>
      <c r="C263" t="str">
        <f t="shared" si="8"/>
        <v>French: Date/Age of Benefit Commencement</v>
      </c>
    </row>
    <row r="264" spans="1:3" x14ac:dyDescent="0.2">
      <c r="A264" t="s">
        <v>654</v>
      </c>
      <c r="B264" t="s">
        <v>1611</v>
      </c>
      <c r="C264" t="str">
        <f t="shared" si="8"/>
        <v>French: Show all input assumptions?</v>
      </c>
    </row>
    <row r="265" spans="1:3" x14ac:dyDescent="0.2">
      <c r="A265" t="s">
        <v>0</v>
      </c>
      <c r="B265" t="s">
        <v>1613</v>
      </c>
      <c r="C265" t="str">
        <f t="shared" si="8"/>
        <v>French: Second Date/Age of Termination</v>
      </c>
    </row>
    <row r="266" spans="1:3" x14ac:dyDescent="0.2">
      <c r="A266" t="s">
        <v>2071</v>
      </c>
      <c r="B266" t="s">
        <v>1615</v>
      </c>
      <c r="C266" t="str">
        <f t="shared" si="8"/>
        <v>French: Third Date/Age of Termination</v>
      </c>
    </row>
    <row r="267" spans="1:3" x14ac:dyDescent="0.2">
      <c r="A267" t="s">
        <v>2072</v>
      </c>
      <c r="B267" t="s">
        <v>1617</v>
      </c>
      <c r="C267" t="str">
        <f t="shared" si="8"/>
        <v>French: Fourth Date/Age of Termination</v>
      </c>
    </row>
    <row r="268" spans="1:3" x14ac:dyDescent="0.2">
      <c r="A268" t="s">
        <v>2073</v>
      </c>
      <c r="B268" t="s">
        <v>1619</v>
      </c>
      <c r="C268" t="str">
        <f t="shared" si="8"/>
        <v>French: Fifth Date/Age of Termination</v>
      </c>
    </row>
    <row r="269" spans="1:3" x14ac:dyDescent="0.2">
      <c r="A269" t="s">
        <v>2074</v>
      </c>
      <c r="B269" t="s">
        <v>1621</v>
      </c>
      <c r="C269" t="str">
        <f t="shared" si="8"/>
        <v>French: Second Date/Age of Benefit Commencement</v>
      </c>
    </row>
    <row r="270" spans="1:3" x14ac:dyDescent="0.2">
      <c r="A270" t="s">
        <v>2075</v>
      </c>
      <c r="B270" t="s">
        <v>1623</v>
      </c>
      <c r="C270" t="str">
        <f t="shared" si="8"/>
        <v>French: Third Date/Age of Benefit Commencement</v>
      </c>
    </row>
    <row r="271" spans="1:3" x14ac:dyDescent="0.2">
      <c r="A271" t="s">
        <v>2076</v>
      </c>
      <c r="B271" t="s">
        <v>790</v>
      </c>
      <c r="C271" t="str">
        <f t="shared" si="8"/>
        <v>French: Fourth Date/Age of Benefit Commencement</v>
      </c>
    </row>
    <row r="272" spans="1:3" x14ac:dyDescent="0.2">
      <c r="A272" t="s">
        <v>2077</v>
      </c>
      <c r="B272" t="s">
        <v>792</v>
      </c>
      <c r="C272" t="str">
        <f t="shared" si="8"/>
        <v>French: Fifth Date/Age of Benefit Commencement</v>
      </c>
    </row>
    <row r="273" spans="1:3" x14ac:dyDescent="0.2">
      <c r="A273" t="s">
        <v>2078</v>
      </c>
      <c r="B273" t="s">
        <v>794</v>
      </c>
      <c r="C273" t="str">
        <f t="shared" si="8"/>
        <v>French: Current Year's Pay</v>
      </c>
    </row>
    <row r="274" spans="1:3" x14ac:dyDescent="0.2">
      <c r="A274" t="s">
        <v>2079</v>
      </c>
      <c r="B274" t="s">
        <v>797</v>
      </c>
      <c r="C274" t="str">
        <f t="shared" si="8"/>
        <v>French: Current Year's Hours</v>
      </c>
    </row>
    <row r="275" spans="1:3" x14ac:dyDescent="0.2">
      <c r="A275" t="s">
        <v>2080</v>
      </c>
      <c r="B275" t="s">
        <v>800</v>
      </c>
      <c r="C275" t="str">
        <f t="shared" si="8"/>
        <v>French: Final Year's Pay</v>
      </c>
    </row>
    <row r="276" spans="1:3" x14ac:dyDescent="0.2">
      <c r="A276" t="s">
        <v>2081</v>
      </c>
      <c r="B276" t="s">
        <v>803</v>
      </c>
      <c r="C276" t="str">
        <f t="shared" si="8"/>
        <v>French: Final Year's Hours</v>
      </c>
    </row>
    <row r="277" spans="1:3" x14ac:dyDescent="0.2">
      <c r="A277" t="s">
        <v>2082</v>
      </c>
      <c r="B277" t="s">
        <v>806</v>
      </c>
      <c r="C277" t="str">
        <f t="shared" si="8"/>
        <v>French: Estimated Annual Increase in Pay</v>
      </c>
    </row>
    <row r="278" spans="1:3" x14ac:dyDescent="0.2">
      <c r="A278" t="s">
        <v>1136</v>
      </c>
      <c r="B278" t="s">
        <v>1567</v>
      </c>
      <c r="C278" t="str">
        <f t="shared" si="8"/>
        <v>French: Current 401(k) Plan Balance</v>
      </c>
    </row>
    <row r="279" spans="1:3" x14ac:dyDescent="0.2">
      <c r="A279" t="s">
        <v>1137</v>
      </c>
      <c r="B279" t="s">
        <v>1405</v>
      </c>
      <c r="C279" t="str">
        <f t="shared" si="8"/>
        <v>French: Estimated Annual Return on 401(k) Account</v>
      </c>
    </row>
    <row r="280" spans="1:3" x14ac:dyDescent="0.2">
      <c r="A280" t="s">
        <v>1138</v>
      </c>
      <c r="B280" t="s">
        <v>2007</v>
      </c>
      <c r="C280" t="str">
        <f t="shared" si="8"/>
        <v>French: Employee Deferral to 401(k) Plan as a Percentage of Pay</v>
      </c>
    </row>
    <row r="281" spans="1:3" x14ac:dyDescent="0.2">
      <c r="A281" t="s">
        <v>1139</v>
      </c>
      <c r="B281" t="s">
        <v>109</v>
      </c>
      <c r="C281" t="str">
        <f t="shared" si="8"/>
        <v>French: Beneficiary's First Name</v>
      </c>
    </row>
    <row r="282" spans="1:3" x14ac:dyDescent="0.2">
      <c r="A282" t="s">
        <v>1140</v>
      </c>
      <c r="B282" t="s">
        <v>112</v>
      </c>
      <c r="C282" t="str">
        <f t="shared" si="8"/>
        <v>French: Beneficiary's Last Name</v>
      </c>
    </row>
    <row r="283" spans="1:3" x14ac:dyDescent="0.2">
      <c r="A283" t="s">
        <v>1141</v>
      </c>
      <c r="B283" t="s">
        <v>115</v>
      </c>
      <c r="C283" t="str">
        <f t="shared" si="8"/>
        <v>French: Beneficiary's Date of Birth</v>
      </c>
    </row>
    <row r="284" spans="1:3" x14ac:dyDescent="0.2">
      <c r="A284" t="s">
        <v>1142</v>
      </c>
      <c r="B284" t="s">
        <v>118</v>
      </c>
      <c r="C284" t="str">
        <f t="shared" si="8"/>
        <v>French: Address</v>
      </c>
    </row>
    <row r="285" spans="1:3" x14ac:dyDescent="0.2">
      <c r="A285" t="s">
        <v>1143</v>
      </c>
      <c r="B285" t="s">
        <v>118</v>
      </c>
      <c r="C285" t="str">
        <f t="shared" si="8"/>
        <v>French: Address</v>
      </c>
    </row>
    <row r="286" spans="1:3" x14ac:dyDescent="0.2">
      <c r="A286" t="s">
        <v>894</v>
      </c>
      <c r="B286" t="s">
        <v>1008</v>
      </c>
      <c r="C286" t="str">
        <f t="shared" ref="C286:C322" si="9">"French: " &amp;B286</f>
        <v>French: City</v>
      </c>
    </row>
    <row r="287" spans="1:3" x14ac:dyDescent="0.2">
      <c r="A287" t="s">
        <v>1467</v>
      </c>
      <c r="B287" t="s">
        <v>1010</v>
      </c>
      <c r="C287" t="str">
        <f t="shared" si="9"/>
        <v>French: State</v>
      </c>
    </row>
    <row r="288" spans="1:3" x14ac:dyDescent="0.2">
      <c r="A288" t="s">
        <v>1468</v>
      </c>
      <c r="B288" t="s">
        <v>1013</v>
      </c>
      <c r="C288" t="str">
        <f t="shared" si="9"/>
        <v>French: Zip Code</v>
      </c>
    </row>
    <row r="289" spans="1:3" x14ac:dyDescent="0.2">
      <c r="A289" t="s">
        <v>1469</v>
      </c>
      <c r="B289" t="s">
        <v>631</v>
      </c>
      <c r="C289" t="str">
        <f t="shared" si="9"/>
        <v>French: Accrued Benefit Date:</v>
      </c>
    </row>
    <row r="290" spans="1:3" x14ac:dyDescent="0.2">
      <c r="A290" t="s">
        <v>1470</v>
      </c>
      <c r="B290" t="s">
        <v>1524</v>
      </c>
      <c r="C290" t="str">
        <f t="shared" si="9"/>
        <v>French: Final Average Pay</v>
      </c>
    </row>
    <row r="291" spans="1:3" x14ac:dyDescent="0.2">
      <c r="A291" t="s">
        <v>1471</v>
      </c>
      <c r="B291" t="s">
        <v>1550</v>
      </c>
      <c r="C291" t="str">
        <f t="shared" si="9"/>
        <v>French: Vesting Service</v>
      </c>
    </row>
    <row r="292" spans="1:3" x14ac:dyDescent="0.2">
      <c r="A292" t="s">
        <v>1472</v>
      </c>
      <c r="B292" t="s">
        <v>583</v>
      </c>
      <c r="C292" t="str">
        <f t="shared" si="9"/>
        <v>French: Credited Service</v>
      </c>
    </row>
    <row r="293" spans="1:3" x14ac:dyDescent="0.2">
      <c r="A293" t="s">
        <v>1473</v>
      </c>
      <c r="B293" t="s">
        <v>586</v>
      </c>
      <c r="C293" t="str">
        <f t="shared" si="9"/>
        <v>French: Accrued Benefit</v>
      </c>
    </row>
    <row r="294" spans="1:3" x14ac:dyDescent="0.2">
      <c r="A294" t="s">
        <v>1474</v>
      </c>
      <c r="B294" t="s">
        <v>589</v>
      </c>
      <c r="C294" t="str">
        <f t="shared" si="9"/>
        <v>French: Age 65 Benefit For Late Retirement Calculations</v>
      </c>
    </row>
    <row r="295" spans="1:3" x14ac:dyDescent="0.2">
      <c r="A295" t="s">
        <v>1475</v>
      </c>
      <c r="B295" t="s">
        <v>532</v>
      </c>
      <c r="C295" t="str">
        <f t="shared" si="9"/>
        <v>French: Final Payment Form</v>
      </c>
    </row>
    <row r="296" spans="1:3" x14ac:dyDescent="0.2">
      <c r="A296" t="s">
        <v>278</v>
      </c>
      <c r="B296" t="s">
        <v>277</v>
      </c>
      <c r="C296" t="str">
        <f t="shared" si="9"/>
        <v>French: Save Term Vested Accrued Benefit?</v>
      </c>
    </row>
    <row r="297" spans="1:3" x14ac:dyDescent="0.2">
      <c r="A297" t="s">
        <v>1476</v>
      </c>
      <c r="B297" t="s">
        <v>534</v>
      </c>
      <c r="C297" t="str">
        <f t="shared" si="9"/>
        <v>French: Report Processing Date</v>
      </c>
    </row>
    <row r="298" spans="1:3" x14ac:dyDescent="0.2">
      <c r="A298" t="s">
        <v>1477</v>
      </c>
      <c r="B298" t="s">
        <v>1023</v>
      </c>
      <c r="C298" t="str">
        <f t="shared" si="9"/>
        <v>French: Batch Indicator</v>
      </c>
    </row>
    <row r="299" spans="1:3" x14ac:dyDescent="0.2">
      <c r="A299" t="s">
        <v>6</v>
      </c>
      <c r="B299" t="s">
        <v>7</v>
      </c>
      <c r="C299" t="str">
        <f t="shared" si="9"/>
        <v>French: Delete entire xDS table before processing?</v>
      </c>
    </row>
    <row r="300" spans="1:3" x14ac:dyDescent="0.2">
      <c r="A300" t="s">
        <v>9</v>
      </c>
      <c r="B300" t="s">
        <v>10</v>
      </c>
      <c r="C300" t="str">
        <f t="shared" si="9"/>
        <v>French: Calculation Type</v>
      </c>
    </row>
    <row r="301" spans="1:3" x14ac:dyDescent="0.2">
      <c r="A301" t="s">
        <v>12</v>
      </c>
      <c r="B301" t="s">
        <v>13</v>
      </c>
      <c r="C301" t="str">
        <f t="shared" si="9"/>
        <v>French: Age of Termination</v>
      </c>
    </row>
    <row r="302" spans="1:3" x14ac:dyDescent="0.2">
      <c r="A302" t="s">
        <v>470</v>
      </c>
      <c r="B302" t="s">
        <v>469</v>
      </c>
      <c r="C302" t="str">
        <f t="shared" si="9"/>
        <v>French: Age of Benefit Commencement</v>
      </c>
    </row>
    <row r="303" spans="1:3" x14ac:dyDescent="0.2">
      <c r="A303" t="s">
        <v>2171</v>
      </c>
      <c r="B303" t="s">
        <v>2172</v>
      </c>
      <c r="C303" t="str">
        <f t="shared" si="9"/>
        <v>French: Please provide a numeric value (0.00) less than {Max} and it should be increments of 10,000.00.</v>
      </c>
    </row>
    <row r="304" spans="1:3" x14ac:dyDescent="0.2">
      <c r="A304" t="s">
        <v>1478</v>
      </c>
      <c r="B304" t="s">
        <v>760</v>
      </c>
      <c r="C304" t="str">
        <f t="shared" si="9"/>
        <v>French: Enter the age at which you wish to begin receiving benefits from the plan. This should be an integer not less than your age at your next birth and not greater than 70.</v>
      </c>
    </row>
    <row r="305" spans="1:3" x14ac:dyDescent="0.2">
      <c r="A305" t="s">
        <v>1479</v>
      </c>
      <c r="B305" t="s">
        <v>764</v>
      </c>
      <c r="C305" t="str">
        <f t="shared" si="9"/>
        <v>French: Select the assumption you would like to vary - the expected rate of return or your savings rate - in order to meet your retirement goal.</v>
      </c>
    </row>
    <row r="306" spans="1:3" x14ac:dyDescent="0.2">
      <c r="A306" t="s">
        <v>1480</v>
      </c>
      <c r="B306" t="s">
        <v>889</v>
      </c>
      <c r="C306" t="str">
        <f t="shared" si="9"/>
        <v>French: Select the goal you wish to achieve at retirement and the modeler will display either the rate of return or the savings rate required to meet that goal: Income Replacement Percentage - You can then enter the percentage of pay you hope to have replaced by combined retirement benefits at your selected retirement age. Accumulated Savings - You can then enter the amount you wish to have saved at your selected retirement age. Save a Million Dollars - Can you have a million dollars at retirement?</v>
      </c>
    </row>
    <row r="307" spans="1:3" x14ac:dyDescent="0.2">
      <c r="A307" t="s">
        <v>1481</v>
      </c>
      <c r="B307" t="s">
        <v>738</v>
      </c>
      <c r="C307" t="str">
        <f t="shared" si="9"/>
        <v>French: Enter the amount of savings that you'd like to accumulate for retirement. Note, this will be the total of all account based retirement plans offered by the Bank.</v>
      </c>
    </row>
    <row r="308" spans="1:3" x14ac:dyDescent="0.2">
      <c r="A308" t="s">
        <v>1482</v>
      </c>
      <c r="B308" t="s">
        <v>740</v>
      </c>
      <c r="C308" t="str">
        <f t="shared" si="9"/>
        <v>French: Enter the percent of your income that you'd like to be able to continue in retirement. For example if you are making $50,000 and want to have $40,000 in retirement income you would enter 80.  Enter as an integer, example, for 80% you would enter 80.</v>
      </c>
    </row>
    <row r="309" spans="1:3" x14ac:dyDescent="0.2">
      <c r="A309" t="s">
        <v>1483</v>
      </c>
      <c r="B309" t="s">
        <v>747</v>
      </c>
      <c r="C309" t="str">
        <f t="shared" si="9"/>
        <v>French: Enter the date of death. Format: mm/dd/yyyy.</v>
      </c>
    </row>
    <row r="310" spans="1:3" x14ac:dyDescent="0.2">
      <c r="A310" t="s">
        <v>1320</v>
      </c>
      <c r="B310" t="s">
        <v>750</v>
      </c>
      <c r="C310" t="str">
        <f t="shared" si="9"/>
        <v>French: Enter the date of disability. Format: mm/dd/yyyy.</v>
      </c>
    </row>
    <row r="311" spans="1:3" x14ac:dyDescent="0.2">
      <c r="A311" t="s">
        <v>1321</v>
      </c>
      <c r="B311" t="s">
        <v>1781</v>
      </c>
      <c r="C311" t="str">
        <f t="shared" si="9"/>
        <v>French: Enter the date (in the format m/d/yyyy) or age (whole numbers only) that you think you will terminate from the company.</v>
      </c>
    </row>
    <row r="312" spans="1:3" x14ac:dyDescent="0.2">
      <c r="A312" t="s">
        <v>1322</v>
      </c>
      <c r="B312" t="s">
        <v>1783</v>
      </c>
      <c r="C312" t="str">
        <f t="shared" si="9"/>
        <v>French: Enter the date (in the format m/d/yyyy) or age (whole numbers only) that you wish to commence receiving benefits. Please note, this must be later than both 'early retirement date' and your current age.</v>
      </c>
    </row>
    <row r="313" spans="1:3" x14ac:dyDescent="0.2">
      <c r="A313" t="s">
        <v>1323</v>
      </c>
      <c r="B313" t="s">
        <v>1781</v>
      </c>
      <c r="C313" t="str">
        <f t="shared" si="9"/>
        <v>French: Enter the date (in the format m/d/yyyy) or age (whole numbers only) that you think you will terminate from the company.</v>
      </c>
    </row>
    <row r="314" spans="1:3" x14ac:dyDescent="0.2">
      <c r="A314" t="s">
        <v>1324</v>
      </c>
      <c r="B314" t="s">
        <v>1781</v>
      </c>
      <c r="C314" t="str">
        <f t="shared" si="9"/>
        <v>French: Enter the date (in the format m/d/yyyy) or age (whole numbers only) that you think you will terminate from the company.</v>
      </c>
    </row>
    <row r="315" spans="1:3" x14ac:dyDescent="0.2">
      <c r="A315" t="s">
        <v>1325</v>
      </c>
      <c r="B315" t="s">
        <v>1781</v>
      </c>
      <c r="C315" t="str">
        <f t="shared" si="9"/>
        <v>French: Enter the date (in the format m/d/yyyy) or age (whole numbers only) that you think you will terminate from the company.</v>
      </c>
    </row>
    <row r="316" spans="1:3" x14ac:dyDescent="0.2">
      <c r="A316" t="s">
        <v>1326</v>
      </c>
      <c r="B316" t="s">
        <v>1781</v>
      </c>
      <c r="C316" t="str">
        <f t="shared" si="9"/>
        <v>French: Enter the date (in the format m/d/yyyy) or age (whole numbers only) that you think you will terminate from the company.</v>
      </c>
    </row>
    <row r="317" spans="1:3" x14ac:dyDescent="0.2">
      <c r="A317" t="s">
        <v>1327</v>
      </c>
      <c r="B317" t="s">
        <v>1783</v>
      </c>
      <c r="C317" t="str">
        <f t="shared" si="9"/>
        <v>French: Enter the date (in the format m/d/yyyy) or age (whole numbers only) that you wish to commence receiving benefits. Please note, this must be later than both 'early retirement date' and your current age.</v>
      </c>
    </row>
    <row r="318" spans="1:3" x14ac:dyDescent="0.2">
      <c r="A318" t="s">
        <v>1328</v>
      </c>
      <c r="B318" t="s">
        <v>1783</v>
      </c>
      <c r="C318" t="str">
        <f t="shared" si="9"/>
        <v>French: Enter the date (in the format m/d/yyyy) or age (whole numbers only) that you wish to commence receiving benefits. Please note, this must be later than both 'early retirement date' and your current age.</v>
      </c>
    </row>
    <row r="319" spans="1:3" x14ac:dyDescent="0.2">
      <c r="A319" t="s">
        <v>1329</v>
      </c>
      <c r="B319" t="s">
        <v>1783</v>
      </c>
      <c r="C319" t="str">
        <f t="shared" si="9"/>
        <v>French: Enter the date (in the format m/d/yyyy) or age (whole numbers only) that you wish to commence receiving benefits. Please note, this must be later than both 'early retirement date' and your current age.</v>
      </c>
    </row>
    <row r="320" spans="1:3" x14ac:dyDescent="0.2">
      <c r="A320" t="s">
        <v>1330</v>
      </c>
      <c r="B320" t="s">
        <v>1783</v>
      </c>
      <c r="C320" t="str">
        <f t="shared" si="9"/>
        <v>French: Enter the date (in the format m/d/yyyy) or age (whole numbers only) that you wish to commence receiving benefits. Please note, this must be later than both 'early retirement date' and your current age.</v>
      </c>
    </row>
    <row r="321" spans="1:3" x14ac:dyDescent="0.2">
      <c r="A321" t="s">
        <v>1331</v>
      </c>
      <c r="B321" t="s">
        <v>795</v>
      </c>
      <c r="C321" t="str">
        <f t="shared" si="9"/>
        <v>French: Enter your current year's pay in the format of 0.00 - Note this will apply to the current calendar year.</v>
      </c>
    </row>
    <row r="322" spans="1:3" x14ac:dyDescent="0.2">
      <c r="A322" t="s">
        <v>1332</v>
      </c>
      <c r="B322" t="s">
        <v>798</v>
      </c>
      <c r="C322" t="str">
        <f t="shared" si="9"/>
        <v>French: Enter your current year's hours in the format of 0.00 - Note this will apply to the current calendar year.</v>
      </c>
    </row>
    <row r="323" spans="1:3" x14ac:dyDescent="0.2">
      <c r="A323" t="s">
        <v>1333</v>
      </c>
      <c r="B323" t="s">
        <v>801</v>
      </c>
      <c r="C323" t="str">
        <f t="shared" ref="C323:C356" si="10">"French: " &amp;B323</f>
        <v>French: Enter the final pay for the year of termination.</v>
      </c>
    </row>
    <row r="324" spans="1:3" x14ac:dyDescent="0.2">
      <c r="A324" t="s">
        <v>1334</v>
      </c>
      <c r="B324" t="s">
        <v>804</v>
      </c>
      <c r="C324" t="str">
        <f t="shared" si="10"/>
        <v>French: Enter the total hours worked in the year of terminaton.</v>
      </c>
    </row>
    <row r="325" spans="1:3" x14ac:dyDescent="0.2">
      <c r="A325" t="s">
        <v>1335</v>
      </c>
      <c r="B325" t="s">
        <v>807</v>
      </c>
      <c r="C325" t="str">
        <f t="shared" si="10"/>
        <v>French: Enter the rate (without the percent sign) you think your annual salary will increase each year. For example, enter 3.25 for 3.25%.  This value must be between {MinValue}% and {MaxValue}%.</v>
      </c>
    </row>
    <row r="326" spans="1:3" x14ac:dyDescent="0.2">
      <c r="A326" t="s">
        <v>1336</v>
      </c>
      <c r="B326" t="s">
        <v>1568</v>
      </c>
      <c r="C326" t="str">
        <f t="shared" si="10"/>
        <v>French: Enter the current balance of your 401(k) account.</v>
      </c>
    </row>
    <row r="327" spans="1:3" x14ac:dyDescent="0.2">
      <c r="A327" t="s">
        <v>1337</v>
      </c>
      <c r="B327" t="s">
        <v>2005</v>
      </c>
      <c r="C327" t="str">
        <f t="shared" si="10"/>
        <v>French: Enter the average annual rate of return you expect your investements in the 401(k) plan to earn each year. This value must be between {MinValue}% and {MaxValue}%.</v>
      </c>
    </row>
    <row r="328" spans="1:3" x14ac:dyDescent="0.2">
      <c r="A328" t="s">
        <v>1338</v>
      </c>
      <c r="B328" t="s">
        <v>956</v>
      </c>
      <c r="C328" t="str">
        <f t="shared" si="10"/>
        <v>French: Enter the percentage of your annual pay that you expect to contribute to the 401(k) plan each year. This value must be between {MinValue}% and {MaxValue}%.</v>
      </c>
    </row>
    <row r="329" spans="1:3" x14ac:dyDescent="0.2">
      <c r="A329" t="s">
        <v>1339</v>
      </c>
      <c r="B329" t="s">
        <v>110</v>
      </c>
      <c r="C329" t="str">
        <f t="shared" si="10"/>
        <v>French: Enter/Verify the first name of the beneficiary.</v>
      </c>
    </row>
    <row r="330" spans="1:3" x14ac:dyDescent="0.2">
      <c r="A330" t="s">
        <v>809</v>
      </c>
      <c r="B330" t="s">
        <v>113</v>
      </c>
      <c r="C330" t="str">
        <f t="shared" si="10"/>
        <v>French: Enter/Verify the last name of the beneficiary.</v>
      </c>
    </row>
    <row r="331" spans="1:3" x14ac:dyDescent="0.2">
      <c r="A331" t="s">
        <v>810</v>
      </c>
      <c r="B331" t="s">
        <v>116</v>
      </c>
      <c r="C331" t="str">
        <f t="shared" si="10"/>
        <v>French: Enter beneficiary date of birth in the format of mm/dd/yyyy, if you do not have a designated beneficiary leave this field blank.</v>
      </c>
    </row>
    <row r="332" spans="1:3" x14ac:dyDescent="0.2">
      <c r="A332" t="s">
        <v>811</v>
      </c>
      <c r="B332" t="s">
        <v>119</v>
      </c>
      <c r="C332" t="str">
        <f t="shared" si="10"/>
        <v>French: Enter/Verify the street address.</v>
      </c>
    </row>
    <row r="333" spans="1:3" x14ac:dyDescent="0.2">
      <c r="A333" t="s">
        <v>812</v>
      </c>
      <c r="B333" t="s">
        <v>121</v>
      </c>
      <c r="C333" t="str">
        <f t="shared" si="10"/>
        <v>French: Enter/Verify the second line of the street address.</v>
      </c>
    </row>
    <row r="334" spans="1:3" x14ac:dyDescent="0.2">
      <c r="A334" t="s">
        <v>813</v>
      </c>
      <c r="B334" t="s">
        <v>123</v>
      </c>
      <c r="C334" t="str">
        <f t="shared" si="10"/>
        <v>French: Enter/Verify the city.</v>
      </c>
    </row>
    <row r="335" spans="1:3" x14ac:dyDescent="0.2">
      <c r="A335" t="s">
        <v>814</v>
      </c>
      <c r="B335" t="s">
        <v>125</v>
      </c>
      <c r="C335" t="str">
        <f t="shared" si="10"/>
        <v>French: Enter/Verify the state.</v>
      </c>
    </row>
    <row r="336" spans="1:3" x14ac:dyDescent="0.2">
      <c r="A336" t="s">
        <v>815</v>
      </c>
      <c r="B336" t="s">
        <v>127</v>
      </c>
      <c r="C336" t="str">
        <f t="shared" si="10"/>
        <v>French: Enter/Verify the zip code.</v>
      </c>
    </row>
    <row r="337" spans="1:3" x14ac:dyDescent="0.2">
      <c r="A337" t="s">
        <v>816</v>
      </c>
      <c r="B337" t="s">
        <v>1522</v>
      </c>
      <c r="C337" t="str">
        <f t="shared" si="10"/>
        <v>French: Enter the date (in the format m/d/yyyy)  to determine your accrued benefit as of.</v>
      </c>
    </row>
    <row r="338" spans="1:3" x14ac:dyDescent="0.2">
      <c r="A338" t="s">
        <v>817</v>
      </c>
      <c r="B338" t="s">
        <v>1525</v>
      </c>
      <c r="C338" t="str">
        <f t="shared" si="10"/>
        <v>French: Enter the Final Average Pay, this will override the calculated Final Average Pay.</v>
      </c>
    </row>
    <row r="339" spans="1:3" x14ac:dyDescent="0.2">
      <c r="A339" t="s">
        <v>818</v>
      </c>
      <c r="B339" t="s">
        <v>581</v>
      </c>
      <c r="C339" t="str">
        <f t="shared" si="10"/>
        <v>French: Enter the actual Vesting Service, this will override the calculated Vesting Service.</v>
      </c>
    </row>
    <row r="340" spans="1:3" x14ac:dyDescent="0.2">
      <c r="A340" t="s">
        <v>819</v>
      </c>
      <c r="B340" t="s">
        <v>584</v>
      </c>
      <c r="C340" t="str">
        <f t="shared" si="10"/>
        <v>French: Enter the actual Credited Service, this will override the calculated Credited Service.</v>
      </c>
    </row>
    <row r="341" spans="1:3" x14ac:dyDescent="0.2">
      <c r="A341" t="s">
        <v>820</v>
      </c>
      <c r="B341" t="s">
        <v>587</v>
      </c>
      <c r="C341" t="str">
        <f t="shared" si="10"/>
        <v>French: Enter the actual Accrued Benefit, this will override the calculated Accrued Benefit.</v>
      </c>
    </row>
    <row r="342" spans="1:3" x14ac:dyDescent="0.2">
      <c r="A342" t="s">
        <v>211</v>
      </c>
      <c r="B342" t="s">
        <v>530</v>
      </c>
      <c r="C342" t="str">
        <f t="shared" si="10"/>
        <v>French: Enter the actual Age 65 benefit for purposes of a late retirement calculation, this will override the calculated Age 65 benefit.</v>
      </c>
    </row>
    <row r="343" spans="1:3" x14ac:dyDescent="0.2">
      <c r="A343" t="s">
        <v>212</v>
      </c>
      <c r="B343" t="s">
        <v>536</v>
      </c>
      <c r="C343" t="str">
        <f t="shared" si="10"/>
        <v>French: Enter the Batch Indicator you wish to filter on.</v>
      </c>
    </row>
    <row r="344" spans="1:3" x14ac:dyDescent="0.2">
      <c r="A344" t="s">
        <v>213</v>
      </c>
      <c r="B344" t="s">
        <v>544</v>
      </c>
      <c r="C344" t="str">
        <f t="shared" si="10"/>
        <v>French: Assumptions</v>
      </c>
    </row>
    <row r="345" spans="1:3" x14ac:dyDescent="0.2">
      <c r="A345" t="s">
        <v>1207</v>
      </c>
      <c r="B345" t="s">
        <v>1015</v>
      </c>
      <c r="C345" t="str">
        <f t="shared" si="10"/>
        <v>French: Beneficiary Information</v>
      </c>
    </row>
    <row r="346" spans="1:3" x14ac:dyDescent="0.2">
      <c r="A346" t="s">
        <v>214</v>
      </c>
      <c r="B346" t="s">
        <v>545</v>
      </c>
      <c r="C346" t="str">
        <f t="shared" si="10"/>
        <v>French: 401(k) Plan</v>
      </c>
    </row>
    <row r="347" spans="1:3" x14ac:dyDescent="0.2">
      <c r="A347" t="s">
        <v>215</v>
      </c>
      <c r="B347" t="s">
        <v>546</v>
      </c>
      <c r="C347" t="str">
        <f t="shared" si="10"/>
        <v>French: Scenario to Model</v>
      </c>
    </row>
    <row r="348" spans="1:3" x14ac:dyDescent="0.2">
      <c r="A348" t="s">
        <v>823</v>
      </c>
      <c r="B348" t="s">
        <v>550</v>
      </c>
      <c r="C348" t="str">
        <f t="shared" si="10"/>
        <v>French: Date of Termination</v>
      </c>
    </row>
    <row r="349" spans="1:3" x14ac:dyDescent="0.2">
      <c r="A349" t="s">
        <v>824</v>
      </c>
      <c r="B349" t="s">
        <v>551</v>
      </c>
      <c r="C349" t="str">
        <f t="shared" si="10"/>
        <v>French: Date of Retirement</v>
      </c>
    </row>
    <row r="350" spans="1:3" x14ac:dyDescent="0.2">
      <c r="A350" t="s">
        <v>1208</v>
      </c>
      <c r="B350" t="s">
        <v>549</v>
      </c>
      <c r="C350" t="str">
        <f t="shared" si="10"/>
        <v>French: Calculation Parameters</v>
      </c>
    </row>
    <row r="351" spans="1:3" x14ac:dyDescent="0.2">
      <c r="A351" t="s">
        <v>825</v>
      </c>
      <c r="B351" t="s">
        <v>552</v>
      </c>
      <c r="C351" t="str">
        <f t="shared" si="10"/>
        <v>French: Calculation Overrides</v>
      </c>
    </row>
    <row r="352" spans="1:3" x14ac:dyDescent="0.2">
      <c r="A352" t="s">
        <v>1209</v>
      </c>
      <c r="B352" t="s">
        <v>1002</v>
      </c>
      <c r="C352" t="str">
        <f t="shared" si="10"/>
        <v>French: Demographic Information</v>
      </c>
    </row>
    <row r="353" spans="1:3" x14ac:dyDescent="0.2">
      <c r="A353" t="s">
        <v>1487</v>
      </c>
      <c r="B353" t="s">
        <v>554</v>
      </c>
      <c r="C353" t="str">
        <f t="shared" si="10"/>
        <v>French: Parameters</v>
      </c>
    </row>
    <row r="354" spans="1:3" x14ac:dyDescent="0.2">
      <c r="A354" t="s">
        <v>280</v>
      </c>
      <c r="B354" t="s">
        <v>279</v>
      </c>
      <c r="C354" t="str">
        <f t="shared" si="10"/>
        <v>French: Accrued Benefit Calculation</v>
      </c>
    </row>
    <row r="355" spans="1:3" x14ac:dyDescent="0.2">
      <c r="A355" t="s">
        <v>282</v>
      </c>
      <c r="B355" t="s">
        <v>281</v>
      </c>
      <c r="C355" t="str">
        <f t="shared" si="10"/>
        <v>French: Final Calculation</v>
      </c>
    </row>
    <row r="356" spans="1:3" x14ac:dyDescent="0.2">
      <c r="A356" t="s">
        <v>1488</v>
      </c>
      <c r="B356" t="s">
        <v>91</v>
      </c>
      <c r="C356" t="str">
        <f t="shared" si="10"/>
        <v>French: Status Count</v>
      </c>
    </row>
    <row r="357" spans="1:3" x14ac:dyDescent="0.2">
      <c r="A357" t="s">
        <v>1489</v>
      </c>
      <c r="B357" t="s">
        <v>93</v>
      </c>
      <c r="C357" t="str">
        <f t="shared" ref="C357:C402" si="11">"French: " &amp;B357</f>
        <v>French: Status/Location Grid</v>
      </c>
    </row>
    <row r="358" spans="1:3" x14ac:dyDescent="0.2">
      <c r="A358" t="s">
        <v>1490</v>
      </c>
      <c r="B358" t="s">
        <v>189</v>
      </c>
      <c r="C358" t="str">
        <f t="shared" si="11"/>
        <v>French: Flow of Lives</v>
      </c>
    </row>
    <row r="359" spans="1:3" x14ac:dyDescent="0.2">
      <c r="A359" t="s">
        <v>1491</v>
      </c>
      <c r="B359" t="s">
        <v>191</v>
      </c>
      <c r="C359" t="str">
        <f t="shared" si="11"/>
        <v>French: Valuation Data</v>
      </c>
    </row>
    <row r="360" spans="1:3" x14ac:dyDescent="0.2">
      <c r="A360" t="s">
        <v>1492</v>
      </c>
      <c r="B360" t="s">
        <v>193</v>
      </c>
      <c r="C360" t="str">
        <f t="shared" si="11"/>
        <v>French: Mailing Labels</v>
      </c>
    </row>
    <row r="361" spans="1:3" x14ac:dyDescent="0.2">
      <c r="A361" t="s">
        <v>1493</v>
      </c>
      <c r="B361" t="s">
        <v>1409</v>
      </c>
      <c r="C361" t="str">
        <f t="shared" si="11"/>
        <v>French: Benefit Payable History</v>
      </c>
    </row>
    <row r="362" spans="1:3" x14ac:dyDescent="0.2">
      <c r="A362" t="s">
        <v>699</v>
      </c>
      <c r="B362" t="s">
        <v>696</v>
      </c>
      <c r="C362" t="str">
        <f t="shared" si="11"/>
        <v>French: Calculation Testing Audit</v>
      </c>
    </row>
    <row r="363" spans="1:3" x14ac:dyDescent="0.2">
      <c r="A363" t="s">
        <v>1494</v>
      </c>
      <c r="B363" t="s">
        <v>514</v>
      </c>
      <c r="C363" t="str">
        <f t="shared" si="11"/>
        <v>French: Batch Indicators</v>
      </c>
    </row>
    <row r="364" spans="1:3" x14ac:dyDescent="0.2">
      <c r="A364" s="29" t="s">
        <v>2429</v>
      </c>
      <c r="B364" s="29" t="s">
        <v>2428</v>
      </c>
      <c r="C364" t="str">
        <f t="shared" si="11"/>
        <v>French: Simple Calculated Report</v>
      </c>
    </row>
    <row r="365" spans="1:3" x14ac:dyDescent="0.2">
      <c r="A365" s="29" t="s">
        <v>2430</v>
      </c>
      <c r="B365" s="29" t="s">
        <v>2431</v>
      </c>
      <c r="C365" t="str">
        <f>"French: " &amp;B365</f>
        <v>French: Complex Calculated Report</v>
      </c>
    </row>
    <row r="366" spans="1:3" x14ac:dyDescent="0.2">
      <c r="A366" t="s">
        <v>1495</v>
      </c>
      <c r="B366" t="s">
        <v>517</v>
      </c>
      <c r="C366" t="str">
        <f t="shared" si="11"/>
        <v>French: Active, Disabled, TV over 55</v>
      </c>
    </row>
    <row r="367" spans="1:3" x14ac:dyDescent="0.2">
      <c r="A367" t="s">
        <v>1496</v>
      </c>
      <c r="B367" t="s">
        <v>518</v>
      </c>
      <c r="C367" t="str">
        <f t="shared" si="11"/>
        <v>French: Active, Disabled, TV turning 65 in next 12 months</v>
      </c>
    </row>
    <row r="368" spans="1:3" x14ac:dyDescent="0.2">
      <c r="A368" t="s">
        <v>1092</v>
      </c>
      <c r="B368" t="s">
        <v>1093</v>
      </c>
      <c r="C368" t="str">
        <f t="shared" si="11"/>
        <v>French: Recent Retirees</v>
      </c>
    </row>
    <row r="369" spans="1:3" x14ac:dyDescent="0.2">
      <c r="A369" t="s">
        <v>1497</v>
      </c>
      <c r="B369" t="s">
        <v>92</v>
      </c>
      <c r="C369" t="str">
        <f t="shared" si="11"/>
        <v>French: Displays summary counts of each status for all employees.</v>
      </c>
    </row>
    <row r="370" spans="1:3" x14ac:dyDescent="0.2">
      <c r="A370" t="s">
        <v>1498</v>
      </c>
      <c r="B370" t="s">
        <v>188</v>
      </c>
      <c r="C370" t="str">
        <f t="shared" si="11"/>
        <v>French: Displays counts by Status and Location for all employees.</v>
      </c>
    </row>
    <row r="371" spans="1:3" x14ac:dyDescent="0.2">
      <c r="A371" t="s">
        <v>1499</v>
      </c>
      <c r="B371" t="s">
        <v>190</v>
      </c>
      <c r="C371" t="str">
        <f t="shared" si="11"/>
        <v>French: Displays flow of lives based on status.</v>
      </c>
    </row>
    <row r="372" spans="1:3" x14ac:dyDescent="0.2">
      <c r="A372" t="s">
        <v>1500</v>
      </c>
      <c r="B372" t="s">
        <v>192</v>
      </c>
      <c r="C372" t="str">
        <f t="shared" si="11"/>
        <v>French: Excel formatted report containing valuation for all participants.</v>
      </c>
    </row>
    <row r="373" spans="1:3" x14ac:dyDescent="0.2">
      <c r="A373" t="s">
        <v>1501</v>
      </c>
      <c r="B373" t="s">
        <v>194</v>
      </c>
      <c r="C373" t="str">
        <f t="shared" si="11"/>
        <v>French: Excel formatted report containing mailing information for all participants.</v>
      </c>
    </row>
    <row r="374" spans="1:3" x14ac:dyDescent="0.2">
      <c r="A374" t="s">
        <v>1788</v>
      </c>
      <c r="B374" t="s">
        <v>513</v>
      </c>
      <c r="C374" t="str">
        <f t="shared" si="11"/>
        <v>French: Excel formatted report containing all benefit records for all participants.</v>
      </c>
    </row>
    <row r="375" spans="1:3" x14ac:dyDescent="0.2">
      <c r="A375" t="s">
        <v>697</v>
      </c>
      <c r="B375" t="s">
        <v>698</v>
      </c>
      <c r="C375" t="str">
        <f t="shared" si="11"/>
        <v>French: Excel formatted report containing test runs for everyone in Control group.</v>
      </c>
    </row>
    <row r="376" spans="1:3" x14ac:dyDescent="0.2">
      <c r="A376" t="s">
        <v>1789</v>
      </c>
      <c r="B376" t="s">
        <v>515</v>
      </c>
      <c r="C376" t="str">
        <f t="shared" si="11"/>
        <v>French: Excel formatted report containing Batch Indicator for all participants who have one assigned.</v>
      </c>
    </row>
    <row r="377" spans="1:3" x14ac:dyDescent="0.2">
      <c r="A377" s="29" t="s">
        <v>2432</v>
      </c>
      <c r="B377" s="29" t="s">
        <v>2435</v>
      </c>
      <c r="C377" t="str">
        <f t="shared" si="11"/>
        <v>French: Excel formatted report contains fields exported from simple ad hoc report process.</v>
      </c>
    </row>
    <row r="378" spans="1:3" x14ac:dyDescent="0.2">
      <c r="A378" s="29" t="s">
        <v>2433</v>
      </c>
      <c r="B378" s="29" t="s">
        <v>2434</v>
      </c>
      <c r="C378" t="str">
        <f>"French: " &amp;B378</f>
        <v>French: Excel formatted report contains fields exported from complex ad hoc report process.</v>
      </c>
    </row>
    <row r="379" spans="1:3" x14ac:dyDescent="0.2">
      <c r="A379" t="s">
        <v>390</v>
      </c>
      <c r="B379" t="s">
        <v>517</v>
      </c>
      <c r="C379" t="str">
        <f t="shared" si="11"/>
        <v>French: Active, Disabled, TV over 55</v>
      </c>
    </row>
    <row r="380" spans="1:3" x14ac:dyDescent="0.2">
      <c r="A380" t="s">
        <v>391</v>
      </c>
      <c r="B380" t="s">
        <v>518</v>
      </c>
      <c r="C380" t="str">
        <f t="shared" si="11"/>
        <v>French: Active, Disabled, TV turning 65 in next 12 months</v>
      </c>
    </row>
    <row r="381" spans="1:3" x14ac:dyDescent="0.2">
      <c r="A381" t="s">
        <v>1096</v>
      </c>
      <c r="B381" t="s">
        <v>1097</v>
      </c>
      <c r="C381" t="str">
        <f t="shared" si="11"/>
        <v>French: Participants changing status to Retired in last period.</v>
      </c>
    </row>
    <row r="382" spans="1:3" x14ac:dyDescent="0.2">
      <c r="A382" t="s">
        <v>405</v>
      </c>
      <c r="B382" t="s">
        <v>406</v>
      </c>
      <c r="C382" t="str">
        <f t="shared" si="11"/>
        <v>French: AZI_Valuation_{0}.csv</v>
      </c>
    </row>
    <row r="383" spans="1:3" x14ac:dyDescent="0.2">
      <c r="A383" t="s">
        <v>407</v>
      </c>
      <c r="B383" t="s">
        <v>1157</v>
      </c>
      <c r="C383" t="str">
        <f t="shared" si="11"/>
        <v>French: AZI_Mailing_Labels.csv</v>
      </c>
    </row>
    <row r="384" spans="1:3" x14ac:dyDescent="0.2">
      <c r="A384" t="s">
        <v>408</v>
      </c>
      <c r="B384" t="s">
        <v>409</v>
      </c>
      <c r="C384" t="str">
        <f t="shared" si="11"/>
        <v>French: AZI_BenPay_History_{0}.csv</v>
      </c>
    </row>
    <row r="385" spans="1:3" x14ac:dyDescent="0.2">
      <c r="A385" t="s">
        <v>1098</v>
      </c>
      <c r="B385" t="s">
        <v>1099</v>
      </c>
      <c r="C385" t="str">
        <f t="shared" si="11"/>
        <v>French: AZI_Calc_Audit.csv</v>
      </c>
    </row>
    <row r="386" spans="1:3" x14ac:dyDescent="0.2">
      <c r="A386" t="s">
        <v>410</v>
      </c>
      <c r="B386" t="s">
        <v>516</v>
      </c>
      <c r="C386" t="str">
        <f t="shared" si="11"/>
        <v>French: AZI_Batch_Indicators.csv</v>
      </c>
    </row>
    <row r="387" spans="1:3" x14ac:dyDescent="0.2">
      <c r="A387" t="s">
        <v>411</v>
      </c>
      <c r="B387" t="s">
        <v>412</v>
      </c>
      <c r="C387" t="str">
        <f t="shared" si="11"/>
        <v>French: AZI_ACLTTVOver55_{0}.csv</v>
      </c>
    </row>
    <row r="388" spans="1:3" x14ac:dyDescent="0.2">
      <c r="A388" t="s">
        <v>413</v>
      </c>
      <c r="B388" t="s">
        <v>414</v>
      </c>
      <c r="C388" t="str">
        <f t="shared" si="11"/>
        <v>French: AZI_ACLTTV65In12Months_{0}.csv</v>
      </c>
    </row>
    <row r="389" spans="1:3" x14ac:dyDescent="0.2">
      <c r="A389" t="s">
        <v>1094</v>
      </c>
      <c r="B389" t="s">
        <v>1095</v>
      </c>
      <c r="C389" t="str">
        <f t="shared" si="11"/>
        <v>French: AZI_Recent_Retirees.csv</v>
      </c>
    </row>
    <row r="390" spans="1:3" x14ac:dyDescent="0.2">
      <c r="A390" s="29" t="s">
        <v>2437</v>
      </c>
      <c r="B390" s="29" t="s">
        <v>2439</v>
      </c>
      <c r="C390" t="str">
        <f t="shared" si="11"/>
        <v>French: AZI_Simple.csv</v>
      </c>
    </row>
    <row r="391" spans="1:3" x14ac:dyDescent="0.2">
      <c r="A391" s="29" t="s">
        <v>2438</v>
      </c>
      <c r="B391" s="29" t="s">
        <v>2440</v>
      </c>
      <c r="C391" t="str">
        <f>"French: " &amp;B391</f>
        <v>French: AZI_Complex.csv</v>
      </c>
    </row>
    <row r="392" spans="1:3" x14ac:dyDescent="0.2">
      <c r="A392" t="s">
        <v>968</v>
      </c>
      <c r="B392" t="s">
        <v>2045</v>
      </c>
      <c r="C392" t="str">
        <f t="shared" si="11"/>
        <v>French: Status</v>
      </c>
    </row>
    <row r="393" spans="1:3" x14ac:dyDescent="0.2">
      <c r="A393" t="s">
        <v>969</v>
      </c>
      <c r="B393" t="s">
        <v>383</v>
      </c>
      <c r="C393" t="str">
        <f t="shared" si="11"/>
        <v>French: Location</v>
      </c>
    </row>
    <row r="394" spans="1:3" x14ac:dyDescent="0.2">
      <c r="A394" t="s">
        <v>970</v>
      </c>
      <c r="B394" t="s">
        <v>967</v>
      </c>
      <c r="C394" t="str">
        <f t="shared" si="11"/>
        <v>French: Current / Previous</v>
      </c>
    </row>
    <row r="395" spans="1:3" x14ac:dyDescent="0.2">
      <c r="A395" t="s">
        <v>415</v>
      </c>
      <c r="B395" t="s">
        <v>340</v>
      </c>
      <c r="C395" t="str">
        <f t="shared" si="11"/>
        <v>French: SSN</v>
      </c>
    </row>
    <row r="396" spans="1:3" x14ac:dyDescent="0.2">
      <c r="A396" t="s">
        <v>416</v>
      </c>
      <c r="B396" t="s">
        <v>341</v>
      </c>
      <c r="C396" t="str">
        <f t="shared" si="11"/>
        <v>French: Last Name</v>
      </c>
    </row>
    <row r="397" spans="1:3" x14ac:dyDescent="0.2">
      <c r="A397" t="s">
        <v>417</v>
      </c>
      <c r="B397" t="s">
        <v>343</v>
      </c>
      <c r="C397" t="str">
        <f t="shared" si="11"/>
        <v>French: First Name</v>
      </c>
    </row>
    <row r="398" spans="1:3" x14ac:dyDescent="0.2">
      <c r="A398" t="s">
        <v>418</v>
      </c>
      <c r="B398" t="s">
        <v>345</v>
      </c>
      <c r="C398" t="str">
        <f t="shared" si="11"/>
        <v>French: Birth Date</v>
      </c>
    </row>
    <row r="399" spans="1:3" x14ac:dyDescent="0.2">
      <c r="A399" t="s">
        <v>419</v>
      </c>
      <c r="B399" t="s">
        <v>2043</v>
      </c>
      <c r="C399" t="str">
        <f t="shared" si="11"/>
        <v>French: Current Status</v>
      </c>
    </row>
    <row r="400" spans="1:3" x14ac:dyDescent="0.2">
      <c r="A400" t="s">
        <v>420</v>
      </c>
      <c r="B400" t="s">
        <v>2046</v>
      </c>
      <c r="C400" t="str">
        <f t="shared" si="11"/>
        <v>French: Previous Status</v>
      </c>
    </row>
    <row r="401" spans="1:3" x14ac:dyDescent="0.2">
      <c r="A401" t="s">
        <v>421</v>
      </c>
      <c r="B401" t="s">
        <v>2047</v>
      </c>
      <c r="C401" t="str">
        <f t="shared" si="11"/>
        <v>French: Batch Ind</v>
      </c>
    </row>
    <row r="402" spans="1:3" x14ac:dyDescent="0.2">
      <c r="A402" t="s">
        <v>1071</v>
      </c>
      <c r="B402" t="s">
        <v>334</v>
      </c>
      <c r="C402" t="str">
        <f t="shared" si="11"/>
        <v>French: Actives</v>
      </c>
    </row>
    <row r="403" spans="1:3" x14ac:dyDescent="0.2">
      <c r="A403" t="s">
        <v>707</v>
      </c>
      <c r="B403" t="s">
        <v>709</v>
      </c>
      <c r="C403" t="str">
        <f>"French: "&amp;B403</f>
        <v>French: Arizona Igloo Retirement Modeling</v>
      </c>
    </row>
    <row r="404" spans="1:3" x14ac:dyDescent="0.2">
      <c r="A404" t="s">
        <v>708</v>
      </c>
      <c r="B404" t="s">
        <v>710</v>
      </c>
      <c r="C404" t="str">
        <f>"French: "&amp;B404</f>
        <v>French: Arizona Igloo Pension Administration</v>
      </c>
    </row>
    <row r="405" spans="1:3" x14ac:dyDescent="0.2">
      <c r="A405" t="s">
        <v>2239</v>
      </c>
      <c r="B405" t="s">
        <v>2240</v>
      </c>
      <c r="C405" t="str">
        <f>"French: "&amp;B405</f>
        <v>French: Participant: {0}, Status: {1}</v>
      </c>
    </row>
    <row r="406" spans="1:3" x14ac:dyDescent="0.2">
      <c r="A406" t="s">
        <v>2289</v>
      </c>
      <c r="B406" t="s">
        <v>2290</v>
      </c>
      <c r="C406" t="str">
        <f>"French: "&amp;B406</f>
        <v>French: This participant currently has 'incorrect' data assigned to them (Initial Data Is Bad flag = Y).</v>
      </c>
    </row>
  </sheetData>
  <phoneticPr fontId="28" type="noConversion"/>
  <dataValidations disablePrompts="1" count="1">
    <dataValidation type="list" showInputMessage="1" showErrorMessage="1" sqref="B3">
      <formula1>"Localization"</formula1>
    </dataValidation>
  </dataValidations>
  <hyperlinks>
    <hyperlink ref="B199" r:id="rId1"/>
    <hyperlink ref="B202" r:id="rId2"/>
    <hyperlink ref="C202" r:id="rId3"/>
    <hyperlink ref="C199" r:id="rId4" display="https://www.benefitadmin.com/azi/fr"/>
    <hyperlink ref="B204" r:id="rId5"/>
  </hyperlinks>
  <pageMargins left="0.75" right="0.75" top="1" bottom="1" header="0.5" footer="0.5"/>
  <pageSetup orientation="portrait" horizontalDpi="4294967293" verticalDpi="4294967293" r:id="rId6"/>
  <headerFooter alignWithMargins="0"/>
  <legacyDrawing r:id="rId7"/>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iteAccess">
    <tabColor theme="1"/>
  </sheetPr>
  <dimension ref="A1:K11"/>
  <sheetViews>
    <sheetView workbookViewId="0"/>
  </sheetViews>
  <sheetFormatPr defaultRowHeight="12.75" x14ac:dyDescent="0.2"/>
  <cols>
    <col min="1" max="1" width="22.140625" customWidth="1"/>
    <col min="2" max="2" width="18.28515625" customWidth="1"/>
    <col min="3" max="3" width="18" customWidth="1"/>
    <col min="4" max="4" width="19.140625" bestFit="1" customWidth="1"/>
    <col min="5" max="6" width="18.85546875" customWidth="1"/>
    <col min="7" max="7" width="17.7109375" bestFit="1" customWidth="1"/>
    <col min="8" max="8" width="11.5703125" bestFit="1" customWidth="1"/>
  </cols>
  <sheetData>
    <row r="1" spans="1:11" s="3" customFormat="1" x14ac:dyDescent="0.2">
      <c r="A1" s="1" t="s">
        <v>1148</v>
      </c>
      <c r="B1" s="2"/>
    </row>
    <row r="2" spans="1:11" x14ac:dyDescent="0.2">
      <c r="A2" s="107" t="s">
        <v>1151</v>
      </c>
      <c r="B2" s="25" t="s">
        <v>652</v>
      </c>
    </row>
    <row r="3" spans="1:11" x14ac:dyDescent="0.2">
      <c r="A3" s="107"/>
      <c r="B3" s="25" t="s">
        <v>459</v>
      </c>
    </row>
    <row r="4" spans="1:11" x14ac:dyDescent="0.2">
      <c r="A4" s="107"/>
      <c r="B4" s="25" t="s">
        <v>460</v>
      </c>
    </row>
    <row r="5" spans="1:11" x14ac:dyDescent="0.2">
      <c r="A5" s="107" t="s">
        <v>209</v>
      </c>
      <c r="B5" s="26">
        <v>1.4</v>
      </c>
    </row>
    <row r="6" spans="1:11" x14ac:dyDescent="0.2">
      <c r="A6" s="107" t="s">
        <v>1149</v>
      </c>
      <c r="B6" s="108" t="s">
        <v>519</v>
      </c>
    </row>
    <row r="7" spans="1:11" x14ac:dyDescent="0.2">
      <c r="A7" s="25"/>
      <c r="B7" s="26"/>
      <c r="I7" s="29"/>
      <c r="J7" s="29"/>
      <c r="K7" s="29"/>
    </row>
    <row r="8" spans="1:11" x14ac:dyDescent="0.2">
      <c r="A8" s="65" t="s">
        <v>2020</v>
      </c>
      <c r="B8" s="65" t="s">
        <v>2177</v>
      </c>
      <c r="C8" s="65" t="s">
        <v>2487</v>
      </c>
      <c r="D8" s="65" t="s">
        <v>2488</v>
      </c>
      <c r="E8" s="65" t="s">
        <v>2489</v>
      </c>
      <c r="F8" s="65" t="s">
        <v>2491</v>
      </c>
      <c r="G8" s="65" t="s">
        <v>2178</v>
      </c>
    </row>
    <row r="9" spans="1:11" s="29" customFormat="1" x14ac:dyDescent="0.2">
      <c r="A9" s="374"/>
      <c r="B9" s="375"/>
      <c r="E9"/>
      <c r="F9"/>
      <c r="G9"/>
    </row>
    <row r="10" spans="1:11" x14ac:dyDescent="0.2">
      <c r="A10" s="376"/>
      <c r="B10" s="106"/>
      <c r="C10" s="29"/>
      <c r="D10" s="29"/>
      <c r="E10" s="29"/>
      <c r="F10" s="29"/>
      <c r="H10" s="29"/>
    </row>
    <row r="11" spans="1:11" x14ac:dyDescent="0.2">
      <c r="A11" s="377"/>
      <c r="B11" s="378"/>
      <c r="C11" s="29"/>
      <c r="D11" s="29"/>
      <c r="E11" s="29"/>
      <c r="F11" s="29"/>
      <c r="H11" s="29"/>
    </row>
  </sheetData>
  <phoneticPr fontId="26" type="noConversion"/>
  <dataValidations count="1">
    <dataValidation type="list" showInputMessage="1" showErrorMessage="1" sqref="B6">
      <formula1>"Site Configuration"</formula1>
    </dataValidation>
  </dataValidations>
  <pageMargins left="0.75" right="0.75" top="1" bottom="1" header="0.5" footer="0.5"/>
  <pageSetup orientation="portrait" horizontalDpi="4294967293" verticalDpi="4294967293" r:id="rId1"/>
  <headerFooter alignWithMargins="0"/>
  <legacyDrawing r:id="rId2"/>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iteSettingsTemplate">
    <tabColor theme="1"/>
  </sheetPr>
  <dimension ref="A1:Q222"/>
  <sheetViews>
    <sheetView workbookViewId="0"/>
  </sheetViews>
  <sheetFormatPr defaultRowHeight="12.75" x14ac:dyDescent="0.2"/>
  <cols>
    <col min="1" max="1" width="37.140625" bestFit="1" customWidth="1"/>
    <col min="2" max="2" width="29.42578125" customWidth="1"/>
    <col min="3" max="3" width="21.5703125" customWidth="1"/>
    <col min="4" max="4" width="33.5703125" customWidth="1"/>
    <col min="5" max="5" width="20.28515625" customWidth="1"/>
    <col min="6" max="6" width="34.7109375" customWidth="1"/>
    <col min="7" max="7" width="61.5703125" customWidth="1"/>
    <col min="9" max="9" width="14.140625" customWidth="1"/>
    <col min="10" max="10" width="14.5703125" customWidth="1"/>
  </cols>
  <sheetData>
    <row r="1" spans="1:17" s="3" customFormat="1" x14ac:dyDescent="0.2">
      <c r="A1" s="1" t="s">
        <v>1148</v>
      </c>
      <c r="B1" s="2"/>
    </row>
    <row r="2" spans="1:17" x14ac:dyDescent="0.2">
      <c r="A2" s="4" t="s">
        <v>422</v>
      </c>
      <c r="B2" s="5">
        <v>6</v>
      </c>
      <c r="C2" s="6"/>
      <c r="D2" s="6"/>
      <c r="E2" s="6"/>
      <c r="F2" s="6"/>
      <c r="G2" s="6"/>
      <c r="H2" s="6"/>
      <c r="I2" s="6"/>
      <c r="J2" s="6"/>
      <c r="K2" s="6"/>
      <c r="L2" s="6"/>
      <c r="M2" s="6"/>
      <c r="N2" s="6"/>
      <c r="O2" s="6"/>
      <c r="P2" s="6"/>
      <c r="Q2" s="7"/>
    </row>
    <row r="3" spans="1:17" x14ac:dyDescent="0.2">
      <c r="A3" s="8" t="s">
        <v>1149</v>
      </c>
      <c r="B3" s="9" t="s">
        <v>1269</v>
      </c>
      <c r="C3" s="10"/>
      <c r="D3" s="10"/>
      <c r="E3" s="10"/>
      <c r="F3" s="10"/>
      <c r="G3" s="10"/>
      <c r="H3" s="10"/>
      <c r="I3" s="10"/>
      <c r="J3" s="10"/>
      <c r="K3" s="10"/>
      <c r="L3" s="10"/>
      <c r="M3" s="10"/>
      <c r="N3" s="10"/>
      <c r="O3" s="10"/>
      <c r="P3" s="10"/>
      <c r="Q3" s="11"/>
    </row>
    <row r="4" spans="1:17" x14ac:dyDescent="0.2">
      <c r="A4" s="8" t="s">
        <v>1151</v>
      </c>
      <c r="B4" s="12" t="s">
        <v>2450</v>
      </c>
      <c r="C4" s="10"/>
      <c r="D4" s="10"/>
      <c r="E4" s="10"/>
      <c r="F4" s="10"/>
      <c r="G4" s="10"/>
      <c r="H4" s="10"/>
      <c r="I4" s="10"/>
      <c r="J4" s="10"/>
      <c r="K4" s="10"/>
      <c r="L4" s="10"/>
      <c r="M4" s="10"/>
      <c r="N4" s="10"/>
      <c r="O4" s="10"/>
      <c r="P4" s="10"/>
      <c r="Q4" s="11"/>
    </row>
    <row r="5" spans="1:17" x14ac:dyDescent="0.2">
      <c r="A5" s="13"/>
      <c r="B5" s="12" t="s">
        <v>2451</v>
      </c>
      <c r="C5" s="10"/>
      <c r="D5" s="10"/>
      <c r="E5" s="10"/>
      <c r="F5" s="10"/>
      <c r="G5" s="10"/>
      <c r="H5" s="10"/>
      <c r="I5" s="10"/>
      <c r="J5" s="10"/>
      <c r="K5" s="10"/>
      <c r="L5" s="10"/>
      <c r="M5" s="10"/>
      <c r="N5" s="10"/>
      <c r="O5" s="10"/>
      <c r="P5" s="10"/>
      <c r="Q5" s="11"/>
    </row>
    <row r="6" spans="1:17" x14ac:dyDescent="0.2">
      <c r="A6" s="13"/>
      <c r="B6" s="12" t="s">
        <v>2452</v>
      </c>
      <c r="C6" s="10"/>
      <c r="D6" s="10"/>
      <c r="E6" s="10"/>
      <c r="F6" s="10"/>
      <c r="G6" s="10"/>
      <c r="H6" s="10"/>
      <c r="I6" s="10"/>
      <c r="J6" s="10"/>
      <c r="K6" s="10"/>
      <c r="L6" s="10"/>
      <c r="M6" s="10"/>
      <c r="N6" s="10"/>
      <c r="O6" s="10"/>
      <c r="P6" s="10"/>
      <c r="Q6" s="11"/>
    </row>
    <row r="7" spans="1:17" x14ac:dyDescent="0.2">
      <c r="A7" s="13"/>
      <c r="B7" s="12"/>
      <c r="C7" s="10"/>
      <c r="D7" s="10"/>
      <c r="E7" s="10"/>
      <c r="F7" s="10"/>
      <c r="G7" s="10"/>
      <c r="H7" s="10"/>
      <c r="I7" s="10"/>
      <c r="J7" s="10"/>
      <c r="K7" s="10"/>
      <c r="L7" s="10"/>
      <c r="M7" s="10"/>
      <c r="N7" s="10"/>
      <c r="O7" s="10"/>
      <c r="P7" s="10"/>
      <c r="Q7" s="11"/>
    </row>
    <row r="8" spans="1:17" x14ac:dyDescent="0.2">
      <c r="A8" s="8" t="s">
        <v>2114</v>
      </c>
      <c r="B8" s="12" t="s">
        <v>2115</v>
      </c>
      <c r="C8" s="10"/>
      <c r="D8" s="10"/>
      <c r="E8" s="10"/>
      <c r="F8" s="10"/>
      <c r="G8" s="10"/>
      <c r="H8" s="10"/>
      <c r="I8" s="10"/>
      <c r="J8" s="10"/>
      <c r="K8" s="10"/>
      <c r="L8" s="10"/>
      <c r="M8" s="10"/>
      <c r="N8" s="10"/>
      <c r="O8" s="10"/>
      <c r="P8" s="10"/>
      <c r="Q8" s="11"/>
    </row>
    <row r="9" spans="1:17" x14ac:dyDescent="0.2">
      <c r="A9" s="13"/>
      <c r="B9" s="12" t="s">
        <v>2117</v>
      </c>
      <c r="C9" s="10"/>
      <c r="D9" s="10"/>
      <c r="E9" s="10"/>
      <c r="F9" s="10"/>
      <c r="G9" s="10"/>
      <c r="H9" s="10"/>
      <c r="I9" s="10"/>
      <c r="J9" s="10"/>
      <c r="K9" s="10"/>
      <c r="L9" s="10"/>
      <c r="M9" s="10"/>
      <c r="N9" s="10"/>
      <c r="O9" s="10"/>
      <c r="P9" s="10"/>
      <c r="Q9" s="11"/>
    </row>
    <row r="10" spans="1:17" x14ac:dyDescent="0.2">
      <c r="A10" s="13"/>
      <c r="B10" s="12" t="s">
        <v>2118</v>
      </c>
      <c r="C10" s="10"/>
      <c r="D10" s="10"/>
      <c r="E10" s="10"/>
      <c r="F10" s="10"/>
      <c r="G10" s="10"/>
      <c r="H10" s="10"/>
      <c r="I10" s="10"/>
      <c r="J10" s="10"/>
      <c r="K10" s="10"/>
      <c r="L10" s="10"/>
      <c r="M10" s="10"/>
      <c r="N10" s="10"/>
      <c r="O10" s="10"/>
      <c r="P10" s="10"/>
      <c r="Q10" s="11"/>
    </row>
    <row r="11" spans="1:17" x14ac:dyDescent="0.2">
      <c r="A11" s="13"/>
      <c r="B11" s="12"/>
      <c r="C11" s="10"/>
      <c r="D11" s="10"/>
      <c r="E11" s="10"/>
      <c r="F11" s="10"/>
      <c r="G11" s="10"/>
      <c r="H11" s="10"/>
      <c r="I11" s="10"/>
      <c r="J11" s="10"/>
      <c r="K11" s="10"/>
      <c r="L11" s="10"/>
      <c r="M11" s="10"/>
      <c r="N11" s="10"/>
      <c r="O11" s="10"/>
      <c r="P11" s="10"/>
      <c r="Q11" s="11"/>
    </row>
    <row r="12" spans="1:17" x14ac:dyDescent="0.2">
      <c r="A12" s="8" t="s">
        <v>2458</v>
      </c>
      <c r="B12" s="12" t="s">
        <v>2459</v>
      </c>
      <c r="C12" s="10"/>
      <c r="D12" s="10"/>
      <c r="E12" s="10"/>
      <c r="F12" s="10"/>
      <c r="G12" s="10"/>
      <c r="H12" s="10"/>
      <c r="I12" s="10"/>
      <c r="J12" s="10"/>
      <c r="K12" s="10"/>
      <c r="L12" s="10"/>
      <c r="M12" s="10"/>
      <c r="N12" s="10"/>
      <c r="O12" s="10"/>
      <c r="P12" s="10"/>
      <c r="Q12" s="11"/>
    </row>
    <row r="13" spans="1:17" x14ac:dyDescent="0.2">
      <c r="A13" s="13"/>
      <c r="B13" s="12"/>
      <c r="C13" s="10"/>
      <c r="D13" s="10"/>
      <c r="E13" s="10"/>
      <c r="F13" s="10"/>
      <c r="G13" s="10"/>
      <c r="H13" s="10"/>
      <c r="I13" s="10"/>
      <c r="J13" s="10"/>
      <c r="K13" s="10"/>
      <c r="L13" s="10"/>
      <c r="M13" s="10"/>
      <c r="N13" s="10"/>
      <c r="O13" s="10"/>
      <c r="P13" s="10"/>
      <c r="Q13" s="11"/>
    </row>
    <row r="14" spans="1:17" x14ac:dyDescent="0.2">
      <c r="A14" s="8" t="s">
        <v>2147</v>
      </c>
      <c r="B14" s="12" t="s">
        <v>2148</v>
      </c>
      <c r="C14" s="10"/>
      <c r="D14" s="10"/>
      <c r="E14" s="10"/>
      <c r="F14" s="10"/>
      <c r="G14" s="10"/>
      <c r="H14" s="10"/>
      <c r="I14" s="10"/>
      <c r="J14" s="10"/>
      <c r="K14" s="10"/>
      <c r="L14" s="10"/>
      <c r="M14" s="10"/>
      <c r="N14" s="10"/>
      <c r="O14" s="10"/>
      <c r="P14" s="10"/>
      <c r="Q14" s="11"/>
    </row>
    <row r="15" spans="1:17" x14ac:dyDescent="0.2">
      <c r="A15" s="8"/>
      <c r="B15" s="12" t="s">
        <v>2150</v>
      </c>
      <c r="C15" s="10"/>
      <c r="D15" s="10"/>
      <c r="E15" s="10"/>
      <c r="F15" s="10"/>
      <c r="G15" s="10"/>
      <c r="H15" s="10"/>
      <c r="I15" s="10"/>
      <c r="J15" s="10"/>
      <c r="K15" s="10"/>
      <c r="L15" s="10"/>
      <c r="M15" s="10"/>
      <c r="N15" s="10"/>
      <c r="O15" s="10"/>
      <c r="P15" s="10"/>
      <c r="Q15" s="11"/>
    </row>
    <row r="16" spans="1:17" x14ac:dyDescent="0.2">
      <c r="A16" s="13"/>
      <c r="B16" s="12"/>
      <c r="C16" s="10"/>
      <c r="D16" s="10"/>
      <c r="E16" s="10"/>
      <c r="F16" s="10"/>
      <c r="G16" s="10"/>
      <c r="H16" s="10"/>
      <c r="I16" s="10"/>
      <c r="J16" s="10"/>
      <c r="K16" s="10"/>
      <c r="L16" s="10"/>
      <c r="M16" s="10"/>
      <c r="N16" s="10"/>
      <c r="O16" s="10"/>
      <c r="P16" s="10"/>
      <c r="Q16" s="11"/>
    </row>
    <row r="17" spans="1:17" x14ac:dyDescent="0.2">
      <c r="A17" s="13"/>
      <c r="B17" s="566" t="s">
        <v>2249</v>
      </c>
      <c r="C17" s="10"/>
      <c r="D17" s="10"/>
      <c r="E17" s="10"/>
      <c r="F17" s="10"/>
      <c r="G17" s="10"/>
      <c r="H17" s="10"/>
      <c r="I17" s="10"/>
      <c r="J17" s="10"/>
      <c r="K17" s="10"/>
      <c r="L17" s="10"/>
      <c r="M17" s="10"/>
      <c r="N17" s="10"/>
      <c r="O17" s="10"/>
      <c r="P17" s="10"/>
      <c r="Q17" s="11"/>
    </row>
    <row r="18" spans="1:17" x14ac:dyDescent="0.2">
      <c r="A18" s="13"/>
      <c r="B18" s="566" t="s">
        <v>2248</v>
      </c>
      <c r="C18" s="10"/>
      <c r="D18" s="10"/>
      <c r="E18" s="10"/>
      <c r="F18" s="10"/>
      <c r="G18" s="10"/>
      <c r="H18" s="10"/>
      <c r="I18" s="10"/>
      <c r="J18" s="10"/>
      <c r="K18" s="10"/>
      <c r="L18" s="10"/>
      <c r="M18" s="10"/>
      <c r="N18" s="10"/>
      <c r="O18" s="10"/>
      <c r="P18" s="10"/>
      <c r="Q18" s="11"/>
    </row>
    <row r="19" spans="1:17" x14ac:dyDescent="0.2">
      <c r="A19" s="13"/>
      <c r="B19" s="566" t="s">
        <v>2250</v>
      </c>
      <c r="C19" s="10"/>
      <c r="D19" s="10"/>
      <c r="E19" s="10"/>
      <c r="F19" s="10"/>
      <c r="G19" s="10"/>
      <c r="H19" s="10"/>
      <c r="I19" s="10"/>
      <c r="J19" s="10"/>
      <c r="K19" s="10"/>
      <c r="L19" s="10"/>
      <c r="M19" s="10"/>
      <c r="N19" s="10"/>
      <c r="O19" s="10"/>
      <c r="P19" s="10"/>
      <c r="Q19" s="11"/>
    </row>
    <row r="20" spans="1:17" x14ac:dyDescent="0.2">
      <c r="A20" s="13"/>
      <c r="B20" s="566" t="s">
        <v>2251</v>
      </c>
      <c r="C20" s="10"/>
      <c r="D20" s="10"/>
      <c r="E20" s="10"/>
      <c r="F20" s="10"/>
      <c r="G20" s="10"/>
      <c r="H20" s="10"/>
      <c r="I20" s="10"/>
      <c r="J20" s="10"/>
      <c r="K20" s="10"/>
      <c r="L20" s="10"/>
      <c r="M20" s="10"/>
      <c r="N20" s="10"/>
      <c r="O20" s="10"/>
      <c r="P20" s="10"/>
      <c r="Q20" s="11"/>
    </row>
    <row r="21" spans="1:17" x14ac:dyDescent="0.2">
      <c r="A21" s="13"/>
      <c r="B21" s="566" t="s">
        <v>2252</v>
      </c>
      <c r="C21" s="10"/>
      <c r="D21" s="10"/>
      <c r="E21" s="10"/>
      <c r="F21" s="10"/>
      <c r="G21" s="10"/>
      <c r="H21" s="10"/>
      <c r="I21" s="10"/>
      <c r="J21" s="10"/>
      <c r="K21" s="10"/>
      <c r="L21" s="10"/>
      <c r="M21" s="10"/>
      <c r="N21" s="10"/>
      <c r="O21" s="10"/>
      <c r="P21" s="10"/>
      <c r="Q21" s="11"/>
    </row>
    <row r="22" spans="1:17" x14ac:dyDescent="0.2">
      <c r="A22" s="13"/>
      <c r="B22" s="566" t="s">
        <v>2253</v>
      </c>
      <c r="C22" s="10"/>
      <c r="D22" s="10"/>
      <c r="E22" s="10"/>
      <c r="F22" s="10"/>
      <c r="G22" s="10"/>
      <c r="H22" s="10"/>
      <c r="I22" s="10"/>
      <c r="J22" s="10"/>
      <c r="K22" s="10"/>
      <c r="L22" s="10"/>
      <c r="M22" s="10"/>
      <c r="N22" s="10"/>
      <c r="O22" s="10"/>
      <c r="P22" s="10"/>
      <c r="Q22" s="11"/>
    </row>
    <row r="23" spans="1:17" x14ac:dyDescent="0.2">
      <c r="A23" s="13"/>
      <c r="B23" s="566" t="s">
        <v>2254</v>
      </c>
      <c r="C23" s="10"/>
      <c r="D23" s="10"/>
      <c r="E23" s="10"/>
      <c r="F23" s="10"/>
      <c r="G23" s="10"/>
      <c r="H23" s="10"/>
      <c r="I23" s="10"/>
      <c r="J23" s="10"/>
      <c r="K23" s="10"/>
      <c r="L23" s="10"/>
      <c r="M23" s="10"/>
      <c r="N23" s="10"/>
      <c r="O23" s="10"/>
      <c r="P23" s="10"/>
      <c r="Q23" s="11"/>
    </row>
    <row r="24" spans="1:17" x14ac:dyDescent="0.2">
      <c r="A24" s="13"/>
      <c r="B24" s="566" t="s">
        <v>2255</v>
      </c>
      <c r="C24" s="10"/>
      <c r="D24" s="10"/>
      <c r="E24" s="10"/>
      <c r="F24" s="10"/>
      <c r="G24" s="10"/>
      <c r="H24" s="10"/>
      <c r="I24" s="10"/>
      <c r="J24" s="10"/>
      <c r="K24" s="10"/>
      <c r="L24" s="10"/>
      <c r="M24" s="10"/>
      <c r="N24" s="10"/>
      <c r="O24" s="10"/>
      <c r="P24" s="10"/>
      <c r="Q24" s="11"/>
    </row>
    <row r="25" spans="1:17" x14ac:dyDescent="0.2">
      <c r="A25" s="13"/>
      <c r="B25" s="566" t="s">
        <v>2256</v>
      </c>
      <c r="C25" s="10"/>
      <c r="D25" s="10"/>
      <c r="E25" s="10"/>
      <c r="F25" s="10"/>
      <c r="G25" s="10"/>
      <c r="H25" s="10"/>
      <c r="I25" s="10"/>
      <c r="J25" s="10"/>
      <c r="K25" s="10"/>
      <c r="L25" s="10"/>
      <c r="M25" s="10"/>
      <c r="N25" s="10"/>
      <c r="O25" s="10"/>
      <c r="P25" s="10"/>
      <c r="Q25" s="11"/>
    </row>
    <row r="26" spans="1:17" x14ac:dyDescent="0.2">
      <c r="A26" s="13"/>
      <c r="B26" s="12"/>
      <c r="C26" s="10"/>
      <c r="D26" s="10"/>
      <c r="E26" s="10"/>
      <c r="F26" s="10"/>
      <c r="G26" s="10"/>
      <c r="H26" s="10"/>
      <c r="I26" s="10"/>
      <c r="J26" s="10"/>
      <c r="K26" s="10"/>
      <c r="L26" s="10"/>
      <c r="M26" s="10"/>
      <c r="N26" s="10"/>
      <c r="O26" s="10"/>
      <c r="P26" s="10"/>
      <c r="Q26" s="11"/>
    </row>
    <row r="27" spans="1:17" x14ac:dyDescent="0.2">
      <c r="A27" s="8" t="s">
        <v>2163</v>
      </c>
      <c r="B27" s="12" t="s">
        <v>2164</v>
      </c>
      <c r="C27" s="10"/>
      <c r="D27" s="10"/>
      <c r="E27" s="10"/>
      <c r="F27" s="10"/>
      <c r="G27" s="10"/>
      <c r="H27" s="10"/>
      <c r="I27" s="10"/>
      <c r="J27" s="10"/>
      <c r="K27" s="10"/>
      <c r="L27" s="10"/>
      <c r="M27" s="10"/>
      <c r="N27" s="10"/>
      <c r="O27" s="10"/>
      <c r="P27" s="10"/>
      <c r="Q27" s="11"/>
    </row>
    <row r="28" spans="1:17" x14ac:dyDescent="0.2">
      <c r="A28" s="8"/>
      <c r="B28" s="12" t="s">
        <v>2165</v>
      </c>
      <c r="C28" s="10"/>
      <c r="D28" s="10"/>
      <c r="E28" s="10"/>
      <c r="F28" s="10"/>
      <c r="G28" s="10"/>
      <c r="H28" s="10"/>
      <c r="I28" s="10"/>
      <c r="J28" s="10"/>
      <c r="K28" s="10"/>
      <c r="L28" s="10"/>
      <c r="M28" s="10"/>
      <c r="N28" s="10"/>
      <c r="O28" s="10"/>
      <c r="P28" s="10"/>
      <c r="Q28" s="11"/>
    </row>
    <row r="29" spans="1:17" x14ac:dyDescent="0.2">
      <c r="A29" s="8"/>
      <c r="B29" s="12" t="s">
        <v>2166</v>
      </c>
      <c r="C29" s="10"/>
      <c r="D29" s="10"/>
      <c r="E29" s="10"/>
      <c r="F29" s="10"/>
      <c r="G29" s="10"/>
      <c r="H29" s="10"/>
      <c r="I29" s="10"/>
      <c r="J29" s="10"/>
      <c r="K29" s="10"/>
      <c r="L29" s="10"/>
      <c r="M29" s="10"/>
      <c r="N29" s="10"/>
      <c r="O29" s="10"/>
      <c r="P29" s="10"/>
      <c r="Q29" s="11"/>
    </row>
    <row r="30" spans="1:17" x14ac:dyDescent="0.2">
      <c r="A30" s="13"/>
      <c r="B30" s="12"/>
      <c r="C30" s="10"/>
      <c r="D30" s="10"/>
      <c r="E30" s="10"/>
      <c r="F30" s="10"/>
      <c r="G30" s="10"/>
      <c r="H30" s="10"/>
      <c r="I30" s="10"/>
      <c r="J30" s="10"/>
      <c r="K30" s="10"/>
      <c r="L30" s="10"/>
      <c r="M30" s="10"/>
      <c r="N30" s="10"/>
      <c r="O30" s="10"/>
      <c r="P30" s="10"/>
      <c r="Q30" s="11"/>
    </row>
    <row r="31" spans="1:17" x14ac:dyDescent="0.2">
      <c r="A31" s="8" t="s">
        <v>2286</v>
      </c>
      <c r="B31" s="12" t="s">
        <v>2287</v>
      </c>
      <c r="C31" s="10"/>
      <c r="D31" s="10"/>
      <c r="E31" s="10"/>
      <c r="F31" s="10"/>
      <c r="G31" s="10"/>
      <c r="H31" s="10"/>
      <c r="I31" s="10"/>
      <c r="J31" s="10"/>
      <c r="K31" s="10"/>
      <c r="L31" s="10"/>
      <c r="M31" s="10"/>
      <c r="N31" s="10"/>
      <c r="O31" s="10"/>
      <c r="P31" s="10"/>
      <c r="Q31" s="11"/>
    </row>
    <row r="32" spans="1:17" x14ac:dyDescent="0.2">
      <c r="A32" s="13"/>
      <c r="B32" s="12" t="s">
        <v>2288</v>
      </c>
      <c r="C32" s="10"/>
      <c r="D32" s="10"/>
      <c r="E32" s="10"/>
      <c r="F32" s="10"/>
      <c r="G32" s="10"/>
      <c r="H32" s="10"/>
      <c r="I32" s="10"/>
      <c r="J32" s="10"/>
      <c r="K32" s="10"/>
      <c r="L32" s="10"/>
      <c r="M32" s="10"/>
      <c r="N32" s="10"/>
      <c r="O32" s="10"/>
      <c r="P32" s="10"/>
      <c r="Q32" s="11"/>
    </row>
    <row r="33" spans="1:17" x14ac:dyDescent="0.2">
      <c r="A33" s="13"/>
      <c r="B33" s="12"/>
      <c r="C33" s="10"/>
      <c r="D33" s="10"/>
      <c r="E33" s="10"/>
      <c r="F33" s="10"/>
      <c r="G33" s="10"/>
      <c r="H33" s="10"/>
      <c r="I33" s="10"/>
      <c r="J33" s="10"/>
      <c r="K33" s="10"/>
      <c r="L33" s="10"/>
      <c r="M33" s="10"/>
      <c r="N33" s="10"/>
      <c r="O33" s="10"/>
      <c r="P33" s="10"/>
      <c r="Q33" s="11"/>
    </row>
    <row r="34" spans="1:17" x14ac:dyDescent="0.2">
      <c r="A34" s="8" t="s">
        <v>2116</v>
      </c>
      <c r="B34" s="12" t="s">
        <v>2119</v>
      </c>
      <c r="C34" s="10"/>
      <c r="D34" s="10"/>
      <c r="E34" s="10"/>
      <c r="F34" s="10"/>
      <c r="G34" s="10"/>
      <c r="H34" s="10"/>
      <c r="I34" s="10"/>
      <c r="J34" s="10"/>
      <c r="K34" s="10"/>
      <c r="L34" s="10"/>
      <c r="M34" s="10"/>
      <c r="N34" s="10"/>
      <c r="O34" s="10"/>
      <c r="P34" s="10"/>
      <c r="Q34" s="11"/>
    </row>
    <row r="35" spans="1:17" x14ac:dyDescent="0.2">
      <c r="A35" s="13"/>
      <c r="B35" s="12" t="s">
        <v>2120</v>
      </c>
      <c r="C35" s="10"/>
      <c r="D35" s="10"/>
      <c r="E35" s="10"/>
      <c r="F35" s="10"/>
      <c r="G35" s="10"/>
      <c r="H35" s="10"/>
      <c r="I35" s="10"/>
      <c r="J35" s="10"/>
      <c r="K35" s="10"/>
      <c r="L35" s="10"/>
      <c r="M35" s="10"/>
      <c r="N35" s="10"/>
      <c r="O35" s="10"/>
      <c r="P35" s="10"/>
      <c r="Q35" s="11"/>
    </row>
    <row r="36" spans="1:17" x14ac:dyDescent="0.2">
      <c r="A36" s="13"/>
      <c r="B36" s="12" t="s">
        <v>2121</v>
      </c>
      <c r="C36" s="10"/>
      <c r="D36" s="10"/>
      <c r="E36" s="10"/>
      <c r="F36" s="10"/>
      <c r="G36" s="10"/>
      <c r="H36" s="10"/>
      <c r="I36" s="10"/>
      <c r="J36" s="10"/>
      <c r="K36" s="10"/>
      <c r="L36" s="10"/>
      <c r="M36" s="10"/>
      <c r="N36" s="10"/>
      <c r="O36" s="10"/>
      <c r="P36" s="10"/>
      <c r="Q36" s="11"/>
    </row>
    <row r="37" spans="1:17" x14ac:dyDescent="0.2">
      <c r="A37" s="13"/>
      <c r="B37" s="12"/>
      <c r="C37" s="10"/>
      <c r="D37" s="10"/>
      <c r="E37" s="10"/>
      <c r="F37" s="10"/>
      <c r="G37" s="10"/>
      <c r="H37" s="10"/>
      <c r="I37" s="10"/>
      <c r="J37" s="10"/>
      <c r="K37" s="10"/>
      <c r="L37" s="10"/>
      <c r="M37" s="10"/>
      <c r="N37" s="10"/>
      <c r="O37" s="10"/>
      <c r="P37" s="10"/>
      <c r="Q37" s="11"/>
    </row>
    <row r="38" spans="1:17" x14ac:dyDescent="0.2">
      <c r="A38" s="8" t="s">
        <v>2122</v>
      </c>
      <c r="B38" s="12" t="s">
        <v>2123</v>
      </c>
      <c r="C38" s="10"/>
      <c r="D38" s="10"/>
      <c r="E38" s="10"/>
      <c r="F38" s="10"/>
      <c r="G38" s="10"/>
      <c r="H38" s="10"/>
      <c r="I38" s="10"/>
      <c r="J38" s="10"/>
      <c r="K38" s="10"/>
      <c r="L38" s="10"/>
      <c r="M38" s="10"/>
      <c r="N38" s="10"/>
      <c r="O38" s="10"/>
      <c r="P38" s="10"/>
      <c r="Q38" s="11"/>
    </row>
    <row r="39" spans="1:17" x14ac:dyDescent="0.2">
      <c r="A39" s="13"/>
      <c r="B39" s="12" t="s">
        <v>2124</v>
      </c>
      <c r="C39" s="10"/>
      <c r="D39" s="10"/>
      <c r="E39" s="10"/>
      <c r="F39" s="10"/>
      <c r="G39" s="10"/>
      <c r="H39" s="10"/>
      <c r="I39" s="10"/>
      <c r="J39" s="10"/>
      <c r="K39" s="10"/>
      <c r="L39" s="10"/>
      <c r="M39" s="10"/>
      <c r="N39" s="10"/>
      <c r="O39" s="10"/>
      <c r="P39" s="10"/>
      <c r="Q39" s="11"/>
    </row>
    <row r="40" spans="1:17" x14ac:dyDescent="0.2">
      <c r="A40" s="13"/>
      <c r="B40" s="12" t="s">
        <v>2125</v>
      </c>
      <c r="C40" s="10"/>
      <c r="D40" s="10"/>
      <c r="E40" s="10"/>
      <c r="F40" s="10"/>
      <c r="G40" s="10"/>
      <c r="H40" s="10"/>
      <c r="I40" s="10"/>
      <c r="J40" s="10"/>
      <c r="K40" s="10"/>
      <c r="L40" s="10"/>
      <c r="M40" s="10"/>
      <c r="N40" s="10"/>
      <c r="O40" s="10"/>
      <c r="P40" s="10"/>
      <c r="Q40" s="11"/>
    </row>
    <row r="41" spans="1:17" x14ac:dyDescent="0.2">
      <c r="A41" s="13"/>
      <c r="B41" s="12" t="s">
        <v>2135</v>
      </c>
      <c r="C41" s="10"/>
      <c r="D41" s="10"/>
      <c r="E41" s="10"/>
      <c r="F41" s="10"/>
      <c r="G41" s="10"/>
      <c r="H41" s="10"/>
      <c r="I41" s="10"/>
      <c r="J41" s="10"/>
      <c r="K41" s="10"/>
      <c r="L41" s="10"/>
      <c r="M41" s="10"/>
      <c r="N41" s="10"/>
      <c r="O41" s="10"/>
      <c r="P41" s="10"/>
      <c r="Q41" s="11"/>
    </row>
    <row r="42" spans="1:17" x14ac:dyDescent="0.2">
      <c r="A42" s="13"/>
      <c r="B42" s="12"/>
      <c r="C42" s="10"/>
      <c r="D42" s="10"/>
      <c r="E42" s="10"/>
      <c r="F42" s="10"/>
      <c r="G42" s="10"/>
      <c r="H42" s="10"/>
      <c r="I42" s="10"/>
      <c r="J42" s="10"/>
      <c r="K42" s="10"/>
      <c r="L42" s="10"/>
      <c r="M42" s="10"/>
      <c r="N42" s="10"/>
      <c r="O42" s="10"/>
      <c r="P42" s="10"/>
      <c r="Q42" s="11"/>
    </row>
    <row r="43" spans="1:17" x14ac:dyDescent="0.2">
      <c r="A43" s="8" t="s">
        <v>2126</v>
      </c>
      <c r="B43" s="12" t="s">
        <v>2127</v>
      </c>
      <c r="C43" s="10"/>
      <c r="D43" s="10"/>
      <c r="E43" s="10"/>
      <c r="F43" s="10"/>
      <c r="G43" s="10"/>
      <c r="H43" s="10"/>
      <c r="I43" s="10"/>
      <c r="J43" s="10"/>
      <c r="K43" s="10"/>
      <c r="L43" s="10"/>
      <c r="M43" s="10"/>
      <c r="N43" s="10"/>
      <c r="O43" s="10"/>
      <c r="P43" s="10"/>
      <c r="Q43" s="11"/>
    </row>
    <row r="44" spans="1:17" x14ac:dyDescent="0.2">
      <c r="A44" s="13"/>
      <c r="B44" s="12" t="s">
        <v>2128</v>
      </c>
      <c r="C44" s="10"/>
      <c r="D44" s="10"/>
      <c r="E44" s="10"/>
      <c r="F44" s="10"/>
      <c r="G44" s="10"/>
      <c r="H44" s="10"/>
      <c r="I44" s="10"/>
      <c r="J44" s="10"/>
      <c r="K44" s="10"/>
      <c r="L44" s="10"/>
      <c r="M44" s="10"/>
      <c r="N44" s="10"/>
      <c r="O44" s="10"/>
      <c r="P44" s="10"/>
      <c r="Q44" s="11"/>
    </row>
    <row r="45" spans="1:17" x14ac:dyDescent="0.2">
      <c r="A45" s="13"/>
      <c r="B45" s="12" t="s">
        <v>2129</v>
      </c>
      <c r="C45" s="10"/>
      <c r="D45" s="10"/>
      <c r="E45" s="10"/>
      <c r="F45" s="10"/>
      <c r="G45" s="10"/>
      <c r="H45" s="10"/>
      <c r="I45" s="10"/>
      <c r="J45" s="10"/>
      <c r="K45" s="10"/>
      <c r="L45" s="10"/>
      <c r="M45" s="10"/>
      <c r="N45" s="10"/>
      <c r="O45" s="10"/>
      <c r="P45" s="10"/>
      <c r="Q45" s="11"/>
    </row>
    <row r="46" spans="1:17" x14ac:dyDescent="0.2">
      <c r="A46" s="13"/>
      <c r="B46" s="12" t="s">
        <v>2130</v>
      </c>
      <c r="C46" s="10"/>
      <c r="D46" s="10"/>
      <c r="E46" s="10"/>
      <c r="F46" s="10"/>
      <c r="G46" s="10"/>
      <c r="H46" s="10"/>
      <c r="I46" s="10"/>
      <c r="J46" s="10"/>
      <c r="K46" s="10"/>
      <c r="L46" s="10"/>
      <c r="M46" s="10"/>
      <c r="N46" s="10"/>
      <c r="O46" s="10"/>
      <c r="P46" s="10"/>
      <c r="Q46" s="11"/>
    </row>
    <row r="47" spans="1:17" x14ac:dyDescent="0.2">
      <c r="A47" s="13"/>
      <c r="B47" s="12"/>
      <c r="C47" s="10"/>
      <c r="D47" s="10"/>
      <c r="E47" s="10"/>
      <c r="F47" s="10"/>
      <c r="G47" s="10"/>
      <c r="H47" s="10"/>
      <c r="I47" s="10"/>
      <c r="J47" s="10"/>
      <c r="K47" s="10"/>
      <c r="L47" s="10"/>
      <c r="M47" s="10"/>
      <c r="N47" s="10"/>
      <c r="O47" s="10"/>
      <c r="P47" s="10"/>
      <c r="Q47" s="11"/>
    </row>
    <row r="48" spans="1:17" x14ac:dyDescent="0.2">
      <c r="A48" s="8" t="s">
        <v>2131</v>
      </c>
      <c r="B48" s="12" t="s">
        <v>2132</v>
      </c>
      <c r="C48" s="10"/>
      <c r="D48" s="10"/>
      <c r="E48" s="10"/>
      <c r="F48" s="10"/>
      <c r="G48" s="10"/>
      <c r="H48" s="10"/>
      <c r="I48" s="10"/>
      <c r="J48" s="10"/>
      <c r="K48" s="10"/>
      <c r="L48" s="10"/>
      <c r="M48" s="10"/>
      <c r="N48" s="10"/>
      <c r="O48" s="10"/>
      <c r="P48" s="10"/>
      <c r="Q48" s="11"/>
    </row>
    <row r="49" spans="1:17" x14ac:dyDescent="0.2">
      <c r="A49" s="13"/>
      <c r="B49" s="12" t="s">
        <v>2133</v>
      </c>
      <c r="C49" s="10"/>
      <c r="D49" s="10"/>
      <c r="E49" s="10"/>
      <c r="F49" s="10"/>
      <c r="G49" s="10"/>
      <c r="H49" s="10"/>
      <c r="I49" s="10"/>
      <c r="J49" s="10"/>
      <c r="K49" s="10"/>
      <c r="L49" s="10"/>
      <c r="M49" s="10"/>
      <c r="N49" s="10"/>
      <c r="O49" s="10"/>
      <c r="P49" s="10"/>
      <c r="Q49" s="11"/>
    </row>
    <row r="50" spans="1:17" x14ac:dyDescent="0.2">
      <c r="A50" s="13"/>
      <c r="B50" s="12" t="s">
        <v>2134</v>
      </c>
      <c r="C50" s="10"/>
      <c r="D50" s="10"/>
      <c r="E50" s="10"/>
      <c r="F50" s="10"/>
      <c r="G50" s="10"/>
      <c r="H50" s="10"/>
      <c r="I50" s="10"/>
      <c r="J50" s="10"/>
      <c r="K50" s="10"/>
      <c r="L50" s="10"/>
      <c r="M50" s="10"/>
      <c r="N50" s="10"/>
      <c r="O50" s="10"/>
      <c r="P50" s="10"/>
      <c r="Q50" s="11"/>
    </row>
    <row r="51" spans="1:17" x14ac:dyDescent="0.2">
      <c r="A51" s="13"/>
      <c r="B51" s="12" t="s">
        <v>2136</v>
      </c>
      <c r="C51" s="10"/>
      <c r="D51" s="10"/>
      <c r="E51" s="10"/>
      <c r="F51" s="10"/>
      <c r="G51" s="10"/>
      <c r="H51" s="10"/>
      <c r="I51" s="10"/>
      <c r="J51" s="10"/>
      <c r="K51" s="10"/>
      <c r="L51" s="10"/>
      <c r="M51" s="10"/>
      <c r="N51" s="10"/>
      <c r="O51" s="10"/>
      <c r="P51" s="10"/>
      <c r="Q51" s="11"/>
    </row>
    <row r="52" spans="1:17" x14ac:dyDescent="0.2">
      <c r="A52" s="13"/>
      <c r="B52" s="12"/>
      <c r="C52" s="10"/>
      <c r="D52" s="10"/>
      <c r="E52" s="10"/>
      <c r="F52" s="10"/>
      <c r="G52" s="10"/>
      <c r="H52" s="10"/>
      <c r="I52" s="10"/>
      <c r="J52" s="10"/>
      <c r="K52" s="10"/>
      <c r="L52" s="10"/>
      <c r="M52" s="10"/>
      <c r="N52" s="10"/>
      <c r="O52" s="10"/>
      <c r="P52" s="10"/>
      <c r="Q52" s="11"/>
    </row>
    <row r="53" spans="1:17" x14ac:dyDescent="0.2">
      <c r="A53" s="8" t="s">
        <v>2137</v>
      </c>
      <c r="B53" s="12" t="s">
        <v>2138</v>
      </c>
      <c r="C53" s="10"/>
      <c r="D53" s="10"/>
      <c r="E53" s="10"/>
      <c r="F53" s="10"/>
      <c r="G53" s="10"/>
      <c r="H53" s="10"/>
      <c r="I53" s="10"/>
      <c r="J53" s="10"/>
      <c r="K53" s="10"/>
      <c r="L53" s="10"/>
      <c r="M53" s="10"/>
      <c r="N53" s="10"/>
      <c r="O53" s="10"/>
      <c r="P53" s="10"/>
      <c r="Q53" s="11"/>
    </row>
    <row r="54" spans="1:17" x14ac:dyDescent="0.2">
      <c r="A54" s="13"/>
      <c r="B54" s="12" t="s">
        <v>2139</v>
      </c>
      <c r="C54" s="10"/>
      <c r="D54" s="10"/>
      <c r="E54" s="10"/>
      <c r="F54" s="10"/>
      <c r="G54" s="10"/>
      <c r="H54" s="10"/>
      <c r="I54" s="10"/>
      <c r="J54" s="10"/>
      <c r="K54" s="10"/>
      <c r="L54" s="10"/>
      <c r="M54" s="10"/>
      <c r="N54" s="10"/>
      <c r="O54" s="10"/>
      <c r="P54" s="10"/>
      <c r="Q54" s="11"/>
    </row>
    <row r="55" spans="1:17" x14ac:dyDescent="0.2">
      <c r="A55" s="13"/>
      <c r="B55" s="12" t="s">
        <v>2141</v>
      </c>
      <c r="C55" s="10"/>
      <c r="D55" s="10"/>
      <c r="E55" s="10"/>
      <c r="F55" s="10"/>
      <c r="G55" s="10"/>
      <c r="H55" s="10"/>
      <c r="I55" s="10"/>
      <c r="J55" s="10"/>
      <c r="K55" s="10"/>
      <c r="L55" s="10"/>
      <c r="M55" s="10"/>
      <c r="N55" s="10"/>
      <c r="O55" s="10"/>
      <c r="P55" s="10"/>
      <c r="Q55" s="11"/>
    </row>
    <row r="56" spans="1:17" x14ac:dyDescent="0.2">
      <c r="A56" s="13"/>
      <c r="B56" s="12" t="s">
        <v>2140</v>
      </c>
      <c r="C56" s="10"/>
      <c r="D56" s="10"/>
      <c r="E56" s="10"/>
      <c r="F56" s="10"/>
      <c r="G56" s="10"/>
      <c r="H56" s="10"/>
      <c r="I56" s="10"/>
      <c r="J56" s="10"/>
      <c r="K56" s="10"/>
      <c r="L56" s="10"/>
      <c r="M56" s="10"/>
      <c r="N56" s="10"/>
      <c r="O56" s="10"/>
      <c r="P56" s="10"/>
      <c r="Q56" s="11"/>
    </row>
    <row r="57" spans="1:17" x14ac:dyDescent="0.2">
      <c r="A57" s="13"/>
      <c r="B57" s="12"/>
      <c r="C57" s="10"/>
      <c r="D57" s="10"/>
      <c r="E57" s="10"/>
      <c r="F57" s="10"/>
      <c r="G57" s="10"/>
      <c r="H57" s="10"/>
      <c r="I57" s="10"/>
      <c r="J57" s="10"/>
      <c r="K57" s="10"/>
      <c r="L57" s="10"/>
      <c r="M57" s="10"/>
      <c r="N57" s="10"/>
      <c r="O57" s="10"/>
      <c r="P57" s="10"/>
      <c r="Q57" s="11"/>
    </row>
    <row r="58" spans="1:17" x14ac:dyDescent="0.2">
      <c r="A58" s="13"/>
      <c r="B58" s="89" t="s">
        <v>2142</v>
      </c>
      <c r="C58" s="10"/>
      <c r="D58" s="10"/>
      <c r="E58" s="10"/>
      <c r="F58" s="10"/>
      <c r="G58" s="10"/>
      <c r="H58" s="10"/>
      <c r="I58" s="10"/>
      <c r="J58" s="10"/>
      <c r="K58" s="10"/>
      <c r="L58" s="10"/>
      <c r="M58" s="10"/>
      <c r="N58" s="10"/>
      <c r="O58" s="10"/>
      <c r="P58" s="10"/>
      <c r="Q58" s="11"/>
    </row>
    <row r="59" spans="1:17" x14ac:dyDescent="0.2">
      <c r="A59" s="13"/>
      <c r="B59" s="12"/>
      <c r="C59" s="10"/>
      <c r="D59" s="10"/>
      <c r="E59" s="10"/>
      <c r="F59" s="10"/>
      <c r="G59" s="10"/>
      <c r="H59" s="10"/>
      <c r="I59" s="10"/>
      <c r="J59" s="10"/>
      <c r="K59" s="10"/>
      <c r="L59" s="10"/>
      <c r="M59" s="10"/>
      <c r="N59" s="10"/>
      <c r="O59" s="10"/>
      <c r="P59" s="10"/>
      <c r="Q59" s="11"/>
    </row>
    <row r="60" spans="1:17" x14ac:dyDescent="0.2">
      <c r="A60" s="8" t="s">
        <v>2143</v>
      </c>
      <c r="B60" s="12" t="s">
        <v>2144</v>
      </c>
      <c r="C60" s="10"/>
      <c r="D60" s="10"/>
      <c r="E60" s="10"/>
      <c r="F60" s="10"/>
      <c r="G60" s="10"/>
      <c r="H60" s="10"/>
      <c r="I60" s="10"/>
      <c r="J60" s="10"/>
      <c r="K60" s="10"/>
      <c r="L60" s="10"/>
      <c r="M60" s="10"/>
      <c r="N60" s="10"/>
      <c r="O60" s="10"/>
      <c r="P60" s="10"/>
      <c r="Q60" s="11"/>
    </row>
    <row r="61" spans="1:17" x14ac:dyDescent="0.2">
      <c r="A61" s="8"/>
      <c r="B61" s="12"/>
      <c r="C61" s="10"/>
      <c r="D61" s="10"/>
      <c r="E61" s="10"/>
      <c r="F61" s="10"/>
      <c r="G61" s="10"/>
      <c r="H61" s="10"/>
      <c r="I61" s="10"/>
      <c r="J61" s="10"/>
      <c r="K61" s="10"/>
      <c r="L61" s="10"/>
      <c r="M61" s="10"/>
      <c r="N61" s="10"/>
      <c r="O61" s="10"/>
      <c r="P61" s="10"/>
      <c r="Q61" s="11"/>
    </row>
    <row r="62" spans="1:17" x14ac:dyDescent="0.2">
      <c r="A62" s="13"/>
      <c r="B62" s="89" t="s">
        <v>2145</v>
      </c>
      <c r="C62" s="10"/>
      <c r="D62" s="10"/>
      <c r="E62" s="10"/>
      <c r="F62" s="10"/>
      <c r="G62" s="10"/>
      <c r="H62" s="10"/>
      <c r="I62" s="10"/>
      <c r="J62" s="10"/>
      <c r="K62" s="10"/>
      <c r="L62" s="10"/>
      <c r="M62" s="10"/>
      <c r="N62" s="10"/>
      <c r="O62" s="10"/>
      <c r="P62" s="10"/>
      <c r="Q62" s="11"/>
    </row>
    <row r="63" spans="1:17" x14ac:dyDescent="0.2">
      <c r="A63" s="13"/>
      <c r="B63" s="12"/>
      <c r="C63" s="10"/>
      <c r="D63" s="10"/>
      <c r="E63" s="10"/>
      <c r="F63" s="10"/>
      <c r="G63" s="10"/>
      <c r="H63" s="10"/>
      <c r="I63" s="10"/>
      <c r="J63" s="10"/>
      <c r="K63" s="10"/>
      <c r="L63" s="10"/>
      <c r="M63" s="10"/>
      <c r="N63" s="10"/>
      <c r="O63" s="10"/>
      <c r="P63" s="10"/>
      <c r="Q63" s="11"/>
    </row>
    <row r="64" spans="1:17" x14ac:dyDescent="0.2">
      <c r="A64" s="8" t="s">
        <v>2498</v>
      </c>
      <c r="B64" s="12" t="s">
        <v>2499</v>
      </c>
      <c r="C64" s="10"/>
      <c r="D64" s="10"/>
      <c r="E64" s="10"/>
      <c r="F64" s="10"/>
      <c r="G64" s="10"/>
      <c r="H64" s="10"/>
      <c r="I64" s="10"/>
      <c r="J64" s="10"/>
      <c r="K64" s="10"/>
      <c r="L64" s="10"/>
      <c r="M64" s="10"/>
      <c r="N64" s="10"/>
      <c r="O64" s="10"/>
      <c r="P64" s="10"/>
      <c r="Q64" s="11"/>
    </row>
    <row r="65" spans="1:17" x14ac:dyDescent="0.2">
      <c r="A65" s="8"/>
      <c r="B65" s="12" t="s">
        <v>2500</v>
      </c>
      <c r="C65" s="10"/>
      <c r="D65" s="10"/>
      <c r="E65" s="10"/>
      <c r="F65" s="10"/>
      <c r="G65" s="10"/>
      <c r="H65" s="10"/>
      <c r="I65" s="10"/>
      <c r="J65" s="10"/>
      <c r="K65" s="10"/>
      <c r="L65" s="10"/>
      <c r="M65" s="10"/>
      <c r="N65" s="10"/>
      <c r="O65" s="10"/>
      <c r="P65" s="10"/>
      <c r="Q65" s="11"/>
    </row>
    <row r="66" spans="1:17" x14ac:dyDescent="0.2">
      <c r="A66" s="13"/>
      <c r="B66" s="12" t="s">
        <v>2502</v>
      </c>
      <c r="C66" s="10"/>
      <c r="D66" s="10"/>
      <c r="E66" s="10"/>
      <c r="F66" s="10"/>
      <c r="G66" s="10"/>
      <c r="H66" s="10"/>
      <c r="I66" s="10"/>
      <c r="J66" s="10"/>
      <c r="K66" s="10"/>
      <c r="L66" s="10"/>
      <c r="M66" s="10"/>
      <c r="N66" s="10"/>
      <c r="O66" s="10"/>
      <c r="P66" s="10"/>
      <c r="Q66" s="11"/>
    </row>
    <row r="67" spans="1:17" x14ac:dyDescent="0.2">
      <c r="A67" s="13"/>
      <c r="B67" s="12" t="s">
        <v>2501</v>
      </c>
      <c r="C67" s="10"/>
      <c r="D67" s="10"/>
      <c r="E67" s="10"/>
      <c r="F67" s="10"/>
      <c r="G67" s="10"/>
      <c r="H67" s="10"/>
      <c r="I67" s="10"/>
      <c r="J67" s="10"/>
      <c r="K67" s="10"/>
      <c r="L67" s="10"/>
      <c r="M67" s="10"/>
      <c r="N67" s="10"/>
      <c r="O67" s="10"/>
      <c r="P67" s="10"/>
      <c r="Q67" s="11"/>
    </row>
    <row r="68" spans="1:17" x14ac:dyDescent="0.2">
      <c r="A68" s="13"/>
      <c r="B68" s="12"/>
      <c r="C68" s="10"/>
      <c r="D68" s="10"/>
      <c r="E68" s="10"/>
      <c r="F68" s="10"/>
      <c r="G68" s="10"/>
      <c r="H68" s="10"/>
      <c r="I68" s="10"/>
      <c r="J68" s="10"/>
      <c r="K68" s="10"/>
      <c r="L68" s="10"/>
      <c r="M68" s="10"/>
      <c r="N68" s="10"/>
      <c r="O68" s="10"/>
      <c r="P68" s="10"/>
      <c r="Q68" s="11"/>
    </row>
    <row r="69" spans="1:17" x14ac:dyDescent="0.2">
      <c r="A69" s="8" t="s">
        <v>2611</v>
      </c>
      <c r="B69" s="12" t="s">
        <v>2613</v>
      </c>
      <c r="C69" s="10"/>
      <c r="D69" s="10"/>
      <c r="E69" s="10"/>
      <c r="F69" s="10"/>
      <c r="G69" s="10"/>
      <c r="H69" s="10"/>
      <c r="I69" s="10"/>
      <c r="J69" s="10"/>
      <c r="K69" s="10"/>
      <c r="L69" s="10"/>
      <c r="M69" s="10"/>
      <c r="N69" s="10"/>
      <c r="O69" s="10"/>
      <c r="P69" s="10"/>
      <c r="Q69" s="11"/>
    </row>
    <row r="70" spans="1:17" x14ac:dyDescent="0.2">
      <c r="A70" s="8"/>
      <c r="B70" s="12" t="s">
        <v>2614</v>
      </c>
      <c r="C70" s="10"/>
      <c r="D70" s="10"/>
      <c r="E70" s="10"/>
      <c r="F70" s="10"/>
      <c r="G70" s="10"/>
      <c r="H70" s="10"/>
      <c r="I70" s="10"/>
      <c r="J70" s="10"/>
      <c r="K70" s="10"/>
      <c r="L70" s="10"/>
      <c r="M70" s="10"/>
      <c r="N70" s="10"/>
      <c r="O70" s="10"/>
      <c r="P70" s="10"/>
      <c r="Q70" s="11"/>
    </row>
    <row r="71" spans="1:17" ht="12.75" customHeight="1" x14ac:dyDescent="0.2">
      <c r="A71" s="13"/>
      <c r="B71" s="89"/>
      <c r="C71" s="10"/>
      <c r="D71" s="10"/>
      <c r="E71" s="10"/>
      <c r="F71" s="10"/>
      <c r="G71" s="10"/>
      <c r="H71" s="10"/>
      <c r="I71" s="10"/>
      <c r="J71" s="10"/>
      <c r="K71" s="10"/>
      <c r="L71" s="10"/>
      <c r="M71" s="10"/>
      <c r="N71" s="10"/>
      <c r="O71" s="10"/>
      <c r="P71" s="10"/>
      <c r="Q71" s="11"/>
    </row>
    <row r="72" spans="1:17" x14ac:dyDescent="0.2">
      <c r="A72" s="13"/>
      <c r="B72" s="566" t="s">
        <v>2616</v>
      </c>
      <c r="C72" s="10"/>
      <c r="D72" s="10"/>
      <c r="E72" s="10"/>
      <c r="F72" s="10"/>
      <c r="G72" s="10"/>
      <c r="H72" s="10"/>
      <c r="I72" s="10"/>
      <c r="J72" s="10"/>
      <c r="K72" s="10"/>
      <c r="L72" s="10"/>
      <c r="M72" s="10"/>
      <c r="N72" s="10"/>
      <c r="O72" s="10"/>
      <c r="P72" s="10"/>
      <c r="Q72" s="11"/>
    </row>
    <row r="73" spans="1:17" x14ac:dyDescent="0.2">
      <c r="A73" s="13"/>
      <c r="B73" s="566" t="s">
        <v>2622</v>
      </c>
      <c r="C73" s="10"/>
      <c r="D73" s="10"/>
      <c r="E73" s="10"/>
      <c r="F73" s="10"/>
      <c r="G73" s="10"/>
      <c r="H73" s="10"/>
      <c r="I73" s="10"/>
      <c r="J73" s="10"/>
      <c r="K73" s="10"/>
      <c r="L73" s="10"/>
      <c r="M73" s="10"/>
      <c r="N73" s="10"/>
      <c r="O73" s="10"/>
      <c r="P73" s="10"/>
      <c r="Q73" s="11"/>
    </row>
    <row r="74" spans="1:17" x14ac:dyDescent="0.2">
      <c r="A74" s="13"/>
      <c r="B74" s="566" t="s">
        <v>2623</v>
      </c>
      <c r="C74" s="10"/>
      <c r="D74" s="10"/>
      <c r="E74" s="10"/>
      <c r="F74" s="10"/>
      <c r="G74" s="10"/>
      <c r="H74" s="10"/>
      <c r="I74" s="10"/>
      <c r="J74" s="10"/>
      <c r="K74" s="10"/>
      <c r="L74" s="10"/>
      <c r="M74" s="10"/>
      <c r="N74" s="10"/>
      <c r="O74" s="10"/>
      <c r="P74" s="10"/>
      <c r="Q74" s="11"/>
    </row>
    <row r="75" spans="1:17" x14ac:dyDescent="0.2">
      <c r="A75" s="13"/>
      <c r="B75" s="566" t="s">
        <v>2617</v>
      </c>
      <c r="C75" s="10"/>
      <c r="D75" s="10"/>
      <c r="E75" s="10"/>
      <c r="F75" s="10"/>
      <c r="G75" s="10"/>
      <c r="H75" s="10"/>
      <c r="I75" s="10"/>
      <c r="J75" s="10"/>
      <c r="K75" s="10"/>
      <c r="L75" s="10"/>
      <c r="M75" s="10"/>
      <c r="N75" s="10"/>
      <c r="O75" s="10"/>
      <c r="P75" s="10"/>
      <c r="Q75" s="11"/>
    </row>
    <row r="76" spans="1:17" x14ac:dyDescent="0.2">
      <c r="A76" s="13"/>
      <c r="B76" s="12"/>
      <c r="C76" s="10"/>
      <c r="D76" s="10"/>
      <c r="E76" s="10"/>
      <c r="F76" s="10"/>
      <c r="G76" s="10"/>
      <c r="H76" s="10"/>
      <c r="I76" s="10"/>
      <c r="J76" s="10"/>
      <c r="K76" s="10"/>
      <c r="L76" s="10"/>
      <c r="M76" s="10"/>
      <c r="N76" s="10"/>
      <c r="O76" s="10"/>
      <c r="P76" s="10"/>
      <c r="Q76" s="11"/>
    </row>
    <row r="77" spans="1:17" x14ac:dyDescent="0.2">
      <c r="A77" s="8" t="s">
        <v>2939</v>
      </c>
      <c r="B77" s="12" t="s">
        <v>2940</v>
      </c>
      <c r="C77" s="10"/>
      <c r="D77" s="10"/>
      <c r="E77" s="10"/>
      <c r="F77" s="10"/>
      <c r="G77" s="10"/>
      <c r="H77" s="10"/>
      <c r="I77" s="10"/>
      <c r="J77" s="10"/>
      <c r="K77" s="10"/>
      <c r="L77" s="10"/>
      <c r="M77" s="10"/>
      <c r="N77" s="10"/>
      <c r="O77" s="10"/>
      <c r="P77" s="10"/>
      <c r="Q77" s="11"/>
    </row>
    <row r="78" spans="1:17" x14ac:dyDescent="0.2">
      <c r="A78" s="8"/>
      <c r="B78" s="12" t="s">
        <v>2941</v>
      </c>
      <c r="C78" s="10"/>
      <c r="D78" s="10"/>
      <c r="E78" s="10"/>
      <c r="F78" s="10"/>
      <c r="G78" s="10"/>
      <c r="H78" s="10"/>
      <c r="I78" s="10"/>
      <c r="J78" s="10"/>
      <c r="K78" s="10"/>
      <c r="L78" s="10"/>
      <c r="M78" s="10"/>
      <c r="N78" s="10"/>
      <c r="O78" s="10"/>
      <c r="P78" s="10"/>
      <c r="Q78" s="11"/>
    </row>
    <row r="79" spans="1:17" ht="12.75" customHeight="1" x14ac:dyDescent="0.2">
      <c r="A79" s="22"/>
      <c r="B79" s="23"/>
      <c r="C79" s="23"/>
      <c r="D79" s="23"/>
      <c r="E79" s="23"/>
      <c r="F79" s="23"/>
      <c r="G79" s="23"/>
      <c r="H79" s="23"/>
      <c r="I79" s="23"/>
      <c r="J79" s="23"/>
      <c r="K79" s="23"/>
      <c r="L79" s="23"/>
      <c r="M79" s="23"/>
      <c r="N79" s="23"/>
      <c r="O79" s="23"/>
      <c r="P79" s="23"/>
      <c r="Q79" s="24"/>
    </row>
    <row r="80" spans="1:17" ht="12.75" customHeight="1" x14ac:dyDescent="0.2">
      <c r="A80" s="25"/>
      <c r="B80" s="26"/>
    </row>
    <row r="81" spans="1:7" ht="12.75" customHeight="1" x14ac:dyDescent="0.2">
      <c r="A81" s="27" t="s">
        <v>1109</v>
      </c>
      <c r="B81" s="358" t="s">
        <v>859</v>
      </c>
      <c r="C81" s="852" t="s">
        <v>1151</v>
      </c>
      <c r="D81" s="852"/>
      <c r="E81" s="852"/>
      <c r="F81" s="852"/>
      <c r="G81" s="853"/>
    </row>
    <row r="82" spans="1:7" ht="12.75" customHeight="1" x14ac:dyDescent="0.2">
      <c r="A82" s="377" t="s">
        <v>170</v>
      </c>
      <c r="B82" s="499" t="str">
        <f>Localization!B403</f>
        <v>Arizona Igloo Retirement Modeling</v>
      </c>
      <c r="C82" s="857" t="s">
        <v>1112</v>
      </c>
      <c r="D82" s="857"/>
      <c r="E82" s="857"/>
      <c r="F82" s="857"/>
      <c r="G82" s="857"/>
    </row>
    <row r="83" spans="1:7" ht="12.75" customHeight="1" x14ac:dyDescent="0.2">
      <c r="A83" s="355" t="s">
        <v>164</v>
      </c>
      <c r="B83" s="502" t="s">
        <v>2324</v>
      </c>
      <c r="C83" s="856" t="s">
        <v>1113</v>
      </c>
      <c r="D83" s="856"/>
      <c r="E83" s="856"/>
      <c r="F83" s="856"/>
      <c r="G83" s="856"/>
    </row>
    <row r="84" spans="1:7" ht="12.75" customHeight="1" x14ac:dyDescent="0.2">
      <c r="A84" s="355" t="s">
        <v>165</v>
      </c>
      <c r="B84" s="502" t="s">
        <v>1502</v>
      </c>
      <c r="C84" s="856" t="s">
        <v>1110</v>
      </c>
      <c r="D84" s="856"/>
      <c r="E84" s="856"/>
      <c r="F84" s="856"/>
      <c r="G84" s="856"/>
    </row>
    <row r="85" spans="1:7" ht="12.75" customHeight="1" x14ac:dyDescent="0.2">
      <c r="A85" s="377" t="s">
        <v>166</v>
      </c>
      <c r="B85" s="499" t="s">
        <v>1502</v>
      </c>
      <c r="C85" s="856" t="s">
        <v>1111</v>
      </c>
      <c r="D85" s="856"/>
      <c r="E85" s="856"/>
      <c r="F85" s="856"/>
      <c r="G85" s="856"/>
    </row>
    <row r="86" spans="1:7" x14ac:dyDescent="0.2">
      <c r="A86" s="377" t="s">
        <v>167</v>
      </c>
      <c r="B86" s="499" t="s">
        <v>171</v>
      </c>
      <c r="C86" s="856" t="s">
        <v>2054</v>
      </c>
      <c r="D86" s="856"/>
      <c r="E86" s="856"/>
      <c r="F86" s="856"/>
      <c r="G86" s="856"/>
    </row>
    <row r="87" spans="1:7" x14ac:dyDescent="0.2">
      <c r="A87" s="377" t="s">
        <v>259</v>
      </c>
      <c r="B87" s="499" t="s">
        <v>1282</v>
      </c>
      <c r="C87" s="856" t="s">
        <v>1114</v>
      </c>
      <c r="D87" s="856"/>
      <c r="E87" s="856"/>
      <c r="F87" s="856"/>
      <c r="G87" s="856"/>
    </row>
    <row r="88" spans="1:7" x14ac:dyDescent="0.2">
      <c r="A88" s="377" t="s">
        <v>169</v>
      </c>
      <c r="B88" s="499" t="s">
        <v>1696</v>
      </c>
      <c r="C88" s="856" t="s">
        <v>1115</v>
      </c>
      <c r="D88" s="856"/>
      <c r="E88" s="856"/>
      <c r="F88" s="856"/>
      <c r="G88" s="856"/>
    </row>
    <row r="89" spans="1:7" x14ac:dyDescent="0.2">
      <c r="A89" s="377" t="s">
        <v>168</v>
      </c>
      <c r="B89" s="499" t="b">
        <f>B83="Administration"</f>
        <v>0</v>
      </c>
      <c r="C89" s="856" t="s">
        <v>1116</v>
      </c>
      <c r="D89" s="856"/>
      <c r="E89" s="856"/>
      <c r="F89" s="856"/>
      <c r="G89" s="856"/>
    </row>
    <row r="90" spans="1:7" x14ac:dyDescent="0.2">
      <c r="A90" s="31" t="s">
        <v>1375</v>
      </c>
      <c r="B90" t="str">
        <f>[2]!GetProfileString("name-last")&amp;", "&amp;[2]!GetProfileString("name-first")</f>
        <v>Sample, John</v>
      </c>
      <c r="C90" t="s">
        <v>2271</v>
      </c>
    </row>
    <row r="91" spans="1:7" x14ac:dyDescent="0.2">
      <c r="A91" s="31" t="s">
        <v>2241</v>
      </c>
      <c r="B91" t="str">
        <f>[2]!GetProfileString("name-first")&amp;" "&amp;[2]!GetProfileString("name-last")</f>
        <v>John Sample</v>
      </c>
      <c r="C91" t="s">
        <v>2284</v>
      </c>
    </row>
    <row r="92" spans="1:7" x14ac:dyDescent="0.2">
      <c r="A92" s="31" t="s">
        <v>248</v>
      </c>
      <c r="B92" t="s">
        <v>249</v>
      </c>
      <c r="C92" t="s">
        <v>2272</v>
      </c>
    </row>
    <row r="93" spans="1:7" x14ac:dyDescent="0.2">
      <c r="A93" s="31" t="s">
        <v>251</v>
      </c>
      <c r="B93" t="s">
        <v>249</v>
      </c>
      <c r="C93" t="s">
        <v>2273</v>
      </c>
    </row>
    <row r="94" spans="1:7" x14ac:dyDescent="0.2">
      <c r="A94" s="31" t="s">
        <v>2321</v>
      </c>
      <c r="B94" t="s">
        <v>249</v>
      </c>
      <c r="C94" s="29" t="s">
        <v>2322</v>
      </c>
    </row>
    <row r="95" spans="1:7" x14ac:dyDescent="0.2">
      <c r="A95" s="31" t="s">
        <v>250</v>
      </c>
      <c r="B95" t="s">
        <v>249</v>
      </c>
      <c r="C95" t="s">
        <v>2274</v>
      </c>
    </row>
    <row r="96" spans="1:7" x14ac:dyDescent="0.2">
      <c r="A96" s="31" t="s">
        <v>2319</v>
      </c>
      <c r="B96" t="s">
        <v>249</v>
      </c>
      <c r="C96" s="29" t="s">
        <v>2320</v>
      </c>
    </row>
    <row r="97" spans="1:10" x14ac:dyDescent="0.2">
      <c r="A97" s="31" t="s">
        <v>2316</v>
      </c>
      <c r="B97" t="b">
        <v>0</v>
      </c>
      <c r="C97" s="29" t="s">
        <v>2318</v>
      </c>
    </row>
    <row r="98" spans="1:10" x14ac:dyDescent="0.2">
      <c r="A98" s="31"/>
    </row>
    <row r="99" spans="1:10" x14ac:dyDescent="0.2">
      <c r="A99" s="33" t="s">
        <v>1942</v>
      </c>
      <c r="B99" s="504"/>
      <c r="C99" s="504"/>
      <c r="D99" s="504"/>
      <c r="E99" s="504"/>
      <c r="F99" s="504"/>
      <c r="G99" s="384"/>
    </row>
    <row r="100" spans="1:10" x14ac:dyDescent="0.2">
      <c r="A100" s="35" t="s">
        <v>930</v>
      </c>
      <c r="B100" s="36" t="s">
        <v>337</v>
      </c>
      <c r="C100" s="36" t="s">
        <v>634</v>
      </c>
      <c r="D100" s="36" t="s">
        <v>1943</v>
      </c>
      <c r="E100" s="36"/>
      <c r="F100" s="503"/>
      <c r="G100" s="506"/>
    </row>
    <row r="103" spans="1:10" x14ac:dyDescent="0.2">
      <c r="A103" s="33" t="s">
        <v>2453</v>
      </c>
      <c r="B103" s="504"/>
      <c r="C103" s="504"/>
      <c r="D103" s="504"/>
      <c r="E103" s="504"/>
      <c r="F103" s="504"/>
      <c r="G103" s="384"/>
    </row>
    <row r="104" spans="1:10" x14ac:dyDescent="0.2">
      <c r="A104" s="35" t="s">
        <v>930</v>
      </c>
      <c r="B104" s="36" t="s">
        <v>2485</v>
      </c>
      <c r="C104" s="36" t="s">
        <v>2454</v>
      </c>
      <c r="D104" s="36" t="s">
        <v>2469</v>
      </c>
      <c r="E104" s="36" t="s">
        <v>2455</v>
      </c>
      <c r="F104" s="36" t="s">
        <v>2456</v>
      </c>
      <c r="G104" s="506" t="s">
        <v>2457</v>
      </c>
    </row>
    <row r="105" spans="1:10" x14ac:dyDescent="0.2">
      <c r="A105" s="31" t="s">
        <v>1683</v>
      </c>
      <c r="B105" t="b">
        <v>0</v>
      </c>
      <c r="E105" s="29" t="s">
        <v>2461</v>
      </c>
      <c r="F105" s="29" t="s">
        <v>2462</v>
      </c>
      <c r="G105" s="29" t="s">
        <v>2463</v>
      </c>
    </row>
    <row r="108" spans="1:10" x14ac:dyDescent="0.2">
      <c r="A108" s="33" t="s">
        <v>2149</v>
      </c>
      <c r="B108" s="504"/>
      <c r="C108" s="504"/>
      <c r="D108" s="504"/>
      <c r="E108" s="504"/>
      <c r="F108" s="504"/>
      <c r="G108" s="504"/>
      <c r="H108" s="504"/>
      <c r="I108" s="504"/>
      <c r="J108" s="384"/>
    </row>
    <row r="109" spans="1:10" ht="25.5" x14ac:dyDescent="0.2">
      <c r="A109" s="563" t="s">
        <v>2244</v>
      </c>
      <c r="B109" s="564" t="s">
        <v>337</v>
      </c>
      <c r="C109" s="564" t="s">
        <v>2245</v>
      </c>
      <c r="D109" s="564" t="s">
        <v>2246</v>
      </c>
      <c r="E109" s="564" t="s">
        <v>638</v>
      </c>
      <c r="F109" s="564" t="s">
        <v>448</v>
      </c>
      <c r="G109" s="564" t="s">
        <v>1940</v>
      </c>
      <c r="H109" s="564" t="s">
        <v>1941</v>
      </c>
      <c r="I109" s="564" t="s">
        <v>2146</v>
      </c>
      <c r="J109" s="565" t="s">
        <v>2247</v>
      </c>
    </row>
    <row r="110" spans="1:10" x14ac:dyDescent="0.2">
      <c r="A110" s="31" t="s">
        <v>2324</v>
      </c>
      <c r="B110" t="str">
        <f>[2]!GetProfileString("name-first")&amp;" " &amp;[2]!GetProfileString("name-last")</f>
        <v>John Sample</v>
      </c>
      <c r="C110" t="b">
        <f>[2]!GetProfileString("status","Status",,"Last")="AC"</f>
        <v>1</v>
      </c>
      <c r="D110" s="44">
        <f ca="1">TODAY()</f>
        <v>42583</v>
      </c>
      <c r="E110" t="str">
        <f>[2]!PadLeft([2]!ToString([2]!GetProfileNumber("ssn")),9,"0")</f>
        <v>123456789</v>
      </c>
      <c r="F110" t="str">
        <f>RIGHT([2]!PadLeft([2]!ToString([2]!GetProfileNumber("ssn")),4,"0"),4)&amp;YEAR([2]!GetProfileDate("date-birth"))</f>
        <v>67891973</v>
      </c>
      <c r="I110" t="b">
        <v>0</v>
      </c>
    </row>
    <row r="111" spans="1:10" x14ac:dyDescent="0.2">
      <c r="A111" s="31"/>
      <c r="D111" s="44"/>
    </row>
    <row r="112" spans="1:10" x14ac:dyDescent="0.2">
      <c r="A112" s="355"/>
      <c r="B112" s="495"/>
      <c r="C112" s="858"/>
      <c r="D112" s="858"/>
      <c r="E112" s="858"/>
      <c r="F112" s="858"/>
      <c r="G112" s="858"/>
    </row>
    <row r="113" spans="1:7" x14ac:dyDescent="0.2">
      <c r="A113" s="33" t="s">
        <v>2162</v>
      </c>
      <c r="B113" s="504"/>
      <c r="C113" s="504"/>
      <c r="D113" s="504"/>
      <c r="E113" s="504"/>
      <c r="F113" s="504"/>
      <c r="G113" s="384"/>
    </row>
    <row r="114" spans="1:7" x14ac:dyDescent="0.2">
      <c r="A114" s="35" t="s">
        <v>337</v>
      </c>
      <c r="B114" s="36" t="s">
        <v>2070</v>
      </c>
      <c r="C114" s="36"/>
      <c r="D114" s="36"/>
      <c r="E114" s="36"/>
      <c r="F114" s="503"/>
      <c r="G114" s="506"/>
    </row>
    <row r="115" spans="1:7" x14ac:dyDescent="0.2">
      <c r="A115" s="31" t="str">
        <f>Localization!B402</f>
        <v>Actives</v>
      </c>
      <c r="B115" t="b">
        <f>[2]!GetProfileString("status","Status",,"Last")="AC"</f>
        <v>1</v>
      </c>
    </row>
    <row r="116" spans="1:7" x14ac:dyDescent="0.2">
      <c r="A116" s="31"/>
    </row>
    <row r="118" spans="1:7" x14ac:dyDescent="0.2">
      <c r="A118" s="33" t="s">
        <v>2286</v>
      </c>
      <c r="B118" s="568"/>
      <c r="C118" s="504"/>
      <c r="D118" s="568"/>
      <c r="E118" s="568"/>
      <c r="F118" s="568"/>
      <c r="G118" s="569"/>
    </row>
    <row r="119" spans="1:7" x14ac:dyDescent="0.2">
      <c r="A119" s="35" t="s">
        <v>542</v>
      </c>
      <c r="B119" s="37" t="s">
        <v>2291</v>
      </c>
      <c r="C119" s="37" t="s">
        <v>1697</v>
      </c>
      <c r="D119" s="503"/>
      <c r="E119" s="503"/>
      <c r="F119" s="503"/>
      <c r="G119" s="506"/>
    </row>
    <row r="120" spans="1:7" ht="12.75" customHeight="1" x14ac:dyDescent="0.2">
      <c r="A120" s="355"/>
      <c r="B120" s="567"/>
      <c r="C120" s="502"/>
      <c r="D120" s="357"/>
      <c r="E120" s="357"/>
      <c r="F120" s="357"/>
      <c r="G120" s="357"/>
    </row>
    <row r="121" spans="1:7" ht="12.75" customHeight="1" x14ac:dyDescent="0.2">
      <c r="A121" s="496"/>
      <c r="B121" s="567"/>
      <c r="C121" s="497"/>
      <c r="D121" s="356"/>
      <c r="E121" s="356"/>
      <c r="F121" s="356"/>
      <c r="G121" s="356"/>
    </row>
    <row r="122" spans="1:7" ht="12.75" customHeight="1" x14ac:dyDescent="0.2">
      <c r="A122" s="33" t="s">
        <v>1108</v>
      </c>
      <c r="B122" s="504"/>
      <c r="C122" s="504"/>
      <c r="D122" s="504"/>
      <c r="E122" s="504"/>
      <c r="F122" s="504"/>
      <c r="G122" s="384"/>
    </row>
    <row r="123" spans="1:7" ht="12.75" customHeight="1" x14ac:dyDescent="0.2">
      <c r="A123" s="35" t="s">
        <v>2105</v>
      </c>
      <c r="B123" s="37" t="s">
        <v>859</v>
      </c>
      <c r="C123" s="854" t="s">
        <v>1151</v>
      </c>
      <c r="D123" s="854"/>
      <c r="E123" s="854"/>
      <c r="F123" s="854"/>
      <c r="G123" s="855"/>
    </row>
    <row r="124" spans="1:7" ht="12.75" customHeight="1" x14ac:dyDescent="0.2">
      <c r="A124" s="355" t="s">
        <v>172</v>
      </c>
      <c r="B124" s="495" t="b">
        <v>1</v>
      </c>
      <c r="C124" s="857" t="s">
        <v>1307</v>
      </c>
      <c r="D124" s="857"/>
      <c r="E124" s="857"/>
      <c r="F124" s="857"/>
      <c r="G124" s="857"/>
    </row>
    <row r="125" spans="1:7" ht="12.75" customHeight="1" x14ac:dyDescent="0.2">
      <c r="A125" s="496" t="s">
        <v>2026</v>
      </c>
      <c r="B125" s="497" t="b">
        <v>1</v>
      </c>
      <c r="C125" s="856" t="s">
        <v>1930</v>
      </c>
      <c r="D125" s="856"/>
      <c r="E125" s="856"/>
      <c r="F125" s="856"/>
      <c r="G125" s="856"/>
    </row>
    <row r="126" spans="1:7" ht="12.75" customHeight="1" x14ac:dyDescent="0.2">
      <c r="A126" s="496" t="s">
        <v>173</v>
      </c>
      <c r="B126" s="497" t="b">
        <v>0</v>
      </c>
      <c r="C126" s="856" t="s">
        <v>1929</v>
      </c>
      <c r="D126" s="856"/>
      <c r="E126" s="856"/>
      <c r="F126" s="856"/>
      <c r="G126" s="856"/>
    </row>
    <row r="127" spans="1:7" ht="12.75" customHeight="1" x14ac:dyDescent="0.2">
      <c r="A127" s="355" t="s">
        <v>2025</v>
      </c>
      <c r="B127" s="355" t="b">
        <v>1</v>
      </c>
      <c r="C127" s="856" t="s">
        <v>1308</v>
      </c>
      <c r="D127" s="856"/>
      <c r="E127" s="856"/>
      <c r="F127" s="856"/>
      <c r="G127" s="856"/>
    </row>
    <row r="128" spans="1:7" ht="12.75" customHeight="1" x14ac:dyDescent="0.2">
      <c r="A128" s="355" t="s">
        <v>2028</v>
      </c>
      <c r="B128" s="355" t="b">
        <v>0</v>
      </c>
      <c r="C128" s="856" t="s">
        <v>2029</v>
      </c>
      <c r="D128" s="856"/>
      <c r="E128" s="856"/>
      <c r="F128" s="856"/>
      <c r="G128" s="856"/>
    </row>
    <row r="129" spans="1:7" ht="12.75" customHeight="1" x14ac:dyDescent="0.2">
      <c r="A129" s="355" t="s">
        <v>2030</v>
      </c>
      <c r="B129" s="355" t="b">
        <v>0</v>
      </c>
      <c r="C129" s="856" t="s">
        <v>2031</v>
      </c>
      <c r="D129" s="856"/>
      <c r="E129" s="856"/>
      <c r="F129" s="856"/>
      <c r="G129" s="856"/>
    </row>
    <row r="130" spans="1:7" ht="12.75" customHeight="1" x14ac:dyDescent="0.2">
      <c r="A130" s="498" t="s">
        <v>2027</v>
      </c>
      <c r="B130" s="499" t="b">
        <v>1</v>
      </c>
      <c r="C130" s="856" t="s">
        <v>2024</v>
      </c>
      <c r="D130" s="856"/>
      <c r="E130" s="856"/>
      <c r="F130" s="856"/>
      <c r="G130" s="856"/>
    </row>
    <row r="131" spans="1:7" ht="12.75" customHeight="1" x14ac:dyDescent="0.2">
      <c r="A131" s="498" t="s">
        <v>177</v>
      </c>
      <c r="B131" s="355">
        <v>30</v>
      </c>
      <c r="C131" s="856" t="s">
        <v>1024</v>
      </c>
      <c r="D131" s="856"/>
      <c r="E131" s="856"/>
      <c r="F131" s="856"/>
      <c r="G131" s="856"/>
    </row>
    <row r="132" spans="1:7" ht="12.75" customHeight="1" x14ac:dyDescent="0.2">
      <c r="A132" s="498" t="s">
        <v>1302</v>
      </c>
      <c r="B132" s="500">
        <v>10</v>
      </c>
      <c r="C132" s="856" t="s">
        <v>1303</v>
      </c>
      <c r="D132" s="856"/>
      <c r="E132" s="856"/>
      <c r="F132" s="856"/>
      <c r="G132" s="856"/>
    </row>
    <row r="133" spans="1:7" ht="12.75" customHeight="1" x14ac:dyDescent="0.2">
      <c r="A133" s="498" t="s">
        <v>1300</v>
      </c>
      <c r="B133" s="355">
        <v>10</v>
      </c>
      <c r="C133" s="856" t="s">
        <v>1301</v>
      </c>
      <c r="D133" s="856"/>
      <c r="E133" s="856"/>
      <c r="F133" s="856"/>
      <c r="G133" s="856"/>
    </row>
    <row r="134" spans="1:7" ht="12.75" customHeight="1" x14ac:dyDescent="0.2">
      <c r="A134" s="498" t="s">
        <v>174</v>
      </c>
      <c r="B134" s="501">
        <v>72</v>
      </c>
      <c r="C134" s="856" t="s">
        <v>1304</v>
      </c>
      <c r="D134" s="856"/>
      <c r="E134" s="856"/>
      <c r="F134" s="856"/>
      <c r="G134" s="856"/>
    </row>
    <row r="135" spans="1:7" ht="12.75" customHeight="1" x14ac:dyDescent="0.2">
      <c r="A135" s="498" t="s">
        <v>1305</v>
      </c>
      <c r="B135" s="499" t="b">
        <v>0</v>
      </c>
      <c r="C135" s="856" t="s">
        <v>1306</v>
      </c>
      <c r="D135" s="856"/>
      <c r="E135" s="856"/>
      <c r="F135" s="856"/>
      <c r="G135" s="856"/>
    </row>
    <row r="136" spans="1:7" ht="12.75" customHeight="1" x14ac:dyDescent="0.2">
      <c r="A136" s="499" t="s">
        <v>2032</v>
      </c>
      <c r="B136" s="355">
        <v>7</v>
      </c>
      <c r="C136" s="856" t="s">
        <v>2038</v>
      </c>
      <c r="D136" s="856"/>
      <c r="E136" s="856"/>
      <c r="F136" s="856"/>
      <c r="G136" s="856"/>
    </row>
    <row r="137" spans="1:7" ht="12.75" customHeight="1" x14ac:dyDescent="0.2">
      <c r="A137" s="499" t="s">
        <v>2033</v>
      </c>
      <c r="B137" s="499">
        <v>30</v>
      </c>
      <c r="C137" s="856" t="s">
        <v>2039</v>
      </c>
      <c r="D137" s="856"/>
      <c r="E137" s="856"/>
      <c r="F137" s="856"/>
      <c r="G137" s="856"/>
    </row>
    <row r="138" spans="1:7" ht="12.75" customHeight="1" x14ac:dyDescent="0.2">
      <c r="A138" s="499" t="s">
        <v>2034</v>
      </c>
      <c r="B138" s="499">
        <v>0</v>
      </c>
      <c r="C138" s="856" t="s">
        <v>1104</v>
      </c>
      <c r="D138" s="856"/>
      <c r="E138" s="856"/>
      <c r="F138" s="856"/>
      <c r="G138" s="856"/>
    </row>
    <row r="139" spans="1:7" ht="12.75" customHeight="1" x14ac:dyDescent="0.2">
      <c r="A139" s="499" t="s">
        <v>2035</v>
      </c>
      <c r="B139" s="499">
        <v>0</v>
      </c>
      <c r="C139" s="856" t="s">
        <v>1105</v>
      </c>
      <c r="D139" s="856"/>
      <c r="E139" s="856"/>
      <c r="F139" s="856"/>
      <c r="G139" s="856"/>
    </row>
    <row r="140" spans="1:7" x14ac:dyDescent="0.2">
      <c r="A140" s="499" t="s">
        <v>2036</v>
      </c>
      <c r="B140" s="499">
        <v>0</v>
      </c>
      <c r="C140" s="856" t="s">
        <v>1106</v>
      </c>
      <c r="D140" s="856"/>
      <c r="E140" s="856"/>
      <c r="F140" s="856"/>
      <c r="G140" s="856"/>
    </row>
    <row r="141" spans="1:7" x14ac:dyDescent="0.2">
      <c r="A141" s="499" t="s">
        <v>2037</v>
      </c>
      <c r="B141" s="499">
        <v>0</v>
      </c>
      <c r="C141" s="856" t="s">
        <v>1107</v>
      </c>
      <c r="D141" s="856"/>
      <c r="E141" s="856"/>
      <c r="F141" s="856"/>
      <c r="G141" s="856"/>
    </row>
    <row r="142" spans="1:7" x14ac:dyDescent="0.2">
      <c r="A142" s="498" t="s">
        <v>175</v>
      </c>
      <c r="B142" s="499" t="s">
        <v>176</v>
      </c>
      <c r="C142" s="856" t="s">
        <v>1299</v>
      </c>
      <c r="D142" s="856"/>
      <c r="E142" s="856"/>
      <c r="F142" s="856"/>
      <c r="G142" s="856"/>
    </row>
    <row r="143" spans="1:7" x14ac:dyDescent="0.2">
      <c r="A143" s="498" t="s">
        <v>178</v>
      </c>
      <c r="B143" s="355" t="s">
        <v>180</v>
      </c>
      <c r="C143" s="856" t="s">
        <v>179</v>
      </c>
      <c r="D143" s="856"/>
      <c r="E143" s="856"/>
      <c r="F143" s="856"/>
      <c r="G143" s="856"/>
    </row>
    <row r="144" spans="1:7" x14ac:dyDescent="0.2">
      <c r="A144" s="29"/>
      <c r="B144" s="29"/>
    </row>
    <row r="145" spans="1:7" x14ac:dyDescent="0.2">
      <c r="A145" s="33" t="s">
        <v>2056</v>
      </c>
      <c r="B145" s="504"/>
      <c r="C145" s="504"/>
      <c r="D145" s="504"/>
      <c r="E145" s="504"/>
      <c r="F145" s="504"/>
      <c r="G145" s="384"/>
    </row>
    <row r="146" spans="1:7" x14ac:dyDescent="0.2">
      <c r="A146" s="35" t="s">
        <v>1681</v>
      </c>
      <c r="B146" s="36" t="s">
        <v>356</v>
      </c>
      <c r="C146" s="36" t="s">
        <v>2057</v>
      </c>
      <c r="D146" s="36" t="s">
        <v>2058</v>
      </c>
      <c r="E146" s="36" t="s">
        <v>2059</v>
      </c>
      <c r="F146" s="854" t="s">
        <v>868</v>
      </c>
      <c r="G146" s="855"/>
    </row>
    <row r="147" spans="1:7" x14ac:dyDescent="0.2">
      <c r="A147" t="s">
        <v>634</v>
      </c>
      <c r="B147" s="355" t="s">
        <v>432</v>
      </c>
      <c r="C147" t="s">
        <v>433</v>
      </c>
      <c r="D147" t="s">
        <v>2175</v>
      </c>
      <c r="E147" t="s">
        <v>435</v>
      </c>
      <c r="F147" t="s">
        <v>434</v>
      </c>
    </row>
    <row r="148" spans="1:7" x14ac:dyDescent="0.2">
      <c r="A148" t="s">
        <v>635</v>
      </c>
      <c r="B148" t="s">
        <v>1943</v>
      </c>
      <c r="C148" t="s">
        <v>431</v>
      </c>
      <c r="D148" t="s">
        <v>428</v>
      </c>
      <c r="E148" t="s">
        <v>430</v>
      </c>
      <c r="F148" t="s">
        <v>429</v>
      </c>
    </row>
    <row r="149" spans="1:7" x14ac:dyDescent="0.2">
      <c r="A149" t="s">
        <v>1640</v>
      </c>
      <c r="B149" t="s">
        <v>638</v>
      </c>
      <c r="C149" t="s">
        <v>449</v>
      </c>
      <c r="D149" t="s">
        <v>292</v>
      </c>
      <c r="E149" t="s">
        <v>640</v>
      </c>
      <c r="F149" t="s">
        <v>639</v>
      </c>
    </row>
    <row r="150" spans="1:7" x14ac:dyDescent="0.2">
      <c r="A150" t="s">
        <v>1641</v>
      </c>
      <c r="B150" t="s">
        <v>448</v>
      </c>
      <c r="C150" t="s">
        <v>449</v>
      </c>
      <c r="D150" t="s">
        <v>646</v>
      </c>
      <c r="E150" t="s">
        <v>637</v>
      </c>
      <c r="F150" t="s">
        <v>636</v>
      </c>
    </row>
    <row r="151" spans="1:7" x14ac:dyDescent="0.2">
      <c r="A151" t="s">
        <v>1939</v>
      </c>
      <c r="B151" t="s">
        <v>436</v>
      </c>
      <c r="D151" t="s">
        <v>439</v>
      </c>
      <c r="E151" t="s">
        <v>438</v>
      </c>
      <c r="F151" t="s">
        <v>437</v>
      </c>
    </row>
    <row r="152" spans="1:7" x14ac:dyDescent="0.2">
      <c r="A152" t="s">
        <v>1940</v>
      </c>
      <c r="B152" t="s">
        <v>1940</v>
      </c>
      <c r="C152" t="s">
        <v>449</v>
      </c>
      <c r="D152" t="s">
        <v>292</v>
      </c>
      <c r="E152" t="s">
        <v>642</v>
      </c>
      <c r="F152" t="s">
        <v>641</v>
      </c>
    </row>
    <row r="153" spans="1:7" x14ac:dyDescent="0.2">
      <c r="A153" t="s">
        <v>1941</v>
      </c>
      <c r="B153" t="s">
        <v>1941</v>
      </c>
      <c r="C153" t="s">
        <v>449</v>
      </c>
      <c r="D153" t="s">
        <v>645</v>
      </c>
      <c r="E153" t="s">
        <v>644</v>
      </c>
      <c r="F153" t="s">
        <v>643</v>
      </c>
    </row>
    <row r="155" spans="1:7" x14ac:dyDescent="0.2">
      <c r="A155" s="33" t="s">
        <v>2055</v>
      </c>
      <c r="B155" s="504"/>
      <c r="C155" s="504"/>
      <c r="D155" s="504"/>
      <c r="E155" s="504"/>
      <c r="F155" s="504"/>
      <c r="G155" s="384"/>
    </row>
    <row r="156" spans="1:7" x14ac:dyDescent="0.2">
      <c r="A156" s="35" t="s">
        <v>2106</v>
      </c>
      <c r="B156" s="854" t="s">
        <v>1697</v>
      </c>
      <c r="C156" s="854"/>
      <c r="D156" s="854"/>
      <c r="E156" s="854"/>
      <c r="F156" s="854"/>
      <c r="G156" s="855"/>
    </row>
    <row r="157" spans="1:7" x14ac:dyDescent="0.2">
      <c r="A157" t="s">
        <v>1945</v>
      </c>
      <c r="B157" t="s">
        <v>465</v>
      </c>
    </row>
    <row r="158" spans="1:7" x14ac:dyDescent="0.2">
      <c r="A158" t="s">
        <v>1946</v>
      </c>
      <c r="B158" t="s">
        <v>466</v>
      </c>
    </row>
    <row r="159" spans="1:7" x14ac:dyDescent="0.2">
      <c r="A159" t="s">
        <v>1947</v>
      </c>
      <c r="B159" t="s">
        <v>650</v>
      </c>
    </row>
    <row r="160" spans="1:7" x14ac:dyDescent="0.2">
      <c r="A160" t="s">
        <v>1948</v>
      </c>
      <c r="B160" t="s">
        <v>651</v>
      </c>
    </row>
    <row r="161" spans="1:2" x14ac:dyDescent="0.2">
      <c r="A161" t="s">
        <v>1949</v>
      </c>
      <c r="B161" t="s">
        <v>713</v>
      </c>
    </row>
    <row r="162" spans="1:2" x14ac:dyDescent="0.2">
      <c r="A162" t="s">
        <v>1950</v>
      </c>
      <c r="B162" t="s">
        <v>73</v>
      </c>
    </row>
    <row r="163" spans="1:2" x14ac:dyDescent="0.2">
      <c r="A163" t="s">
        <v>1951</v>
      </c>
      <c r="B163" t="s">
        <v>15</v>
      </c>
    </row>
    <row r="164" spans="1:2" x14ac:dyDescent="0.2">
      <c r="A164" t="s">
        <v>1952</v>
      </c>
      <c r="B164" t="s">
        <v>461</v>
      </c>
    </row>
    <row r="165" spans="1:2" x14ac:dyDescent="0.2">
      <c r="A165" t="s">
        <v>1953</v>
      </c>
      <c r="B165" t="s">
        <v>463</v>
      </c>
    </row>
    <row r="166" spans="1:2" x14ac:dyDescent="0.2">
      <c r="A166" t="s">
        <v>1954</v>
      </c>
      <c r="B166" t="s">
        <v>464</v>
      </c>
    </row>
    <row r="167" spans="1:2" x14ac:dyDescent="0.2">
      <c r="A167" t="s">
        <v>1955</v>
      </c>
      <c r="B167" t="s">
        <v>76</v>
      </c>
    </row>
    <row r="168" spans="1:2" x14ac:dyDescent="0.2">
      <c r="A168" t="s">
        <v>702</v>
      </c>
      <c r="B168" t="s">
        <v>703</v>
      </c>
    </row>
    <row r="169" spans="1:2" x14ac:dyDescent="0.2">
      <c r="A169" t="s">
        <v>1956</v>
      </c>
      <c r="B169" t="s">
        <v>462</v>
      </c>
    </row>
    <row r="170" spans="1:2" x14ac:dyDescent="0.2">
      <c r="A170" t="s">
        <v>1957</v>
      </c>
      <c r="B170" t="s">
        <v>647</v>
      </c>
    </row>
    <row r="171" spans="1:2" x14ac:dyDescent="0.2">
      <c r="A171" t="s">
        <v>423</v>
      </c>
      <c r="B171" t="s">
        <v>75</v>
      </c>
    </row>
    <row r="172" spans="1:2" x14ac:dyDescent="0.2">
      <c r="A172" t="s">
        <v>424</v>
      </c>
      <c r="B172" t="s">
        <v>23</v>
      </c>
    </row>
    <row r="173" spans="1:2" x14ac:dyDescent="0.2">
      <c r="A173" t="s">
        <v>425</v>
      </c>
      <c r="B173" t="s">
        <v>649</v>
      </c>
    </row>
    <row r="174" spans="1:2" x14ac:dyDescent="0.2">
      <c r="A174" t="s">
        <v>426</v>
      </c>
      <c r="B174" t="s">
        <v>648</v>
      </c>
    </row>
    <row r="175" spans="1:2" ht="12.75" customHeight="1" x14ac:dyDescent="0.2">
      <c r="A175" t="s">
        <v>427</v>
      </c>
      <c r="B175" t="s">
        <v>74</v>
      </c>
    </row>
    <row r="176" spans="1:2" ht="12.75" customHeight="1" x14ac:dyDescent="0.2"/>
    <row r="177" spans="1:8" ht="12.75" customHeight="1" x14ac:dyDescent="0.2">
      <c r="A177" s="33" t="s">
        <v>2064</v>
      </c>
      <c r="B177" s="504"/>
      <c r="C177" s="504"/>
      <c r="D177" s="504"/>
      <c r="E177" s="504"/>
      <c r="F177" s="504"/>
      <c r="G177" s="504"/>
      <c r="H177" s="384"/>
    </row>
    <row r="178" spans="1:8" ht="12.75" customHeight="1" x14ac:dyDescent="0.2">
      <c r="A178" s="505" t="s">
        <v>2107</v>
      </c>
      <c r="B178" s="503" t="s">
        <v>2066</v>
      </c>
      <c r="C178" s="503" t="s">
        <v>2062</v>
      </c>
      <c r="D178" s="503" t="s">
        <v>2061</v>
      </c>
      <c r="E178" s="503" t="s">
        <v>2065</v>
      </c>
      <c r="F178" s="503" t="s">
        <v>2060</v>
      </c>
      <c r="G178" s="503" t="s">
        <v>2063</v>
      </c>
      <c r="H178" s="506" t="s">
        <v>617</v>
      </c>
    </row>
    <row r="179" spans="1:8" ht="12.75" customHeight="1" x14ac:dyDescent="0.2">
      <c r="A179" s="29" t="s">
        <v>908</v>
      </c>
      <c r="B179" s="29" t="b">
        <v>0</v>
      </c>
      <c r="C179" t="b">
        <v>1</v>
      </c>
      <c r="D179" t="s">
        <v>1891</v>
      </c>
      <c r="F179" t="s">
        <v>909</v>
      </c>
      <c r="G179" s="393" t="s">
        <v>2085</v>
      </c>
      <c r="H179" t="s">
        <v>618</v>
      </c>
    </row>
    <row r="180" spans="1:8" ht="12.75" customHeight="1" x14ac:dyDescent="0.2">
      <c r="A180" s="31" t="s">
        <v>2098</v>
      </c>
      <c r="B180" s="29" t="b">
        <v>0</v>
      </c>
      <c r="C180" t="e">
        <f>NA()</f>
        <v>#N/A</v>
      </c>
      <c r="D180" t="s">
        <v>1891</v>
      </c>
      <c r="F180" t="s">
        <v>2086</v>
      </c>
      <c r="G180" s="393" t="s">
        <v>2087</v>
      </c>
      <c r="H180" t="s">
        <v>619</v>
      </c>
    </row>
    <row r="181" spans="1:8" ht="12.75" customHeight="1" x14ac:dyDescent="0.2">
      <c r="A181" s="31" t="s">
        <v>2099</v>
      </c>
      <c r="B181" s="29" t="b">
        <v>0</v>
      </c>
      <c r="C181" t="b">
        <v>1</v>
      </c>
      <c r="D181" t="s">
        <v>1891</v>
      </c>
      <c r="F181" t="s">
        <v>2090</v>
      </c>
      <c r="G181" s="393" t="s">
        <v>2091</v>
      </c>
      <c r="H181" t="s">
        <v>620</v>
      </c>
    </row>
    <row r="182" spans="1:8" ht="12.75" customHeight="1" x14ac:dyDescent="0.2">
      <c r="A182" s="31" t="s">
        <v>2100</v>
      </c>
      <c r="B182" s="29" t="b">
        <v>0</v>
      </c>
      <c r="C182" t="b">
        <v>1</v>
      </c>
      <c r="D182" t="s">
        <v>1891</v>
      </c>
      <c r="F182" t="s">
        <v>2088</v>
      </c>
      <c r="G182" s="393" t="s">
        <v>2089</v>
      </c>
      <c r="H182" t="s">
        <v>621</v>
      </c>
    </row>
    <row r="183" spans="1:8" ht="12.75" customHeight="1" x14ac:dyDescent="0.2">
      <c r="A183" s="31" t="s">
        <v>2101</v>
      </c>
      <c r="B183" s="29" t="b">
        <v>0</v>
      </c>
      <c r="C183" t="b">
        <v>1</v>
      </c>
      <c r="D183" t="s">
        <v>1891</v>
      </c>
      <c r="F183" t="s">
        <v>2093</v>
      </c>
      <c r="G183" s="393" t="s">
        <v>2092</v>
      </c>
      <c r="H183" t="s">
        <v>622</v>
      </c>
    </row>
    <row r="184" spans="1:8" ht="191.25" x14ac:dyDescent="0.2">
      <c r="A184" s="31" t="s">
        <v>2102</v>
      </c>
      <c r="B184" s="29" t="b">
        <v>0</v>
      </c>
      <c r="C184" t="b">
        <v>1</v>
      </c>
      <c r="D184" t="s">
        <v>1891</v>
      </c>
      <c r="F184" t="s">
        <v>2095</v>
      </c>
      <c r="G184" s="393" t="s">
        <v>2094</v>
      </c>
      <c r="H184" t="s">
        <v>623</v>
      </c>
    </row>
    <row r="185" spans="1:8" ht="191.25" x14ac:dyDescent="0.2">
      <c r="A185" s="31" t="s">
        <v>2103</v>
      </c>
      <c r="B185" s="29" t="b">
        <v>0</v>
      </c>
      <c r="C185" t="b">
        <v>1</v>
      </c>
      <c r="D185" t="s">
        <v>1891</v>
      </c>
      <c r="F185" t="s">
        <v>2097</v>
      </c>
      <c r="G185" s="393" t="s">
        <v>2096</v>
      </c>
      <c r="H185" t="s">
        <v>624</v>
      </c>
    </row>
    <row r="186" spans="1:8" ht="102" x14ac:dyDescent="0.2">
      <c r="A186" s="31" t="s">
        <v>611</v>
      </c>
      <c r="B186" s="29" t="b">
        <v>0</v>
      </c>
      <c r="C186" t="b">
        <v>1</v>
      </c>
      <c r="D186" t="s">
        <v>1891</v>
      </c>
      <c r="F186" t="s">
        <v>613</v>
      </c>
      <c r="G186" s="393" t="s">
        <v>616</v>
      </c>
      <c r="H186" t="s">
        <v>625</v>
      </c>
    </row>
    <row r="187" spans="1:8" ht="12.75" customHeight="1" x14ac:dyDescent="0.2">
      <c r="A187" s="31" t="s">
        <v>612</v>
      </c>
      <c r="B187" s="29" t="b">
        <v>0</v>
      </c>
      <c r="C187" t="b">
        <v>1</v>
      </c>
      <c r="D187" t="s">
        <v>1891</v>
      </c>
      <c r="F187" t="s">
        <v>614</v>
      </c>
      <c r="G187" s="393" t="s">
        <v>615</v>
      </c>
      <c r="H187" t="s">
        <v>625</v>
      </c>
    </row>
    <row r="188" spans="1:8" ht="12.75" customHeight="1" x14ac:dyDescent="0.2">
      <c r="A188" s="29"/>
      <c r="B188" s="29"/>
    </row>
    <row r="189" spans="1:8" ht="12.75" customHeight="1" x14ac:dyDescent="0.2">
      <c r="A189" s="33" t="s">
        <v>2067</v>
      </c>
      <c r="B189" s="504"/>
      <c r="C189" s="504"/>
      <c r="D189" s="504"/>
      <c r="E189" s="504"/>
      <c r="F189" s="504"/>
      <c r="G189" s="504"/>
      <c r="H189" s="384"/>
    </row>
    <row r="190" spans="1:8" x14ac:dyDescent="0.2">
      <c r="A190" s="505" t="s">
        <v>338</v>
      </c>
      <c r="B190" s="503" t="s">
        <v>2068</v>
      </c>
      <c r="C190" s="503" t="s">
        <v>2062</v>
      </c>
      <c r="D190" s="503" t="s">
        <v>2061</v>
      </c>
      <c r="E190" s="503" t="s">
        <v>2065</v>
      </c>
      <c r="F190" s="503" t="s">
        <v>2060</v>
      </c>
      <c r="G190" s="503" t="s">
        <v>2063</v>
      </c>
      <c r="H190" s="506" t="s">
        <v>617</v>
      </c>
    </row>
    <row r="191" spans="1:8" ht="204" x14ac:dyDescent="0.2">
      <c r="A191" s="31" t="s">
        <v>2069</v>
      </c>
      <c r="B191">
        <v>4</v>
      </c>
      <c r="C191" t="b">
        <v>1</v>
      </c>
      <c r="D191" t="s">
        <v>1891</v>
      </c>
      <c r="F191" t="s">
        <v>1890</v>
      </c>
      <c r="G191" s="393" t="s">
        <v>468</v>
      </c>
      <c r="H191" t="s">
        <v>626</v>
      </c>
    </row>
    <row r="192" spans="1:8" ht="204" x14ac:dyDescent="0.2">
      <c r="A192" s="31" t="s">
        <v>2069</v>
      </c>
      <c r="B192">
        <v>7</v>
      </c>
      <c r="C192" t="b">
        <v>1</v>
      </c>
      <c r="D192" t="s">
        <v>1891</v>
      </c>
      <c r="F192" t="s">
        <v>1890</v>
      </c>
      <c r="G192" s="393" t="s">
        <v>468</v>
      </c>
      <c r="H192" t="s">
        <v>626</v>
      </c>
    </row>
    <row r="193" spans="1:17" ht="178.5" x14ac:dyDescent="0.2">
      <c r="A193" s="31" t="s">
        <v>467</v>
      </c>
      <c r="C193" t="b">
        <v>1</v>
      </c>
      <c r="D193" t="s">
        <v>1891</v>
      </c>
      <c r="E193" s="106" t="s">
        <v>2104</v>
      </c>
      <c r="F193" t="s">
        <v>1890</v>
      </c>
      <c r="G193" s="393" t="s">
        <v>1889</v>
      </c>
      <c r="H193" t="s">
        <v>404</v>
      </c>
    </row>
    <row r="195" spans="1:17" x14ac:dyDescent="0.2">
      <c r="A195" s="27" t="s">
        <v>1944</v>
      </c>
      <c r="B195" s="852"/>
      <c r="C195" s="852"/>
      <c r="D195" s="852"/>
      <c r="E195" s="852"/>
      <c r="F195" s="852"/>
      <c r="G195" s="853"/>
    </row>
    <row r="196" spans="1:17" x14ac:dyDescent="0.2">
      <c r="A196" t="s">
        <v>440</v>
      </c>
    </row>
    <row r="197" spans="1:17" x14ac:dyDescent="0.2">
      <c r="A197" t="s">
        <v>441</v>
      </c>
    </row>
    <row r="198" spans="1:17" x14ac:dyDescent="0.2">
      <c r="A198" t="s">
        <v>442</v>
      </c>
    </row>
    <row r="199" spans="1:17" x14ac:dyDescent="0.2">
      <c r="A199" t="s">
        <v>443</v>
      </c>
    </row>
    <row r="200" spans="1:17" x14ac:dyDescent="0.2">
      <c r="A200" t="s">
        <v>444</v>
      </c>
    </row>
    <row r="201" spans="1:17" x14ac:dyDescent="0.2">
      <c r="A201" t="s">
        <v>445</v>
      </c>
    </row>
    <row r="202" spans="1:17" s="664" customFormat="1" x14ac:dyDescent="0.2">
      <c r="A202" t="s">
        <v>447</v>
      </c>
      <c r="B202"/>
      <c r="C202"/>
      <c r="D202"/>
      <c r="E202"/>
      <c r="F202"/>
      <c r="G202"/>
      <c r="H202"/>
      <c r="I202"/>
      <c r="J202"/>
      <c r="K202"/>
      <c r="L202"/>
      <c r="M202"/>
      <c r="N202"/>
      <c r="O202"/>
      <c r="P202"/>
      <c r="Q202"/>
    </row>
    <row r="203" spans="1:17" s="664" customFormat="1" x14ac:dyDescent="0.2">
      <c r="A203" t="s">
        <v>446</v>
      </c>
      <c r="B203"/>
      <c r="C203"/>
      <c r="D203"/>
      <c r="E203"/>
      <c r="F203"/>
      <c r="G203"/>
      <c r="H203"/>
      <c r="I203"/>
      <c r="J203"/>
      <c r="K203"/>
      <c r="L203"/>
      <c r="M203"/>
      <c r="N203"/>
      <c r="O203"/>
      <c r="P203"/>
      <c r="Q203"/>
    </row>
    <row r="206" spans="1:17" x14ac:dyDescent="0.2">
      <c r="A206" s="661" t="s">
        <v>2494</v>
      </c>
      <c r="B206" s="662"/>
      <c r="C206" s="662"/>
      <c r="D206" s="662"/>
      <c r="E206" s="663"/>
      <c r="H206" s="664"/>
      <c r="I206" s="664"/>
      <c r="J206" s="664"/>
      <c r="K206" s="664"/>
      <c r="L206" s="664"/>
      <c r="M206" s="664"/>
      <c r="N206" s="664"/>
      <c r="O206" s="664"/>
      <c r="P206" s="664"/>
      <c r="Q206" s="664"/>
    </row>
    <row r="207" spans="1:17" x14ac:dyDescent="0.2">
      <c r="A207" s="665" t="s">
        <v>2495</v>
      </c>
      <c r="B207" s="666" t="s">
        <v>2503</v>
      </c>
      <c r="C207" s="666" t="s">
        <v>2504</v>
      </c>
      <c r="D207" s="666"/>
      <c r="E207" s="667"/>
      <c r="H207" s="664"/>
      <c r="I207" s="664"/>
      <c r="J207" s="664"/>
      <c r="K207" s="664"/>
      <c r="L207" s="664"/>
      <c r="M207" s="664"/>
      <c r="N207" s="664"/>
      <c r="O207" s="664"/>
      <c r="P207" s="664"/>
      <c r="Q207" s="664"/>
    </row>
    <row r="210" spans="1:5" x14ac:dyDescent="0.2">
      <c r="A210" s="33" t="s">
        <v>2612</v>
      </c>
      <c r="B210" s="504"/>
      <c r="C210" s="504"/>
      <c r="D210" s="504"/>
      <c r="E210" s="384"/>
    </row>
    <row r="211" spans="1:5" x14ac:dyDescent="0.2">
      <c r="A211" s="35" t="s">
        <v>930</v>
      </c>
      <c r="B211" s="36" t="s">
        <v>170</v>
      </c>
      <c r="C211" s="36" t="s">
        <v>2621</v>
      </c>
      <c r="D211" s="36" t="s">
        <v>2620</v>
      </c>
      <c r="E211" s="506" t="s">
        <v>2618</v>
      </c>
    </row>
    <row r="212" spans="1:5" x14ac:dyDescent="0.2">
      <c r="A212" s="31"/>
      <c r="C212" s="29"/>
    </row>
    <row r="214" spans="1:5" x14ac:dyDescent="0.2">
      <c r="A214" s="33" t="s">
        <v>2929</v>
      </c>
      <c r="B214" s="504"/>
      <c r="C214" s="504"/>
      <c r="D214" s="504"/>
      <c r="E214" s="384"/>
    </row>
    <row r="215" spans="1:5" x14ac:dyDescent="0.2">
      <c r="A215" s="35" t="s">
        <v>2930</v>
      </c>
      <c r="B215" s="36" t="s">
        <v>2931</v>
      </c>
      <c r="C215" s="36"/>
      <c r="D215" s="36"/>
      <c r="E215" s="506"/>
    </row>
    <row r="216" spans="1:5" x14ac:dyDescent="0.2">
      <c r="A216" s="31" t="s">
        <v>2948</v>
      </c>
      <c r="C216" s="29" t="s">
        <v>2949</v>
      </c>
    </row>
    <row r="217" spans="1:5" x14ac:dyDescent="0.2">
      <c r="A217" s="31" t="s">
        <v>2946</v>
      </c>
      <c r="C217" s="29" t="s">
        <v>2947</v>
      </c>
    </row>
    <row r="218" spans="1:5" x14ac:dyDescent="0.2">
      <c r="A218" s="31" t="s">
        <v>2944</v>
      </c>
      <c r="C218" s="29" t="s">
        <v>2945</v>
      </c>
    </row>
    <row r="219" spans="1:5" x14ac:dyDescent="0.2">
      <c r="A219" s="29" t="s">
        <v>2942</v>
      </c>
      <c r="C219" s="29" t="s">
        <v>2943</v>
      </c>
    </row>
    <row r="220" spans="1:5" x14ac:dyDescent="0.2">
      <c r="A220" s="31" t="s">
        <v>2935</v>
      </c>
      <c r="C220" s="29" t="s">
        <v>2932</v>
      </c>
    </row>
    <row r="221" spans="1:5" x14ac:dyDescent="0.2">
      <c r="A221" s="31" t="s">
        <v>2936</v>
      </c>
      <c r="C221" s="29" t="s">
        <v>2933</v>
      </c>
    </row>
    <row r="222" spans="1:5" x14ac:dyDescent="0.2">
      <c r="A222" s="31" t="s">
        <v>2937</v>
      </c>
      <c r="C222" s="29" t="s">
        <v>2934</v>
      </c>
    </row>
  </sheetData>
  <mergeCells count="36">
    <mergeCell ref="C85:G85"/>
    <mergeCell ref="C86:G86"/>
    <mergeCell ref="C87:G87"/>
    <mergeCell ref="C88:G88"/>
    <mergeCell ref="C81:G81"/>
    <mergeCell ref="C82:G82"/>
    <mergeCell ref="C83:G83"/>
    <mergeCell ref="C84:G84"/>
    <mergeCell ref="B156:D156"/>
    <mergeCell ref="C143:G143"/>
    <mergeCell ref="C139:G139"/>
    <mergeCell ref="C140:G140"/>
    <mergeCell ref="C141:G141"/>
    <mergeCell ref="C142:G142"/>
    <mergeCell ref="C89:G89"/>
    <mergeCell ref="C124:G124"/>
    <mergeCell ref="C125:G125"/>
    <mergeCell ref="C127:G127"/>
    <mergeCell ref="C126:G126"/>
    <mergeCell ref="C112:G112"/>
    <mergeCell ref="B195:D195"/>
    <mergeCell ref="E195:G195"/>
    <mergeCell ref="C123:G123"/>
    <mergeCell ref="C128:G128"/>
    <mergeCell ref="C129:G129"/>
    <mergeCell ref="C130:G130"/>
    <mergeCell ref="C131:G131"/>
    <mergeCell ref="C132:G132"/>
    <mergeCell ref="C135:G135"/>
    <mergeCell ref="C136:G136"/>
    <mergeCell ref="C137:G137"/>
    <mergeCell ref="C138:G138"/>
    <mergeCell ref="C133:G133"/>
    <mergeCell ref="C134:G134"/>
    <mergeCell ref="E156:G156"/>
    <mergeCell ref="F146:G146"/>
  </mergeCells>
  <phoneticPr fontId="0" type="noConversion"/>
  <dataValidations count="10">
    <dataValidation type="list" allowBlank="1" showInputMessage="1" showErrorMessage="1" sqref="B120:B121">
      <formula1>"Normal,Warning,Fatal"</formula1>
    </dataValidation>
    <dataValidation type="list" allowBlank="1" showInputMessage="1" showErrorMessage="1" sqref="B143">
      <formula1>"Clear,Encrypted,Hashed"</formula1>
    </dataValidation>
    <dataValidation type="whole" allowBlank="1" showInputMessage="1" showErrorMessage="1" sqref="B136">
      <formula1>1</formula1>
      <formula2>20</formula2>
    </dataValidation>
    <dataValidation type="whole" allowBlank="1" showInputMessage="1" showErrorMessage="1" sqref="B137">
      <formula1>20</formula1>
      <formula2>128</formula2>
    </dataValidation>
    <dataValidation type="whole" allowBlank="1" showInputMessage="1" showErrorMessage="1" sqref="B138:B141">
      <formula1>0</formula1>
      <formula2>10</formula2>
    </dataValidation>
    <dataValidation type="whole" allowBlank="1" showInputMessage="1" showErrorMessage="1" sqref="B131:B132">
      <formula1>1</formula1>
      <formula2>120</formula2>
    </dataValidation>
    <dataValidation type="whole" allowBlank="1" showInputMessage="1" showErrorMessage="1" sqref="B133">
      <formula1>1</formula1>
      <formula2>30</formula2>
    </dataValidation>
    <dataValidation type="whole" allowBlank="1" showInputMessage="1" showErrorMessage="1" sqref="B134">
      <formula1>1</formula1>
      <formula2>144</formula2>
    </dataValidation>
    <dataValidation type="list" allowBlank="1" showInputMessage="1" showErrorMessage="1" sqref="B92:B96">
      <formula1>"Never,Monthly,Quarterly,Annually,KeepLast10"</formula1>
    </dataValidation>
    <dataValidation type="list" allowBlank="1" showInputMessage="1" showErrorMessage="1" sqref="B3">
      <formula1>"Plan Info,Site Settings,Flat Data,Historical Data,Data Lookup Tables,Framework Lookup Tables, Calc Inputs,Reports,Batch Processes,Site Configuration"</formula1>
    </dataValidation>
  </dataValidations>
  <hyperlinks>
    <hyperlink ref="E193" r:id="rId1"/>
  </hyperlinks>
  <pageMargins left="0.75" right="0.75" top="1" bottom="1" header="0.5" footer="0.5"/>
  <pageSetup orientation="portrait" horizontalDpi="200" verticalDpi="200" r:id="rId2"/>
  <headerFooter alignWithMargins="0"/>
  <legacyDrawing r:id="rId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iteSettingsModeling">
    <tabColor theme="1"/>
  </sheetPr>
  <dimension ref="A1:Q59"/>
  <sheetViews>
    <sheetView workbookViewId="0"/>
  </sheetViews>
  <sheetFormatPr defaultRowHeight="12.75" x14ac:dyDescent="0.2"/>
  <cols>
    <col min="1" max="1" width="37.140625" bestFit="1" customWidth="1"/>
    <col min="2" max="2" width="30.85546875" customWidth="1"/>
    <col min="3" max="3" width="21.5703125" customWidth="1"/>
    <col min="4" max="4" width="33.5703125" customWidth="1"/>
    <col min="5" max="5" width="20.28515625" customWidth="1"/>
    <col min="6" max="6" width="34.7109375" customWidth="1"/>
    <col min="7" max="7" width="61.5703125" customWidth="1"/>
  </cols>
  <sheetData>
    <row r="1" spans="1:17" s="3" customFormat="1" x14ac:dyDescent="0.2">
      <c r="A1" s="1" t="s">
        <v>1148</v>
      </c>
      <c r="B1" s="2"/>
    </row>
    <row r="2" spans="1:17" x14ac:dyDescent="0.2">
      <c r="A2" s="4" t="s">
        <v>422</v>
      </c>
      <c r="B2" s="5">
        <v>6</v>
      </c>
      <c r="C2" s="6"/>
      <c r="D2" s="6"/>
      <c r="E2" s="6"/>
      <c r="F2" s="6"/>
      <c r="G2" s="6"/>
      <c r="H2" s="6"/>
      <c r="I2" s="6"/>
      <c r="J2" s="6"/>
      <c r="K2" s="6"/>
      <c r="L2" s="6"/>
      <c r="M2" s="6"/>
      <c r="N2" s="6"/>
      <c r="O2" s="6"/>
      <c r="P2" s="6"/>
      <c r="Q2" s="7"/>
    </row>
    <row r="3" spans="1:17" x14ac:dyDescent="0.2">
      <c r="A3" s="8" t="s">
        <v>1149</v>
      </c>
      <c r="B3" s="9" t="s">
        <v>1269</v>
      </c>
      <c r="C3" s="10"/>
      <c r="D3" s="10"/>
      <c r="E3" s="10"/>
      <c r="F3" s="10"/>
      <c r="G3" s="10"/>
      <c r="H3" s="10"/>
      <c r="I3" s="10"/>
      <c r="J3" s="10"/>
      <c r="K3" s="10"/>
      <c r="L3" s="10"/>
      <c r="M3" s="10"/>
      <c r="N3" s="10"/>
      <c r="O3" s="10"/>
      <c r="P3" s="10"/>
      <c r="Q3" s="11"/>
    </row>
    <row r="4" spans="1:17" x14ac:dyDescent="0.2">
      <c r="A4" s="8" t="s">
        <v>1151</v>
      </c>
      <c r="B4" s="12" t="s">
        <v>2108</v>
      </c>
      <c r="C4" s="10"/>
      <c r="D4" s="10"/>
      <c r="E4" s="10"/>
      <c r="F4" s="10"/>
      <c r="G4" s="10"/>
      <c r="H4" s="10"/>
      <c r="I4" s="10"/>
      <c r="J4" s="10"/>
      <c r="K4" s="10"/>
      <c r="L4" s="10"/>
      <c r="M4" s="10"/>
      <c r="N4" s="10"/>
      <c r="O4" s="10"/>
      <c r="P4" s="10"/>
      <c r="Q4" s="11"/>
    </row>
    <row r="5" spans="1:17" x14ac:dyDescent="0.2">
      <c r="A5" s="13"/>
      <c r="B5" s="12" t="s">
        <v>2109</v>
      </c>
      <c r="C5" s="10"/>
      <c r="D5" s="10"/>
      <c r="E5" s="10"/>
      <c r="F5" s="10"/>
      <c r="G5" s="10"/>
      <c r="H5" s="10"/>
      <c r="I5" s="10"/>
      <c r="J5" s="10"/>
      <c r="K5" s="10"/>
      <c r="L5" s="10"/>
      <c r="M5" s="10"/>
      <c r="N5" s="10"/>
      <c r="O5" s="10"/>
      <c r="P5" s="10"/>
      <c r="Q5" s="11"/>
    </row>
    <row r="6" spans="1:17" x14ac:dyDescent="0.2">
      <c r="A6" s="13"/>
      <c r="B6" s="12" t="s">
        <v>2110</v>
      </c>
      <c r="C6" s="10"/>
      <c r="D6" s="10"/>
      <c r="E6" s="10"/>
      <c r="F6" s="10"/>
      <c r="G6" s="10"/>
      <c r="H6" s="10"/>
      <c r="I6" s="10"/>
      <c r="J6" s="10"/>
      <c r="K6" s="10"/>
      <c r="L6" s="10"/>
      <c r="M6" s="10"/>
      <c r="N6" s="10"/>
      <c r="O6" s="10"/>
      <c r="P6" s="10"/>
      <c r="Q6" s="11"/>
    </row>
    <row r="7" spans="1:17" x14ac:dyDescent="0.2">
      <c r="A7" s="13"/>
      <c r="B7" s="12" t="s">
        <v>2111</v>
      </c>
      <c r="C7" s="10"/>
      <c r="D7" s="10"/>
      <c r="E7" s="10"/>
      <c r="F7" s="10"/>
      <c r="G7" s="10"/>
      <c r="H7" s="10"/>
      <c r="I7" s="10"/>
      <c r="J7" s="10"/>
      <c r="K7" s="10"/>
      <c r="L7" s="10"/>
      <c r="M7" s="10"/>
      <c r="N7" s="10"/>
      <c r="O7" s="10"/>
      <c r="P7" s="10"/>
      <c r="Q7" s="11"/>
    </row>
    <row r="8" spans="1:17" x14ac:dyDescent="0.2">
      <c r="A8" s="13"/>
      <c r="B8" s="12" t="s">
        <v>2112</v>
      </c>
      <c r="C8" s="10"/>
      <c r="D8" s="10"/>
      <c r="E8" s="10"/>
      <c r="F8" s="10"/>
      <c r="G8" s="10"/>
      <c r="H8" s="10"/>
      <c r="I8" s="10"/>
      <c r="J8" s="10"/>
      <c r="K8" s="10"/>
      <c r="L8" s="10"/>
      <c r="M8" s="10"/>
      <c r="N8" s="10"/>
      <c r="O8" s="10"/>
      <c r="P8" s="10"/>
      <c r="Q8" s="11"/>
    </row>
    <row r="9" spans="1:17" x14ac:dyDescent="0.2">
      <c r="A9" s="13"/>
      <c r="B9" s="12" t="s">
        <v>2113</v>
      </c>
      <c r="C9" s="10"/>
      <c r="D9" s="10"/>
      <c r="E9" s="10"/>
      <c r="F9" s="10"/>
      <c r="G9" s="10"/>
      <c r="H9" s="10"/>
      <c r="I9" s="10"/>
      <c r="J9" s="10"/>
      <c r="K9" s="10"/>
      <c r="L9" s="10"/>
      <c r="M9" s="10"/>
      <c r="N9" s="10"/>
      <c r="O9" s="10"/>
      <c r="P9" s="10"/>
      <c r="Q9" s="11"/>
    </row>
    <row r="10" spans="1:17" x14ac:dyDescent="0.2">
      <c r="A10" s="13"/>
      <c r="B10" s="12"/>
      <c r="C10" s="10"/>
      <c r="D10" s="10"/>
      <c r="E10" s="10"/>
      <c r="F10" s="10"/>
      <c r="G10" s="10"/>
      <c r="H10" s="10"/>
      <c r="I10" s="10"/>
      <c r="J10" s="10"/>
      <c r="K10" s="10"/>
      <c r="L10" s="10"/>
      <c r="M10" s="10"/>
      <c r="N10" s="10"/>
      <c r="O10" s="10"/>
      <c r="P10" s="10"/>
      <c r="Q10" s="11"/>
    </row>
    <row r="11" spans="1:17" x14ac:dyDescent="0.2">
      <c r="A11" s="22"/>
      <c r="B11" s="23"/>
      <c r="C11" s="23"/>
      <c r="D11" s="23"/>
      <c r="E11" s="23"/>
      <c r="F11" s="23"/>
      <c r="G11" s="23"/>
      <c r="H11" s="23"/>
      <c r="I11" s="23"/>
      <c r="J11" s="23"/>
      <c r="K11" s="23"/>
      <c r="L11" s="23"/>
      <c r="M11" s="23"/>
      <c r="N11" s="23"/>
      <c r="O11" s="23"/>
      <c r="P11" s="23"/>
      <c r="Q11" s="24"/>
    </row>
    <row r="12" spans="1:17" x14ac:dyDescent="0.2">
      <c r="A12" s="25"/>
      <c r="B12" s="26"/>
    </row>
    <row r="13" spans="1:17" x14ac:dyDescent="0.2">
      <c r="A13" s="27" t="s">
        <v>1109</v>
      </c>
      <c r="B13" s="358" t="s">
        <v>859</v>
      </c>
      <c r="C13" s="852" t="s">
        <v>1151</v>
      </c>
      <c r="D13" s="842"/>
      <c r="E13" s="842"/>
      <c r="F13" s="842"/>
      <c r="G13" s="843"/>
    </row>
    <row r="14" spans="1:17" x14ac:dyDescent="0.2">
      <c r="A14" s="377" t="s">
        <v>170</v>
      </c>
      <c r="B14" s="499" t="str">
        <f>Localization!B403</f>
        <v>Arizona Igloo Retirement Modeling</v>
      </c>
      <c r="C14" s="857" t="s">
        <v>1112</v>
      </c>
      <c r="D14" s="860"/>
      <c r="E14" s="860"/>
      <c r="F14" s="860"/>
      <c r="G14" s="860"/>
    </row>
    <row r="15" spans="1:17" x14ac:dyDescent="0.2">
      <c r="A15" s="355" t="s">
        <v>164</v>
      </c>
      <c r="B15" s="502" t="s">
        <v>2324</v>
      </c>
      <c r="C15" s="856" t="s">
        <v>1113</v>
      </c>
      <c r="D15" s="859"/>
      <c r="E15" s="859"/>
      <c r="F15" s="859"/>
      <c r="G15" s="859"/>
    </row>
    <row r="16" spans="1:17" x14ac:dyDescent="0.2">
      <c r="A16" s="355" t="s">
        <v>165</v>
      </c>
      <c r="B16" s="502" t="s">
        <v>1502</v>
      </c>
      <c r="C16" s="856" t="s">
        <v>1110</v>
      </c>
      <c r="D16" s="859"/>
      <c r="E16" s="859"/>
      <c r="F16" s="859"/>
      <c r="G16" s="859"/>
    </row>
    <row r="17" spans="1:7" x14ac:dyDescent="0.2">
      <c r="A17" s="377" t="s">
        <v>166</v>
      </c>
      <c r="B17" s="355" t="str">
        <f>"AZI."&amp;SiteArea</f>
        <v>AZI.Modeling</v>
      </c>
      <c r="C17" s="856" t="s">
        <v>1111</v>
      </c>
      <c r="D17" s="859"/>
      <c r="E17" s="859"/>
      <c r="F17" s="859"/>
      <c r="G17" s="859"/>
    </row>
    <row r="18" spans="1:7" x14ac:dyDescent="0.2">
      <c r="A18" s="377" t="s">
        <v>167</v>
      </c>
      <c r="B18" s="499" t="s">
        <v>171</v>
      </c>
      <c r="C18" s="856" t="s">
        <v>2054</v>
      </c>
      <c r="D18" s="859"/>
      <c r="E18" s="859"/>
      <c r="F18" s="859"/>
      <c r="G18" s="859"/>
    </row>
    <row r="19" spans="1:7" x14ac:dyDescent="0.2">
      <c r="A19" s="377" t="s">
        <v>259</v>
      </c>
      <c r="B19" s="499" t="s">
        <v>1282</v>
      </c>
      <c r="C19" s="856" t="s">
        <v>1114</v>
      </c>
      <c r="D19" s="859"/>
      <c r="E19" s="859"/>
      <c r="F19" s="859"/>
      <c r="G19" s="859"/>
    </row>
    <row r="20" spans="1:7" x14ac:dyDescent="0.2">
      <c r="A20" s="377" t="s">
        <v>169</v>
      </c>
      <c r="B20" s="499" t="s">
        <v>1696</v>
      </c>
      <c r="C20" s="856" t="s">
        <v>1115</v>
      </c>
      <c r="D20" s="859"/>
      <c r="E20" s="859"/>
      <c r="F20" s="859"/>
      <c r="G20" s="859"/>
    </row>
    <row r="21" spans="1:7" x14ac:dyDescent="0.2">
      <c r="A21" s="377" t="s">
        <v>168</v>
      </c>
      <c r="B21" s="499" t="b">
        <f>B15="Administration"</f>
        <v>0</v>
      </c>
      <c r="C21" s="856" t="s">
        <v>1116</v>
      </c>
      <c r="D21" s="859"/>
      <c r="E21" s="859"/>
      <c r="F21" s="859"/>
      <c r="G21" s="859"/>
    </row>
    <row r="22" spans="1:7" x14ac:dyDescent="0.2">
      <c r="A22" s="31"/>
    </row>
    <row r="23" spans="1:7" x14ac:dyDescent="0.2">
      <c r="A23" s="33" t="s">
        <v>1942</v>
      </c>
      <c r="B23" s="504"/>
      <c r="C23" s="504"/>
      <c r="D23" s="504"/>
      <c r="E23" s="504"/>
      <c r="F23" s="504"/>
      <c r="G23" s="384"/>
    </row>
    <row r="24" spans="1:7" x14ac:dyDescent="0.2">
      <c r="A24" s="35" t="s">
        <v>930</v>
      </c>
      <c r="B24" s="36" t="s">
        <v>337</v>
      </c>
      <c r="C24" s="36" t="s">
        <v>634</v>
      </c>
      <c r="D24" s="36" t="s">
        <v>1943</v>
      </c>
      <c r="E24" s="36"/>
      <c r="F24" s="503"/>
      <c r="G24" s="506"/>
    </row>
    <row r="27" spans="1:7" x14ac:dyDescent="0.2">
      <c r="A27" s="33" t="s">
        <v>2453</v>
      </c>
      <c r="B27" s="504"/>
      <c r="C27" s="504"/>
      <c r="D27" s="504"/>
      <c r="E27" s="504"/>
      <c r="F27" s="504"/>
      <c r="G27" s="384"/>
    </row>
    <row r="28" spans="1:7" x14ac:dyDescent="0.2">
      <c r="A28" s="35" t="s">
        <v>930</v>
      </c>
      <c r="B28" s="36" t="s">
        <v>2485</v>
      </c>
      <c r="C28" s="36" t="s">
        <v>2454</v>
      </c>
      <c r="D28" s="36" t="s">
        <v>2469</v>
      </c>
      <c r="E28" s="36" t="s">
        <v>2455</v>
      </c>
      <c r="F28" s="36" t="s">
        <v>2456</v>
      </c>
      <c r="G28" s="506" t="s">
        <v>2457</v>
      </c>
    </row>
    <row r="31" spans="1:7" x14ac:dyDescent="0.2">
      <c r="A31" s="33" t="s">
        <v>2286</v>
      </c>
      <c r="B31" s="568"/>
      <c r="C31" s="504"/>
      <c r="D31" s="568"/>
      <c r="E31" s="568"/>
      <c r="F31" s="568"/>
      <c r="G31" s="569"/>
    </row>
    <row r="32" spans="1:7" x14ac:dyDescent="0.2">
      <c r="A32" s="35" t="s">
        <v>542</v>
      </c>
      <c r="B32" s="37" t="s">
        <v>2291</v>
      </c>
      <c r="C32" s="37" t="s">
        <v>1697</v>
      </c>
      <c r="D32" s="503"/>
      <c r="E32" s="503"/>
      <c r="F32" s="503"/>
      <c r="G32" s="506"/>
    </row>
    <row r="33" spans="1:7" x14ac:dyDescent="0.2">
      <c r="A33" s="355"/>
      <c r="B33" s="567"/>
      <c r="C33" s="495"/>
      <c r="D33" s="357"/>
      <c r="E33" s="357"/>
      <c r="F33" s="357"/>
      <c r="G33" s="357"/>
    </row>
    <row r="34" spans="1:7" x14ac:dyDescent="0.2">
      <c r="A34" s="496"/>
      <c r="B34" s="567"/>
      <c r="C34" s="497"/>
      <c r="D34" s="356"/>
      <c r="E34" s="356"/>
      <c r="F34" s="356"/>
      <c r="G34" s="356"/>
    </row>
    <row r="35" spans="1:7" x14ac:dyDescent="0.2">
      <c r="A35" s="33" t="s">
        <v>1108</v>
      </c>
      <c r="B35" s="504"/>
      <c r="C35" s="504"/>
      <c r="D35" s="504"/>
      <c r="E35" s="504"/>
      <c r="F35" s="504"/>
      <c r="G35" s="384"/>
    </row>
    <row r="36" spans="1:7" x14ac:dyDescent="0.2">
      <c r="A36" s="35" t="s">
        <v>2105</v>
      </c>
      <c r="B36" s="37" t="s">
        <v>859</v>
      </c>
      <c r="C36" s="854" t="s">
        <v>1151</v>
      </c>
      <c r="D36" s="845"/>
      <c r="E36" s="845"/>
      <c r="F36" s="845"/>
      <c r="G36" s="861"/>
    </row>
    <row r="37" spans="1:7" x14ac:dyDescent="0.2">
      <c r="A37" s="498"/>
      <c r="B37" s="355"/>
      <c r="C37" s="856"/>
      <c r="D37" s="859"/>
      <c r="E37" s="859"/>
      <c r="F37" s="859"/>
      <c r="G37" s="859"/>
    </row>
    <row r="38" spans="1:7" x14ac:dyDescent="0.2">
      <c r="A38" s="29"/>
      <c r="B38" s="29"/>
    </row>
    <row r="39" spans="1:7" x14ac:dyDescent="0.2">
      <c r="A39" s="33" t="s">
        <v>2056</v>
      </c>
      <c r="B39" s="504"/>
      <c r="C39" s="504"/>
      <c r="D39" s="504"/>
      <c r="E39" s="504"/>
      <c r="F39" s="504"/>
      <c r="G39" s="384"/>
    </row>
    <row r="40" spans="1:7" x14ac:dyDescent="0.2">
      <c r="A40" s="35" t="s">
        <v>1681</v>
      </c>
      <c r="B40" s="36" t="s">
        <v>356</v>
      </c>
      <c r="C40" s="36" t="s">
        <v>2057</v>
      </c>
      <c r="D40" s="36" t="s">
        <v>2058</v>
      </c>
      <c r="E40" s="36" t="s">
        <v>2059</v>
      </c>
      <c r="F40" s="854" t="s">
        <v>868</v>
      </c>
      <c r="G40" s="861"/>
    </row>
    <row r="41" spans="1:7" x14ac:dyDescent="0.2">
      <c r="B41" s="355"/>
    </row>
    <row r="43" spans="1:7" x14ac:dyDescent="0.2">
      <c r="A43" s="33" t="s">
        <v>2055</v>
      </c>
      <c r="B43" s="504"/>
      <c r="C43" s="504"/>
      <c r="D43" s="504"/>
      <c r="E43" s="504"/>
      <c r="F43" s="504"/>
      <c r="G43" s="384"/>
    </row>
    <row r="44" spans="1:7" x14ac:dyDescent="0.2">
      <c r="A44" s="35" t="s">
        <v>2106</v>
      </c>
      <c r="B44" s="854" t="s">
        <v>1697</v>
      </c>
      <c r="C44" s="845"/>
      <c r="D44" s="845"/>
      <c r="E44" s="854"/>
      <c r="F44" s="845"/>
      <c r="G44" s="861"/>
    </row>
    <row r="47" spans="1:7" x14ac:dyDescent="0.2">
      <c r="A47" s="33" t="s">
        <v>2064</v>
      </c>
      <c r="B47" s="504"/>
      <c r="C47" s="504"/>
      <c r="D47" s="504"/>
      <c r="E47" s="504"/>
      <c r="F47" s="504"/>
      <c r="G47" s="384"/>
    </row>
    <row r="48" spans="1:7" x14ac:dyDescent="0.2">
      <c r="A48" s="505" t="s">
        <v>2107</v>
      </c>
      <c r="B48" s="503" t="s">
        <v>2066</v>
      </c>
      <c r="C48" s="503" t="s">
        <v>2062</v>
      </c>
      <c r="D48" s="503" t="s">
        <v>2061</v>
      </c>
      <c r="E48" s="503" t="s">
        <v>2065</v>
      </c>
      <c r="F48" s="503" t="s">
        <v>2060</v>
      </c>
      <c r="G48" s="506" t="s">
        <v>2063</v>
      </c>
    </row>
    <row r="49" spans="1:7" ht="12.75" customHeight="1" x14ac:dyDescent="0.2">
      <c r="A49" s="29"/>
      <c r="B49" s="29"/>
      <c r="G49" s="393"/>
    </row>
    <row r="50" spans="1:7" x14ac:dyDescent="0.2">
      <c r="A50" s="29"/>
      <c r="B50" s="29"/>
    </row>
    <row r="51" spans="1:7" x14ac:dyDescent="0.2">
      <c r="A51" s="33" t="s">
        <v>2067</v>
      </c>
      <c r="B51" s="504"/>
      <c r="C51" s="504"/>
      <c r="D51" s="504"/>
      <c r="E51" s="504"/>
      <c r="F51" s="504"/>
      <c r="G51" s="384"/>
    </row>
    <row r="52" spans="1:7" x14ac:dyDescent="0.2">
      <c r="A52" s="505" t="s">
        <v>338</v>
      </c>
      <c r="B52" s="503" t="s">
        <v>2068</v>
      </c>
      <c r="C52" s="503" t="s">
        <v>2062</v>
      </c>
      <c r="D52" s="503" t="s">
        <v>2061</v>
      </c>
      <c r="E52" s="503" t="s">
        <v>2065</v>
      </c>
      <c r="F52" s="503" t="s">
        <v>2060</v>
      </c>
      <c r="G52" s="506" t="s">
        <v>2063</v>
      </c>
    </row>
    <row r="55" spans="1:7" x14ac:dyDescent="0.2">
      <c r="A55" s="27" t="s">
        <v>1944</v>
      </c>
      <c r="B55" s="852"/>
      <c r="C55" s="842"/>
      <c r="D55" s="842"/>
      <c r="E55" s="852"/>
      <c r="F55" s="842"/>
      <c r="G55" s="843"/>
    </row>
    <row r="58" spans="1:7" s="664" customFormat="1" x14ac:dyDescent="0.2">
      <c r="A58" s="661" t="s">
        <v>2494</v>
      </c>
      <c r="B58" s="662"/>
      <c r="C58" s="662"/>
      <c r="D58" s="662"/>
      <c r="E58" s="662"/>
      <c r="F58" s="662"/>
      <c r="G58" s="663"/>
    </row>
    <row r="59" spans="1:7" s="664" customFormat="1" x14ac:dyDescent="0.2">
      <c r="A59" s="665" t="s">
        <v>2495</v>
      </c>
      <c r="B59" s="666" t="s">
        <v>2496</v>
      </c>
      <c r="C59" s="666" t="s">
        <v>2497</v>
      </c>
      <c r="D59" s="666"/>
      <c r="E59" s="666"/>
      <c r="F59" s="666"/>
      <c r="G59" s="667"/>
    </row>
  </sheetData>
  <mergeCells count="16">
    <mergeCell ref="C21:G21"/>
    <mergeCell ref="B55:D55"/>
    <mergeCell ref="E55:G55"/>
    <mergeCell ref="C36:G36"/>
    <mergeCell ref="E44:G44"/>
    <mergeCell ref="F40:G40"/>
    <mergeCell ref="B44:D44"/>
    <mergeCell ref="C37:G37"/>
    <mergeCell ref="C19:G19"/>
    <mergeCell ref="C20:G20"/>
    <mergeCell ref="C13:G13"/>
    <mergeCell ref="C14:G14"/>
    <mergeCell ref="C15:G15"/>
    <mergeCell ref="C16:G16"/>
    <mergeCell ref="C17:G17"/>
    <mergeCell ref="C18:G18"/>
  </mergeCells>
  <phoneticPr fontId="0" type="noConversion"/>
  <dataValidations count="3">
    <dataValidation type="list" allowBlank="1" showInputMessage="1" showErrorMessage="1" sqref="B33:B34">
      <formula1>"Normal,Warning,Fatal"</formula1>
    </dataValidation>
    <dataValidation type="list" allowBlank="1" showInputMessage="1" showErrorMessage="1" sqref="B37">
      <formula1>"Clear,Encrypted,Hashed"</formula1>
    </dataValidation>
    <dataValidation type="list" allowBlank="1" showInputMessage="1" showErrorMessage="1" sqref="B3">
      <formula1>"Plan Info,Site Settings,Flat Data,Historical Data,Data Lookup Tables,Framework Lookup Tables, Calc Inputs,Reports,Batch Processes,Site Configuration"</formula1>
    </dataValidation>
  </dataValidations>
  <pageMargins left="0.75" right="0.75" top="1" bottom="1" header="0.5" footer="0.5"/>
  <pageSetup orientation="portrait" horizontalDpi="200" verticalDpi="200" r:id="rId1"/>
  <headerFooter alignWithMargins="0"/>
  <legacyDrawing r:id="rId2"/>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iteSettingsAdministration">
    <tabColor theme="1"/>
  </sheetPr>
  <dimension ref="A1:Q83"/>
  <sheetViews>
    <sheetView workbookViewId="0"/>
  </sheetViews>
  <sheetFormatPr defaultRowHeight="12.75" x14ac:dyDescent="0.2"/>
  <cols>
    <col min="1" max="1" width="41" customWidth="1"/>
    <col min="2" max="2" width="33.7109375" customWidth="1"/>
    <col min="3" max="3" width="21.5703125" customWidth="1"/>
    <col min="4" max="4" width="33.5703125" customWidth="1"/>
    <col min="5" max="5" width="20.28515625" customWidth="1"/>
    <col min="6" max="6" width="34.7109375" customWidth="1"/>
    <col min="7" max="7" width="61.5703125" customWidth="1"/>
  </cols>
  <sheetData>
    <row r="1" spans="1:17" s="3" customFormat="1" x14ac:dyDescent="0.2">
      <c r="A1" s="1" t="s">
        <v>1148</v>
      </c>
      <c r="B1" s="2"/>
    </row>
    <row r="2" spans="1:17" x14ac:dyDescent="0.2">
      <c r="A2" s="4" t="s">
        <v>422</v>
      </c>
      <c r="B2" s="5">
        <v>6</v>
      </c>
      <c r="C2" s="6"/>
      <c r="D2" s="6"/>
      <c r="E2" s="6"/>
      <c r="F2" s="6"/>
      <c r="G2" s="6"/>
      <c r="H2" s="6"/>
      <c r="I2" s="6"/>
      <c r="J2" s="6"/>
      <c r="K2" s="6"/>
      <c r="L2" s="6"/>
      <c r="M2" s="6"/>
      <c r="N2" s="6"/>
      <c r="O2" s="6"/>
      <c r="P2" s="6"/>
      <c r="Q2" s="7"/>
    </row>
    <row r="3" spans="1:17" x14ac:dyDescent="0.2">
      <c r="A3" s="8" t="s">
        <v>1149</v>
      </c>
      <c r="B3" s="9" t="s">
        <v>1269</v>
      </c>
      <c r="C3" s="10"/>
      <c r="D3" s="10"/>
      <c r="E3" s="10"/>
      <c r="F3" s="10"/>
      <c r="G3" s="10"/>
      <c r="H3" s="10"/>
      <c r="I3" s="10"/>
      <c r="J3" s="10"/>
      <c r="K3" s="10"/>
      <c r="L3" s="10"/>
      <c r="M3" s="10"/>
      <c r="N3" s="10"/>
      <c r="O3" s="10"/>
      <c r="P3" s="10"/>
      <c r="Q3" s="11"/>
    </row>
    <row r="4" spans="1:17" x14ac:dyDescent="0.2">
      <c r="A4" s="8" t="s">
        <v>1151</v>
      </c>
      <c r="B4" s="12" t="s">
        <v>2108</v>
      </c>
      <c r="C4" s="10"/>
      <c r="D4" s="10"/>
      <c r="E4" s="10"/>
      <c r="F4" s="10"/>
      <c r="G4" s="10"/>
      <c r="H4" s="10"/>
      <c r="I4" s="10"/>
      <c r="J4" s="10"/>
      <c r="K4" s="10"/>
      <c r="L4" s="10"/>
      <c r="M4" s="10"/>
      <c r="N4" s="10"/>
      <c r="O4" s="10"/>
      <c r="P4" s="10"/>
      <c r="Q4" s="11"/>
    </row>
    <row r="5" spans="1:17" x14ac:dyDescent="0.2">
      <c r="A5" s="13"/>
      <c r="B5" s="12" t="s">
        <v>2109</v>
      </c>
      <c r="C5" s="10"/>
      <c r="D5" s="10"/>
      <c r="E5" s="10"/>
      <c r="F5" s="10"/>
      <c r="G5" s="10"/>
      <c r="H5" s="10"/>
      <c r="I5" s="10"/>
      <c r="J5" s="10"/>
      <c r="K5" s="10"/>
      <c r="L5" s="10"/>
      <c r="M5" s="10"/>
      <c r="N5" s="10"/>
      <c r="O5" s="10"/>
      <c r="P5" s="10"/>
      <c r="Q5" s="11"/>
    </row>
    <row r="6" spans="1:17" x14ac:dyDescent="0.2">
      <c r="A6" s="13"/>
      <c r="B6" s="12" t="s">
        <v>2110</v>
      </c>
      <c r="C6" s="10"/>
      <c r="D6" s="10"/>
      <c r="E6" s="10"/>
      <c r="F6" s="10"/>
      <c r="G6" s="10"/>
      <c r="H6" s="10"/>
      <c r="I6" s="10"/>
      <c r="J6" s="10"/>
      <c r="K6" s="10"/>
      <c r="L6" s="10"/>
      <c r="M6" s="10"/>
      <c r="N6" s="10"/>
      <c r="O6" s="10"/>
      <c r="P6" s="10"/>
      <c r="Q6" s="11"/>
    </row>
    <row r="7" spans="1:17" x14ac:dyDescent="0.2">
      <c r="A7" s="13"/>
      <c r="B7" s="12" t="s">
        <v>2111</v>
      </c>
      <c r="C7" s="10"/>
      <c r="D7" s="10"/>
      <c r="E7" s="10"/>
      <c r="F7" s="10"/>
      <c r="G7" s="10"/>
      <c r="H7" s="10"/>
      <c r="I7" s="10"/>
      <c r="J7" s="10"/>
      <c r="K7" s="10"/>
      <c r="L7" s="10"/>
      <c r="M7" s="10"/>
      <c r="N7" s="10"/>
      <c r="O7" s="10"/>
      <c r="P7" s="10"/>
      <c r="Q7" s="11"/>
    </row>
    <row r="8" spans="1:17" x14ac:dyDescent="0.2">
      <c r="A8" s="13"/>
      <c r="B8" s="12" t="s">
        <v>2112</v>
      </c>
      <c r="C8" s="10"/>
      <c r="D8" s="10"/>
      <c r="E8" s="10"/>
      <c r="F8" s="10"/>
      <c r="G8" s="10"/>
      <c r="H8" s="10"/>
      <c r="I8" s="10"/>
      <c r="J8" s="10"/>
      <c r="K8" s="10"/>
      <c r="L8" s="10"/>
      <c r="M8" s="10"/>
      <c r="N8" s="10"/>
      <c r="O8" s="10"/>
      <c r="P8" s="10"/>
      <c r="Q8" s="11"/>
    </row>
    <row r="9" spans="1:17" x14ac:dyDescent="0.2">
      <c r="A9" s="13"/>
      <c r="B9" s="12" t="s">
        <v>2113</v>
      </c>
      <c r="C9" s="10"/>
      <c r="D9" s="10"/>
      <c r="E9" s="10"/>
      <c r="F9" s="10"/>
      <c r="G9" s="10"/>
      <c r="H9" s="10"/>
      <c r="I9" s="10"/>
      <c r="J9" s="10"/>
      <c r="K9" s="10"/>
      <c r="L9" s="10"/>
      <c r="M9" s="10"/>
      <c r="N9" s="10"/>
      <c r="O9" s="10"/>
      <c r="P9" s="10"/>
      <c r="Q9" s="11"/>
    </row>
    <row r="10" spans="1:17" x14ac:dyDescent="0.2">
      <c r="A10" s="13"/>
      <c r="B10" s="12"/>
      <c r="C10" s="10"/>
      <c r="D10" s="10"/>
      <c r="E10" s="10"/>
      <c r="F10" s="10"/>
      <c r="G10" s="10"/>
      <c r="H10" s="10"/>
      <c r="I10" s="10"/>
      <c r="J10" s="10"/>
      <c r="K10" s="10"/>
      <c r="L10" s="10"/>
      <c r="M10" s="10"/>
      <c r="N10" s="10"/>
      <c r="O10" s="10"/>
      <c r="P10" s="10"/>
      <c r="Q10" s="11"/>
    </row>
    <row r="11" spans="1:17" x14ac:dyDescent="0.2">
      <c r="A11" s="22"/>
      <c r="B11" s="23"/>
      <c r="C11" s="23"/>
      <c r="D11" s="23"/>
      <c r="E11" s="23"/>
      <c r="F11" s="23"/>
      <c r="G11" s="23"/>
      <c r="H11" s="23"/>
      <c r="I11" s="23"/>
      <c r="J11" s="23"/>
      <c r="K11" s="23"/>
      <c r="L11" s="23"/>
      <c r="M11" s="23"/>
      <c r="N11" s="23"/>
      <c r="O11" s="23"/>
      <c r="P11" s="23"/>
      <c r="Q11" s="24"/>
    </row>
    <row r="12" spans="1:17" x14ac:dyDescent="0.2">
      <c r="A12" s="25"/>
      <c r="B12" s="26"/>
    </row>
    <row r="13" spans="1:17" x14ac:dyDescent="0.2">
      <c r="A13" s="27" t="s">
        <v>1109</v>
      </c>
      <c r="B13" s="358" t="s">
        <v>859</v>
      </c>
      <c r="C13" s="852" t="s">
        <v>1151</v>
      </c>
      <c r="D13" s="842"/>
      <c r="E13" s="842"/>
      <c r="F13" s="842"/>
      <c r="G13" s="843"/>
    </row>
    <row r="14" spans="1:17" x14ac:dyDescent="0.2">
      <c r="A14" s="377" t="s">
        <v>170</v>
      </c>
      <c r="B14" s="499" t="str">
        <f>Localization!B404</f>
        <v>Arizona Igloo Pension Administration</v>
      </c>
      <c r="C14" s="857" t="s">
        <v>1112</v>
      </c>
      <c r="D14" s="860"/>
      <c r="E14" s="860"/>
      <c r="F14" s="860"/>
      <c r="G14" s="860"/>
    </row>
    <row r="15" spans="1:17" x14ac:dyDescent="0.2">
      <c r="A15" s="355" t="s">
        <v>164</v>
      </c>
      <c r="B15" s="502" t="s">
        <v>706</v>
      </c>
      <c r="C15" s="856" t="s">
        <v>1113</v>
      </c>
      <c r="D15" s="859"/>
      <c r="E15" s="859"/>
      <c r="F15" s="859"/>
      <c r="G15" s="859"/>
    </row>
    <row r="16" spans="1:17" x14ac:dyDescent="0.2">
      <c r="A16" s="355" t="s">
        <v>165</v>
      </c>
      <c r="B16" s="502" t="s">
        <v>1502</v>
      </c>
      <c r="C16" s="856" t="s">
        <v>1110</v>
      </c>
      <c r="D16" s="859"/>
      <c r="E16" s="859"/>
      <c r="F16" s="859"/>
      <c r="G16" s="859"/>
    </row>
    <row r="17" spans="1:7" x14ac:dyDescent="0.2">
      <c r="A17" s="377" t="s">
        <v>166</v>
      </c>
      <c r="B17" s="499" t="s">
        <v>2258</v>
      </c>
      <c r="C17" s="856" t="s">
        <v>1111</v>
      </c>
      <c r="D17" s="859"/>
      <c r="E17" s="859"/>
      <c r="F17" s="859"/>
      <c r="G17" s="859"/>
    </row>
    <row r="18" spans="1:7" x14ac:dyDescent="0.2">
      <c r="A18" s="377" t="s">
        <v>167</v>
      </c>
      <c r="B18" s="499" t="s">
        <v>171</v>
      </c>
      <c r="C18" s="856" t="s">
        <v>2054</v>
      </c>
      <c r="D18" s="859"/>
      <c r="E18" s="859"/>
      <c r="F18" s="859"/>
      <c r="G18" s="859"/>
    </row>
    <row r="19" spans="1:7" x14ac:dyDescent="0.2">
      <c r="A19" s="377" t="s">
        <v>259</v>
      </c>
      <c r="B19" s="499" t="s">
        <v>1282</v>
      </c>
      <c r="C19" s="856" t="s">
        <v>1114</v>
      </c>
      <c r="D19" s="859"/>
      <c r="E19" s="859"/>
      <c r="F19" s="859"/>
      <c r="G19" s="859"/>
    </row>
    <row r="20" spans="1:7" x14ac:dyDescent="0.2">
      <c r="A20" s="377" t="s">
        <v>169</v>
      </c>
      <c r="B20" s="499" t="s">
        <v>1696</v>
      </c>
      <c r="C20" s="856" t="s">
        <v>1115</v>
      </c>
      <c r="D20" s="859"/>
      <c r="E20" s="859"/>
      <c r="F20" s="859"/>
      <c r="G20" s="859"/>
    </row>
    <row r="21" spans="1:7" x14ac:dyDescent="0.2">
      <c r="A21" s="377" t="s">
        <v>168</v>
      </c>
      <c r="B21" s="499" t="b">
        <v>1</v>
      </c>
      <c r="C21" s="856" t="s">
        <v>1116</v>
      </c>
      <c r="D21" s="859"/>
      <c r="E21" s="859"/>
      <c r="F21" s="859"/>
      <c r="G21" s="859"/>
    </row>
    <row r="22" spans="1:7" x14ac:dyDescent="0.2">
      <c r="A22" s="31" t="s">
        <v>1375</v>
      </c>
      <c r="B22" t="str">
        <f>[2]!GetProfileString("name-last")&amp;", "&amp;[2]!GetProfileString("name-first")</f>
        <v>Sample, John</v>
      </c>
      <c r="C22" t="s">
        <v>2275</v>
      </c>
    </row>
    <row r="23" spans="1:7" x14ac:dyDescent="0.2">
      <c r="A23" s="31" t="s">
        <v>2241</v>
      </c>
      <c r="B23" t="str">
        <f>[2]!GetProfileString("name-first")&amp;" "&amp;[2]!GetProfileString("name-last")</f>
        <v>John Sample</v>
      </c>
      <c r="C23" t="s">
        <v>2285</v>
      </c>
    </row>
    <row r="24" spans="1:7" x14ac:dyDescent="0.2">
      <c r="A24" s="31" t="s">
        <v>248</v>
      </c>
      <c r="B24" t="s">
        <v>249</v>
      </c>
      <c r="C24" t="s">
        <v>2276</v>
      </c>
    </row>
    <row r="25" spans="1:7" x14ac:dyDescent="0.2">
      <c r="A25" s="31" t="s">
        <v>251</v>
      </c>
      <c r="B25" t="s">
        <v>249</v>
      </c>
      <c r="C25" t="s">
        <v>2277</v>
      </c>
    </row>
    <row r="26" spans="1:7" x14ac:dyDescent="0.2">
      <c r="A26" s="31" t="s">
        <v>250</v>
      </c>
      <c r="B26" t="s">
        <v>249</v>
      </c>
      <c r="C26" t="s">
        <v>2278</v>
      </c>
    </row>
    <row r="27" spans="1:7" x14ac:dyDescent="0.2">
      <c r="A27" s="31" t="s">
        <v>2316</v>
      </c>
      <c r="B27" t="b">
        <v>0</v>
      </c>
      <c r="C27" s="29" t="s">
        <v>2317</v>
      </c>
    </row>
    <row r="28" spans="1:7" x14ac:dyDescent="0.2">
      <c r="A28" s="31"/>
    </row>
    <row r="29" spans="1:7" x14ac:dyDescent="0.2">
      <c r="A29" s="33" t="s">
        <v>1942</v>
      </c>
      <c r="B29" s="504"/>
      <c r="C29" s="504"/>
      <c r="D29" s="504"/>
      <c r="E29" s="504"/>
      <c r="F29" s="504"/>
      <c r="G29" s="384"/>
    </row>
    <row r="30" spans="1:7" x14ac:dyDescent="0.2">
      <c r="A30" s="35" t="s">
        <v>930</v>
      </c>
      <c r="B30" s="36" t="s">
        <v>337</v>
      </c>
      <c r="C30" s="36" t="s">
        <v>634</v>
      </c>
      <c r="D30" s="36" t="s">
        <v>1943</v>
      </c>
      <c r="E30" s="36"/>
      <c r="F30" s="503"/>
      <c r="G30" s="506"/>
    </row>
    <row r="33" spans="1:10" x14ac:dyDescent="0.2">
      <c r="A33" s="33" t="s">
        <v>2453</v>
      </c>
      <c r="B33" s="504"/>
      <c r="C33" s="504"/>
      <c r="D33" s="504"/>
      <c r="E33" s="504"/>
      <c r="F33" s="504"/>
      <c r="G33" s="384"/>
    </row>
    <row r="34" spans="1:10" x14ac:dyDescent="0.2">
      <c r="A34" s="35" t="s">
        <v>930</v>
      </c>
      <c r="B34" s="36" t="s">
        <v>2485</v>
      </c>
      <c r="C34" s="36" t="s">
        <v>2454</v>
      </c>
      <c r="D34" s="36" t="s">
        <v>2469</v>
      </c>
      <c r="E34" s="36" t="s">
        <v>2455</v>
      </c>
      <c r="F34" s="36" t="s">
        <v>2456</v>
      </c>
      <c r="G34" s="506" t="s">
        <v>2457</v>
      </c>
    </row>
    <row r="37" spans="1:10" x14ac:dyDescent="0.2">
      <c r="A37" s="33" t="s">
        <v>2149</v>
      </c>
      <c r="B37" s="504"/>
      <c r="C37" s="504"/>
      <c r="D37" s="504"/>
      <c r="E37" s="504"/>
      <c r="F37" s="504"/>
      <c r="G37" s="504"/>
      <c r="H37" s="504"/>
      <c r="I37" s="504"/>
      <c r="J37" s="384"/>
    </row>
    <row r="38" spans="1:10" ht="38.25" x14ac:dyDescent="0.2">
      <c r="A38" s="563" t="s">
        <v>2244</v>
      </c>
      <c r="B38" s="564" t="s">
        <v>337</v>
      </c>
      <c r="C38" s="564" t="s">
        <v>2245</v>
      </c>
      <c r="D38" s="564" t="s">
        <v>2246</v>
      </c>
      <c r="E38" s="564" t="s">
        <v>638</v>
      </c>
      <c r="F38" s="564" t="s">
        <v>448</v>
      </c>
      <c r="G38" s="564" t="s">
        <v>1940</v>
      </c>
      <c r="H38" s="564" t="s">
        <v>1941</v>
      </c>
      <c r="I38" s="564" t="s">
        <v>2146</v>
      </c>
      <c r="J38" s="565" t="s">
        <v>2247</v>
      </c>
    </row>
    <row r="39" spans="1:10" x14ac:dyDescent="0.2">
      <c r="A39" s="31" t="s">
        <v>2324</v>
      </c>
      <c r="B39" t="str">
        <f>[2]!GetProfileString("name-first")&amp;" " &amp;[2]!GetProfileString("name-last")</f>
        <v>John Sample</v>
      </c>
      <c r="C39" t="b">
        <f>[2]!GetProfileString("status","Status",,"Last")="AC"</f>
        <v>1</v>
      </c>
      <c r="D39" s="44"/>
      <c r="E39" t="str">
        <f>[2]!PadLeft([2]!ToString([2]!GetProfileNumber("ssn")),9,"0")</f>
        <v>123456789</v>
      </c>
      <c r="F39" t="str">
        <f>RIGHT([2]!PadLeft([2]!ToString([2]!GetProfileNumber("ssn")),4,"0"),4)&amp;YEAR([2]!GetProfileDate("date-birth"))</f>
        <v>67891973</v>
      </c>
      <c r="I39" t="b">
        <v>0</v>
      </c>
    </row>
    <row r="40" spans="1:10" x14ac:dyDescent="0.2">
      <c r="A40" s="31"/>
      <c r="D40" s="44"/>
    </row>
    <row r="41" spans="1:10" x14ac:dyDescent="0.2">
      <c r="A41" s="31"/>
    </row>
    <row r="42" spans="1:10" x14ac:dyDescent="0.2">
      <c r="A42" s="33" t="s">
        <v>2162</v>
      </c>
      <c r="B42" s="504"/>
      <c r="C42" s="504"/>
      <c r="D42" s="504"/>
      <c r="E42" s="504"/>
      <c r="F42" s="504"/>
      <c r="G42" s="384"/>
    </row>
    <row r="43" spans="1:10" x14ac:dyDescent="0.2">
      <c r="A43" s="35" t="s">
        <v>337</v>
      </c>
      <c r="B43" s="36" t="s">
        <v>2070</v>
      </c>
      <c r="C43" s="36"/>
      <c r="D43" s="36"/>
      <c r="E43" s="36"/>
      <c r="F43" s="503"/>
      <c r="G43" s="506"/>
    </row>
    <row r="44" spans="1:10" x14ac:dyDescent="0.2">
      <c r="A44" s="31" t="str">
        <f>Localization!B402</f>
        <v>Actives</v>
      </c>
      <c r="B44" t="b">
        <f>[2]!GetProfileString("status","Status",,"Last")="AC"</f>
        <v>1</v>
      </c>
    </row>
    <row r="45" spans="1:10" x14ac:dyDescent="0.2">
      <c r="A45" s="31"/>
    </row>
    <row r="47" spans="1:10" x14ac:dyDescent="0.2">
      <c r="A47" s="33" t="s">
        <v>2286</v>
      </c>
      <c r="B47" s="568"/>
      <c r="C47" s="504"/>
      <c r="D47" s="568"/>
      <c r="E47" s="568"/>
      <c r="F47" s="568"/>
      <c r="G47" s="569"/>
    </row>
    <row r="48" spans="1:10" x14ac:dyDescent="0.2">
      <c r="A48" s="35" t="s">
        <v>542</v>
      </c>
      <c r="B48" s="37" t="s">
        <v>2291</v>
      </c>
      <c r="C48" s="37" t="s">
        <v>1697</v>
      </c>
      <c r="D48" s="503"/>
      <c r="E48" s="503"/>
      <c r="F48" s="503"/>
      <c r="G48" s="506"/>
    </row>
    <row r="49" spans="1:7" x14ac:dyDescent="0.2">
      <c r="A49" s="355" t="b">
        <f>[2]!GetProfileString("code-bad-data")="Y"</f>
        <v>0</v>
      </c>
      <c r="B49" s="567" t="s">
        <v>2069</v>
      </c>
      <c r="C49" s="502" t="str">
        <f>Localization!B406</f>
        <v>This participant currently has 'incorrect' data assigned to them (Initial Data Is Bad flag = Y).</v>
      </c>
      <c r="D49" s="357"/>
      <c r="E49" s="357"/>
      <c r="F49" s="357"/>
      <c r="G49" s="357"/>
    </row>
    <row r="50" spans="1:7" x14ac:dyDescent="0.2">
      <c r="A50" s="496"/>
      <c r="B50" s="567"/>
      <c r="C50" s="497"/>
      <c r="D50" s="356"/>
      <c r="E50" s="356"/>
      <c r="F50" s="356"/>
      <c r="G50" s="356"/>
    </row>
    <row r="51" spans="1:7" x14ac:dyDescent="0.2">
      <c r="A51" s="33" t="s">
        <v>1108</v>
      </c>
      <c r="B51" s="504"/>
      <c r="C51" s="504"/>
      <c r="D51" s="504"/>
      <c r="E51" s="504"/>
      <c r="F51" s="504"/>
      <c r="G51" s="384"/>
    </row>
    <row r="52" spans="1:7" x14ac:dyDescent="0.2">
      <c r="A52" s="35" t="s">
        <v>2105</v>
      </c>
      <c r="B52" s="37" t="s">
        <v>859</v>
      </c>
      <c r="C52" s="854" t="s">
        <v>1151</v>
      </c>
      <c r="D52" s="845"/>
      <c r="E52" s="845"/>
      <c r="F52" s="845"/>
      <c r="G52" s="861"/>
    </row>
    <row r="53" spans="1:7" x14ac:dyDescent="0.2">
      <c r="A53" s="498"/>
      <c r="B53" s="355"/>
      <c r="C53" s="856"/>
      <c r="D53" s="859"/>
      <c r="E53" s="859"/>
      <c r="F53" s="859"/>
      <c r="G53" s="859"/>
    </row>
    <row r="54" spans="1:7" x14ac:dyDescent="0.2">
      <c r="A54" s="29"/>
      <c r="B54" s="29"/>
    </row>
    <row r="55" spans="1:7" x14ac:dyDescent="0.2">
      <c r="A55" s="33" t="s">
        <v>2056</v>
      </c>
      <c r="B55" s="504"/>
      <c r="C55" s="504"/>
      <c r="D55" s="504"/>
      <c r="E55" s="504"/>
      <c r="F55" s="504"/>
      <c r="G55" s="384"/>
    </row>
    <row r="56" spans="1:7" x14ac:dyDescent="0.2">
      <c r="A56" s="35" t="s">
        <v>1681</v>
      </c>
      <c r="B56" s="36" t="s">
        <v>356</v>
      </c>
      <c r="C56" s="36" t="s">
        <v>2057</v>
      </c>
      <c r="D56" s="36" t="s">
        <v>2058</v>
      </c>
      <c r="E56" s="36" t="s">
        <v>2059</v>
      </c>
      <c r="F56" s="854" t="s">
        <v>868</v>
      </c>
      <c r="G56" s="861"/>
    </row>
    <row r="57" spans="1:7" x14ac:dyDescent="0.2">
      <c r="B57" s="355"/>
    </row>
    <row r="59" spans="1:7" x14ac:dyDescent="0.2">
      <c r="A59" s="33" t="s">
        <v>2055</v>
      </c>
      <c r="B59" s="504"/>
      <c r="C59" s="504"/>
      <c r="D59" s="504"/>
      <c r="E59" s="504"/>
      <c r="F59" s="504"/>
      <c r="G59" s="384"/>
    </row>
    <row r="60" spans="1:7" x14ac:dyDescent="0.2">
      <c r="A60" s="35" t="s">
        <v>2106</v>
      </c>
      <c r="B60" s="854" t="s">
        <v>1697</v>
      </c>
      <c r="C60" s="845"/>
      <c r="D60" s="845"/>
      <c r="E60" s="854"/>
      <c r="F60" s="845"/>
      <c r="G60" s="861"/>
    </row>
    <row r="63" spans="1:7" x14ac:dyDescent="0.2">
      <c r="A63" s="33" t="s">
        <v>2064</v>
      </c>
      <c r="B63" s="504"/>
      <c r="C63" s="504"/>
      <c r="D63" s="504"/>
      <c r="E63" s="504"/>
      <c r="F63" s="504"/>
      <c r="G63" s="384"/>
    </row>
    <row r="64" spans="1:7" x14ac:dyDescent="0.2">
      <c r="A64" s="505" t="s">
        <v>2107</v>
      </c>
      <c r="B64" s="503" t="s">
        <v>2066</v>
      </c>
      <c r="C64" s="503" t="s">
        <v>2062</v>
      </c>
      <c r="D64" s="503" t="s">
        <v>2061</v>
      </c>
      <c r="E64" s="503" t="s">
        <v>2065</v>
      </c>
      <c r="F64" s="503" t="s">
        <v>2060</v>
      </c>
      <c r="G64" s="506" t="s">
        <v>2063</v>
      </c>
    </row>
    <row r="65" spans="1:7" ht="12.75" customHeight="1" x14ac:dyDescent="0.2">
      <c r="A65" s="29"/>
      <c r="B65" s="29"/>
      <c r="G65" s="393"/>
    </row>
    <row r="66" spans="1:7" x14ac:dyDescent="0.2">
      <c r="A66" s="29"/>
      <c r="B66" s="29"/>
    </row>
    <row r="67" spans="1:7" x14ac:dyDescent="0.2">
      <c r="A67" s="33" t="s">
        <v>2067</v>
      </c>
      <c r="B67" s="504"/>
      <c r="C67" s="504"/>
      <c r="D67" s="504"/>
      <c r="E67" s="504"/>
      <c r="F67" s="504"/>
      <c r="G67" s="384"/>
    </row>
    <row r="68" spans="1:7" x14ac:dyDescent="0.2">
      <c r="A68" s="505" t="s">
        <v>338</v>
      </c>
      <c r="B68" s="503" t="s">
        <v>2068</v>
      </c>
      <c r="C68" s="503" t="s">
        <v>2062</v>
      </c>
      <c r="D68" s="503" t="s">
        <v>2061</v>
      </c>
      <c r="E68" s="503" t="s">
        <v>2065</v>
      </c>
      <c r="F68" s="503" t="s">
        <v>2060</v>
      </c>
      <c r="G68" s="506" t="s">
        <v>2063</v>
      </c>
    </row>
    <row r="69" spans="1:7" ht="12.75" customHeight="1" x14ac:dyDescent="0.2">
      <c r="A69" s="31"/>
      <c r="E69" s="106"/>
      <c r="G69" s="393"/>
    </row>
    <row r="71" spans="1:7" x14ac:dyDescent="0.2">
      <c r="A71" s="27" t="s">
        <v>1944</v>
      </c>
      <c r="B71" s="852"/>
      <c r="C71" s="842"/>
      <c r="D71" s="842"/>
      <c r="E71" s="852"/>
      <c r="F71" s="842"/>
      <c r="G71" s="843"/>
    </row>
    <row r="74" spans="1:7" s="664" customFormat="1" x14ac:dyDescent="0.2">
      <c r="A74" s="661" t="s">
        <v>2494</v>
      </c>
      <c r="B74" s="662"/>
      <c r="C74" s="662"/>
      <c r="D74" s="662"/>
      <c r="E74" s="663"/>
      <c r="F74"/>
      <c r="G74"/>
    </row>
    <row r="75" spans="1:7" s="664" customFormat="1" x14ac:dyDescent="0.2">
      <c r="A75" s="665" t="s">
        <v>2495</v>
      </c>
      <c r="B75" s="666" t="s">
        <v>2503</v>
      </c>
      <c r="C75" s="666" t="s">
        <v>2504</v>
      </c>
      <c r="D75" s="666"/>
      <c r="E75" s="667"/>
      <c r="F75"/>
      <c r="G75"/>
    </row>
    <row r="78" spans="1:7" x14ac:dyDescent="0.2">
      <c r="A78" s="33" t="s">
        <v>2612</v>
      </c>
      <c r="B78" s="504"/>
      <c r="C78" s="504"/>
      <c r="D78" s="504"/>
      <c r="E78" s="384"/>
    </row>
    <row r="79" spans="1:7" x14ac:dyDescent="0.2">
      <c r="A79" s="35" t="s">
        <v>930</v>
      </c>
      <c r="B79" s="36" t="s">
        <v>170</v>
      </c>
      <c r="C79" s="36" t="s">
        <v>2621</v>
      </c>
      <c r="D79" s="36" t="s">
        <v>2620</v>
      </c>
      <c r="E79" s="506" t="s">
        <v>2618</v>
      </c>
    </row>
    <row r="82" spans="1:5" x14ac:dyDescent="0.2">
      <c r="A82" s="33" t="s">
        <v>2929</v>
      </c>
      <c r="B82" s="504"/>
      <c r="C82" s="504"/>
      <c r="D82" s="504"/>
      <c r="E82" s="384"/>
    </row>
    <row r="83" spans="1:5" x14ac:dyDescent="0.2">
      <c r="A83" s="35" t="s">
        <v>2930</v>
      </c>
      <c r="B83" s="36" t="s">
        <v>2931</v>
      </c>
      <c r="C83" s="36"/>
      <c r="D83" s="36"/>
      <c r="E83" s="506"/>
    </row>
  </sheetData>
  <mergeCells count="16">
    <mergeCell ref="C17:G17"/>
    <mergeCell ref="C18:G18"/>
    <mergeCell ref="C19:G19"/>
    <mergeCell ref="C20:G20"/>
    <mergeCell ref="C13:G13"/>
    <mergeCell ref="C14:G14"/>
    <mergeCell ref="C15:G15"/>
    <mergeCell ref="C16:G16"/>
    <mergeCell ref="C21:G21"/>
    <mergeCell ref="B71:D71"/>
    <mergeCell ref="E71:G71"/>
    <mergeCell ref="C52:G52"/>
    <mergeCell ref="E60:G60"/>
    <mergeCell ref="F56:G56"/>
    <mergeCell ref="B60:D60"/>
    <mergeCell ref="C53:G53"/>
  </mergeCells>
  <phoneticPr fontId="0" type="noConversion"/>
  <dataValidations count="4">
    <dataValidation type="list" allowBlank="1" showInputMessage="1" showErrorMessage="1" sqref="B49:B50">
      <formula1>"Normal,Warning,Fatal"</formula1>
    </dataValidation>
    <dataValidation type="list" allowBlank="1" showInputMessage="1" showErrorMessage="1" sqref="B53">
      <formula1>"Clear,Encrypted,Hashed"</formula1>
    </dataValidation>
    <dataValidation type="list" allowBlank="1" showInputMessage="1" showErrorMessage="1" sqref="B24:B26">
      <formula1>"Never,Monthly,Quarterly,Annually,KeepLast10"</formula1>
    </dataValidation>
    <dataValidation type="list" allowBlank="1" showInputMessage="1" showErrorMessage="1" sqref="B3">
      <formula1>"Plan Info,Site Settings,Flat Data,Historical Data,Data Lookup Tables,Framework Lookup Tables, Calc Inputs,Reports,Batch Processes,Site Configuration"</formula1>
    </dataValidation>
  </dataValidations>
  <pageMargins left="0.75" right="0.75" top="1" bottom="1" header="0.5" footer="0.5"/>
  <pageSetup orientation="portrait" horizontalDpi="200" verticalDpi="200" r:id="rId1"/>
  <headerFooter alignWithMargins="0"/>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BLInfo"/>
  <dimension ref="A1:D10"/>
  <sheetViews>
    <sheetView workbookViewId="0"/>
  </sheetViews>
  <sheetFormatPr defaultRowHeight="12.75" x14ac:dyDescent="0.2"/>
  <cols>
    <col min="1" max="1" width="19.5703125" bestFit="1" customWidth="1"/>
    <col min="2" max="2" width="58.85546875" customWidth="1"/>
    <col min="3" max="3" width="12" customWidth="1"/>
  </cols>
  <sheetData>
    <row r="1" spans="1:4" x14ac:dyDescent="0.2">
      <c r="A1" s="27" t="s">
        <v>257</v>
      </c>
      <c r="B1" s="28"/>
    </row>
    <row r="2" spans="1:4" x14ac:dyDescent="0.2">
      <c r="A2" s="29" t="s">
        <v>1219</v>
      </c>
      <c r="B2" s="29" t="str">
        <f ca="1">CELL("filename")</f>
        <v>C:\BTR\Source\Extensibility\BTR.Extensibility.Excel\Resources\[RBL.Template.xlsx]Docs - Formula Helpers</v>
      </c>
    </row>
    <row r="3" spans="1:4" x14ac:dyDescent="0.2">
      <c r="A3" s="29" t="s">
        <v>1149</v>
      </c>
      <c r="B3" s="29" t="s">
        <v>455</v>
      </c>
    </row>
    <row r="4" spans="1:4" x14ac:dyDescent="0.2">
      <c r="A4" s="29" t="s">
        <v>2050</v>
      </c>
      <c r="B4" s="30">
        <v>1</v>
      </c>
    </row>
    <row r="5" spans="1:4" x14ac:dyDescent="0.2">
      <c r="A5" s="31" t="s">
        <v>2653</v>
      </c>
      <c r="B5" s="106" t="s">
        <v>2652</v>
      </c>
    </row>
    <row r="6" spans="1:4" x14ac:dyDescent="0.2">
      <c r="A6" t="s">
        <v>2649</v>
      </c>
      <c r="B6" s="106" t="s">
        <v>2650</v>
      </c>
    </row>
    <row r="7" spans="1:4" x14ac:dyDescent="0.2">
      <c r="B7" s="106" t="s">
        <v>2651</v>
      </c>
    </row>
    <row r="9" spans="1:4" s="40" customFormat="1" x14ac:dyDescent="0.2">
      <c r="A9" s="33" t="s">
        <v>2049</v>
      </c>
      <c r="B9" s="39"/>
    </row>
    <row r="10" spans="1:4" s="42" customFormat="1" x14ac:dyDescent="0.2">
      <c r="A10" s="41" t="s">
        <v>2050</v>
      </c>
      <c r="B10" s="37" t="s">
        <v>2051</v>
      </c>
      <c r="C10" s="36" t="s">
        <v>2052</v>
      </c>
      <c r="D10" s="36" t="s">
        <v>1151</v>
      </c>
    </row>
  </sheetData>
  <phoneticPr fontId="0" type="noConversion"/>
  <dataValidations count="1">
    <dataValidation type="list" allowBlank="1" showInputMessage="1" showErrorMessage="1" sqref="B3">
      <formula1>"RBL Framework SpreadEngine™ Information"</formula1>
    </dataValidation>
  </dataValidations>
  <hyperlinks>
    <hyperlink ref="B5" r:id="rId1"/>
    <hyperlink ref="B6" r:id="rId2"/>
    <hyperlink ref="B7" r:id="rId3"/>
  </hyperlinks>
  <pageMargins left="0.75" right="0.75" top="1" bottom="1" header="0.5" footer="0.5"/>
  <headerFooter alignWithMargins="0"/>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ocsFormulaHelpers">
    <tabColor theme="1"/>
  </sheetPr>
  <dimension ref="A1:Q94"/>
  <sheetViews>
    <sheetView workbookViewId="0">
      <selection activeCell="A30" sqref="A30"/>
    </sheetView>
  </sheetViews>
  <sheetFormatPr defaultRowHeight="12.75" x14ac:dyDescent="0.2"/>
  <cols>
    <col min="1" max="1" width="26" customWidth="1"/>
    <col min="17" max="17" width="24.5703125" customWidth="1"/>
  </cols>
  <sheetData>
    <row r="1" spans="1:17" s="3" customFormat="1" x14ac:dyDescent="0.2">
      <c r="A1" s="1" t="s">
        <v>1148</v>
      </c>
      <c r="B1" s="2"/>
    </row>
    <row r="2" spans="1:17" x14ac:dyDescent="0.2">
      <c r="A2" s="4" t="s">
        <v>422</v>
      </c>
      <c r="B2" s="5">
        <v>6</v>
      </c>
      <c r="C2" s="6"/>
      <c r="D2" s="6"/>
      <c r="E2" s="6"/>
      <c r="F2" s="6"/>
      <c r="G2" s="6"/>
      <c r="H2" s="6"/>
      <c r="I2" s="6"/>
      <c r="J2" s="6"/>
      <c r="K2" s="6"/>
      <c r="L2" s="6"/>
      <c r="M2" s="6"/>
      <c r="N2" s="6"/>
      <c r="O2" s="6"/>
      <c r="P2" s="6"/>
      <c r="Q2" s="7"/>
    </row>
    <row r="3" spans="1:17" x14ac:dyDescent="0.2">
      <c r="A3" s="8" t="s">
        <v>1149</v>
      </c>
      <c r="B3" s="9" t="s">
        <v>14</v>
      </c>
      <c r="C3" s="10"/>
      <c r="D3" s="10"/>
      <c r="E3" s="10"/>
      <c r="F3" s="10"/>
      <c r="G3" s="10"/>
      <c r="H3" s="10"/>
      <c r="I3" s="10"/>
      <c r="J3" s="10"/>
      <c r="K3" s="10"/>
      <c r="L3" s="10"/>
      <c r="M3" s="10"/>
      <c r="N3" s="10"/>
      <c r="O3" s="10"/>
      <c r="P3" s="10"/>
      <c r="Q3" s="11"/>
    </row>
    <row r="4" spans="1:17" x14ac:dyDescent="0.2">
      <c r="A4" s="8" t="s">
        <v>1151</v>
      </c>
      <c r="B4" s="12" t="s">
        <v>690</v>
      </c>
      <c r="C4" s="10"/>
      <c r="D4" s="10"/>
      <c r="E4" s="10"/>
      <c r="F4" s="10"/>
      <c r="G4" s="10"/>
      <c r="H4" s="10"/>
      <c r="I4" s="10"/>
      <c r="J4" s="10"/>
      <c r="K4" s="10"/>
      <c r="L4" s="10"/>
      <c r="M4" s="10"/>
      <c r="N4" s="10"/>
      <c r="O4" s="10"/>
      <c r="P4" s="10"/>
      <c r="Q4" s="11"/>
    </row>
    <row r="5" spans="1:17" x14ac:dyDescent="0.2">
      <c r="A5" s="13"/>
      <c r="B5" s="12" t="s">
        <v>691</v>
      </c>
      <c r="C5" s="10"/>
      <c r="D5" s="10"/>
      <c r="E5" s="10"/>
      <c r="F5" s="10"/>
      <c r="G5" s="10"/>
      <c r="H5" s="10"/>
      <c r="I5" s="10"/>
      <c r="J5" s="10"/>
      <c r="K5" s="10"/>
      <c r="L5" s="10"/>
      <c r="M5" s="10"/>
      <c r="N5" s="10"/>
      <c r="O5" s="10"/>
      <c r="P5" s="10"/>
      <c r="Q5" s="11"/>
    </row>
    <row r="6" spans="1:17" x14ac:dyDescent="0.2">
      <c r="A6" s="14"/>
      <c r="B6" s="10"/>
      <c r="C6" s="10"/>
      <c r="D6" s="10"/>
      <c r="E6" s="10"/>
      <c r="F6" s="10"/>
      <c r="G6" s="10"/>
      <c r="H6" s="10"/>
      <c r="I6" s="10"/>
      <c r="J6" s="10"/>
      <c r="K6" s="10"/>
      <c r="L6" s="10"/>
      <c r="M6" s="10"/>
      <c r="N6" s="10"/>
      <c r="O6" s="10"/>
      <c r="P6" s="10"/>
      <c r="Q6" s="11"/>
    </row>
    <row r="7" spans="1:17" x14ac:dyDescent="0.2">
      <c r="A7" s="14" t="s">
        <v>2629</v>
      </c>
      <c r="B7" s="10"/>
      <c r="C7" s="10"/>
      <c r="D7" s="10"/>
      <c r="E7" s="10"/>
      <c r="F7" s="10"/>
      <c r="G7" s="10"/>
      <c r="H7" s="10"/>
      <c r="I7" s="10"/>
      <c r="J7" s="10"/>
      <c r="K7" s="10"/>
      <c r="L7" s="10"/>
      <c r="M7" s="10"/>
      <c r="N7" s="10"/>
      <c r="O7" s="10"/>
      <c r="P7" s="10"/>
      <c r="Q7" s="11"/>
    </row>
    <row r="8" spans="1:17" x14ac:dyDescent="0.2">
      <c r="A8" s="14"/>
      <c r="B8" s="12" t="s">
        <v>2630</v>
      </c>
      <c r="C8" s="10"/>
      <c r="D8" s="10"/>
      <c r="E8" s="10"/>
      <c r="F8" s="10"/>
      <c r="G8" s="10"/>
      <c r="H8" s="10"/>
      <c r="I8" s="10"/>
      <c r="J8" s="10"/>
      <c r="K8" s="10"/>
      <c r="L8" s="10"/>
      <c r="M8" s="10"/>
      <c r="N8" s="10"/>
      <c r="O8" s="10"/>
      <c r="P8" s="10"/>
      <c r="Q8" s="11"/>
    </row>
    <row r="9" spans="1:17" x14ac:dyDescent="0.2">
      <c r="A9" s="14"/>
      <c r="B9" s="10"/>
      <c r="C9" s="10"/>
      <c r="D9" s="10"/>
      <c r="E9" s="10"/>
      <c r="F9" s="10"/>
      <c r="G9" s="10"/>
      <c r="H9" s="10"/>
      <c r="I9" s="10"/>
      <c r="J9" s="10"/>
      <c r="K9" s="10"/>
      <c r="L9" s="10"/>
      <c r="M9" s="10"/>
      <c r="N9" s="10"/>
      <c r="O9" s="10"/>
      <c r="P9" s="10"/>
      <c r="Q9" s="11"/>
    </row>
    <row r="10" spans="1:17" x14ac:dyDescent="0.2">
      <c r="A10" s="14" t="s">
        <v>163</v>
      </c>
      <c r="B10" s="10"/>
      <c r="C10" s="10"/>
      <c r="D10" s="10"/>
      <c r="E10" s="10"/>
      <c r="F10" s="10"/>
      <c r="G10" s="10"/>
      <c r="H10" s="10"/>
      <c r="I10" s="10"/>
      <c r="J10" s="10"/>
      <c r="K10" s="10"/>
      <c r="L10" s="10"/>
      <c r="M10" s="10"/>
      <c r="N10" s="10"/>
      <c r="O10" s="10"/>
      <c r="P10" s="10"/>
      <c r="Q10" s="11"/>
    </row>
    <row r="11" spans="1:17" x14ac:dyDescent="0.2">
      <c r="A11" s="14"/>
      <c r="B11" s="10"/>
      <c r="C11" s="10"/>
      <c r="D11" s="10"/>
      <c r="E11" s="10"/>
      <c r="F11" s="10"/>
      <c r="G11" s="10"/>
      <c r="H11" s="10"/>
      <c r="I11" s="10"/>
      <c r="J11" s="10"/>
      <c r="K11" s="10"/>
      <c r="L11" s="10"/>
      <c r="M11" s="10"/>
      <c r="N11" s="10"/>
      <c r="O11" s="10"/>
      <c r="P11" s="10"/>
      <c r="Q11" s="11"/>
    </row>
    <row r="12" spans="1:17" x14ac:dyDescent="0.2">
      <c r="A12" s="14" t="s">
        <v>130</v>
      </c>
      <c r="B12" s="10"/>
      <c r="C12" s="10"/>
      <c r="D12" s="10"/>
      <c r="E12" s="10"/>
      <c r="F12" s="10"/>
      <c r="G12" s="10"/>
      <c r="H12" s="10"/>
      <c r="I12" s="10"/>
      <c r="J12" s="10"/>
      <c r="K12" s="10"/>
      <c r="L12" s="10"/>
      <c r="M12" s="10"/>
      <c r="N12" s="10"/>
      <c r="O12" s="10"/>
      <c r="P12" s="10"/>
      <c r="Q12" s="11"/>
    </row>
    <row r="13" spans="1:17" x14ac:dyDescent="0.2">
      <c r="A13" s="14"/>
      <c r="B13" s="10"/>
      <c r="C13" s="10"/>
      <c r="D13" s="10"/>
      <c r="E13" s="10"/>
      <c r="F13" s="10"/>
      <c r="G13" s="10"/>
      <c r="H13" s="10"/>
      <c r="I13" s="10"/>
      <c r="J13" s="10"/>
      <c r="K13" s="10"/>
      <c r="L13" s="10"/>
      <c r="M13" s="10"/>
      <c r="N13" s="10"/>
      <c r="O13" s="10"/>
      <c r="P13" s="10"/>
      <c r="Q13" s="11"/>
    </row>
    <row r="14" spans="1:17" x14ac:dyDescent="0.2">
      <c r="A14" s="14" t="s">
        <v>162</v>
      </c>
      <c r="B14" s="10"/>
      <c r="C14" s="10"/>
      <c r="D14" s="10"/>
      <c r="E14" s="10"/>
      <c r="F14" s="10"/>
      <c r="G14" s="10"/>
      <c r="H14" s="10"/>
      <c r="I14" s="10"/>
      <c r="J14" s="10"/>
      <c r="K14" s="10"/>
      <c r="L14" s="10"/>
      <c r="M14" s="10"/>
      <c r="N14" s="10"/>
      <c r="O14" s="10"/>
      <c r="P14" s="10"/>
      <c r="Q14" s="11"/>
    </row>
    <row r="15" spans="1:17" x14ac:dyDescent="0.2">
      <c r="A15" s="14"/>
      <c r="B15" s="10"/>
      <c r="C15" s="10"/>
      <c r="D15" s="10"/>
      <c r="E15" s="10"/>
      <c r="F15" s="10"/>
      <c r="G15" s="10"/>
      <c r="H15" s="10"/>
      <c r="I15" s="10"/>
      <c r="J15" s="10"/>
      <c r="K15" s="10"/>
      <c r="L15" s="10"/>
      <c r="M15" s="10"/>
      <c r="N15" s="10"/>
      <c r="O15" s="10"/>
      <c r="P15" s="10"/>
      <c r="Q15" s="11"/>
    </row>
    <row r="16" spans="1:17" x14ac:dyDescent="0.2">
      <c r="A16" s="14" t="s">
        <v>705</v>
      </c>
      <c r="B16" s="10"/>
      <c r="C16" s="10"/>
      <c r="D16" s="10"/>
      <c r="E16" s="10"/>
      <c r="F16" s="10"/>
      <c r="G16" s="10"/>
      <c r="H16" s="10"/>
      <c r="I16" s="10"/>
      <c r="J16" s="10"/>
      <c r="K16" s="10"/>
      <c r="L16" s="10"/>
      <c r="M16" s="10"/>
      <c r="N16" s="10"/>
      <c r="O16" s="10"/>
      <c r="P16" s="10"/>
      <c r="Q16" s="11"/>
    </row>
    <row r="17" spans="1:17" x14ac:dyDescent="0.2">
      <c r="A17" s="14"/>
      <c r="B17" s="10"/>
      <c r="C17" s="10"/>
      <c r="D17" s="10"/>
      <c r="E17" s="10"/>
      <c r="F17" s="10"/>
      <c r="G17" s="10"/>
      <c r="H17" s="10"/>
      <c r="I17" s="10"/>
      <c r="J17" s="10"/>
      <c r="K17" s="10"/>
      <c r="L17" s="10"/>
      <c r="M17" s="10"/>
      <c r="N17" s="10"/>
      <c r="O17" s="10"/>
      <c r="P17" s="10"/>
      <c r="Q17" s="11"/>
    </row>
    <row r="18" spans="1:17" x14ac:dyDescent="0.2">
      <c r="A18" s="14" t="s">
        <v>694</v>
      </c>
      <c r="B18" s="10"/>
      <c r="C18" s="10"/>
      <c r="D18" s="10"/>
      <c r="E18" s="10"/>
      <c r="F18" s="10"/>
      <c r="G18" s="10"/>
      <c r="H18" s="10"/>
      <c r="I18" s="10"/>
      <c r="J18" s="10"/>
      <c r="K18" s="10"/>
      <c r="L18" s="10"/>
      <c r="M18" s="10"/>
      <c r="N18" s="10"/>
      <c r="O18" s="10"/>
      <c r="P18" s="10"/>
      <c r="Q18" s="11"/>
    </row>
    <row r="19" spans="1:17" x14ac:dyDescent="0.2">
      <c r="A19" s="14"/>
      <c r="B19" s="10"/>
      <c r="C19" s="10"/>
      <c r="D19" s="10"/>
      <c r="E19" s="10"/>
      <c r="F19" s="10"/>
      <c r="G19" s="10"/>
      <c r="H19" s="10"/>
      <c r="I19" s="10"/>
      <c r="J19" s="10"/>
      <c r="K19" s="10"/>
      <c r="L19" s="10"/>
      <c r="M19" s="10"/>
      <c r="N19" s="10"/>
      <c r="O19" s="10"/>
      <c r="P19" s="10"/>
      <c r="Q19" s="11"/>
    </row>
    <row r="20" spans="1:17" x14ac:dyDescent="0.2">
      <c r="A20" s="14" t="s">
        <v>1459</v>
      </c>
      <c r="B20" s="10"/>
      <c r="C20" s="10"/>
      <c r="D20" s="10"/>
      <c r="E20" s="10"/>
      <c r="F20" s="10"/>
      <c r="G20" s="10"/>
      <c r="H20" s="10"/>
      <c r="I20" s="10"/>
      <c r="J20" s="10"/>
      <c r="K20" s="10"/>
      <c r="L20" s="10"/>
      <c r="M20" s="10"/>
      <c r="N20" s="10"/>
      <c r="O20" s="10"/>
      <c r="P20" s="10"/>
      <c r="Q20" s="11"/>
    </row>
    <row r="21" spans="1:17" x14ac:dyDescent="0.2">
      <c r="A21" s="17" t="s">
        <v>1460</v>
      </c>
      <c r="B21" s="10"/>
      <c r="C21" s="10"/>
      <c r="D21" s="10"/>
      <c r="E21" s="10"/>
      <c r="F21" s="10"/>
      <c r="G21" s="10"/>
      <c r="H21" s="10"/>
      <c r="I21" s="10"/>
      <c r="J21" s="10"/>
      <c r="K21" s="10"/>
      <c r="L21" s="10"/>
      <c r="M21" s="10"/>
      <c r="N21" s="10"/>
      <c r="O21" s="10"/>
      <c r="P21" s="10"/>
      <c r="Q21" s="11"/>
    </row>
    <row r="22" spans="1:17" x14ac:dyDescent="0.2">
      <c r="A22" s="14"/>
      <c r="B22" s="10"/>
      <c r="C22" s="10"/>
      <c r="D22" s="10"/>
      <c r="E22" s="10"/>
      <c r="F22" s="10"/>
      <c r="G22" s="10"/>
      <c r="H22" s="10"/>
      <c r="I22" s="10"/>
      <c r="J22" s="10"/>
      <c r="K22" s="10"/>
      <c r="L22" s="10"/>
      <c r="M22" s="10"/>
      <c r="N22" s="10"/>
      <c r="O22" s="10"/>
      <c r="P22" s="10"/>
      <c r="Q22" s="11"/>
    </row>
    <row r="23" spans="1:17" x14ac:dyDescent="0.2">
      <c r="A23" s="14" t="s">
        <v>822</v>
      </c>
      <c r="B23" s="10"/>
      <c r="C23" s="10"/>
      <c r="D23" s="10"/>
      <c r="E23" s="10"/>
      <c r="F23" s="10"/>
      <c r="G23" s="10"/>
      <c r="H23" s="10"/>
      <c r="I23" s="10"/>
      <c r="J23" s="10"/>
      <c r="K23" s="10"/>
      <c r="L23" s="10"/>
      <c r="M23" s="10"/>
      <c r="N23" s="10"/>
      <c r="O23" s="10"/>
      <c r="P23" s="10"/>
      <c r="Q23" s="11"/>
    </row>
    <row r="24" spans="1:17" x14ac:dyDescent="0.2">
      <c r="A24" s="17" t="s">
        <v>2040</v>
      </c>
      <c r="B24" s="10"/>
      <c r="C24" s="10"/>
      <c r="D24" s="10"/>
      <c r="E24" s="10"/>
      <c r="F24" s="10"/>
      <c r="G24" s="10"/>
      <c r="H24" s="10"/>
      <c r="I24" s="10"/>
      <c r="J24" s="10"/>
      <c r="K24" s="10"/>
      <c r="L24" s="10"/>
      <c r="M24" s="10"/>
      <c r="N24" s="10"/>
      <c r="O24" s="10"/>
      <c r="P24" s="10"/>
      <c r="Q24" s="11"/>
    </row>
    <row r="25" spans="1:17" x14ac:dyDescent="0.2">
      <c r="A25" s="17" t="s">
        <v>2041</v>
      </c>
      <c r="B25" s="10"/>
      <c r="C25" s="10"/>
      <c r="D25" s="10"/>
      <c r="E25" s="10"/>
      <c r="F25" s="10"/>
      <c r="G25" s="10"/>
      <c r="H25" s="10"/>
      <c r="I25" s="10"/>
      <c r="J25" s="10"/>
      <c r="K25" s="10"/>
      <c r="L25" s="10"/>
      <c r="M25" s="10"/>
      <c r="N25" s="10"/>
      <c r="O25" s="10"/>
      <c r="P25" s="10"/>
      <c r="Q25" s="11"/>
    </row>
    <row r="26" spans="1:17" x14ac:dyDescent="0.2">
      <c r="A26" s="403"/>
      <c r="B26" s="10"/>
      <c r="C26" s="10"/>
      <c r="D26" s="10"/>
      <c r="E26" s="10"/>
      <c r="F26" s="10"/>
      <c r="G26" s="10"/>
      <c r="H26" s="10"/>
      <c r="I26" s="10"/>
      <c r="J26" s="10"/>
      <c r="K26" s="10"/>
      <c r="L26" s="10"/>
      <c r="M26" s="10"/>
      <c r="N26" s="10"/>
      <c r="O26" s="10"/>
      <c r="P26" s="10"/>
      <c r="Q26" s="11"/>
    </row>
    <row r="27" spans="1:17" x14ac:dyDescent="0.2">
      <c r="A27" s="14" t="s">
        <v>2633</v>
      </c>
      <c r="B27" s="10"/>
      <c r="C27" s="10"/>
      <c r="D27" s="10"/>
      <c r="E27" s="10"/>
      <c r="F27" s="10"/>
      <c r="G27" s="10"/>
      <c r="H27" s="10"/>
      <c r="I27" s="10"/>
      <c r="J27" s="10"/>
      <c r="K27" s="10"/>
      <c r="L27" s="10"/>
      <c r="M27" s="10"/>
      <c r="N27" s="10"/>
      <c r="O27" s="10"/>
      <c r="P27" s="10"/>
      <c r="Q27" s="11"/>
    </row>
    <row r="28" spans="1:17" x14ac:dyDescent="0.2">
      <c r="A28" s="403"/>
      <c r="B28" s="10"/>
      <c r="C28" s="10"/>
      <c r="D28" s="10"/>
      <c r="E28" s="10"/>
      <c r="F28" s="10"/>
      <c r="G28" s="10"/>
      <c r="H28" s="10"/>
      <c r="I28" s="10"/>
      <c r="J28" s="10"/>
      <c r="K28" s="10"/>
      <c r="L28" s="10"/>
      <c r="M28" s="10"/>
      <c r="N28" s="10"/>
      <c r="O28" s="10"/>
      <c r="P28" s="10"/>
      <c r="Q28" s="11"/>
    </row>
    <row r="29" spans="1:17" x14ac:dyDescent="0.2">
      <c r="A29" s="14" t="s">
        <v>1466</v>
      </c>
      <c r="B29" s="10"/>
      <c r="C29" s="10"/>
      <c r="D29" s="10"/>
      <c r="E29" s="10"/>
      <c r="F29" s="10"/>
      <c r="G29" s="10"/>
      <c r="H29" s="10"/>
      <c r="I29" s="10"/>
      <c r="J29" s="10"/>
      <c r="K29" s="10"/>
      <c r="L29" s="10"/>
      <c r="M29" s="10"/>
      <c r="N29" s="10"/>
      <c r="O29" s="10"/>
      <c r="P29" s="10"/>
      <c r="Q29" s="11"/>
    </row>
    <row r="30" spans="1:17" x14ac:dyDescent="0.2">
      <c r="A30" s="14"/>
      <c r="B30" s="10"/>
      <c r="C30" s="10"/>
      <c r="D30" s="10"/>
      <c r="E30" s="10"/>
      <c r="F30" s="10"/>
      <c r="G30" s="10"/>
      <c r="H30" s="10"/>
      <c r="I30" s="10"/>
      <c r="J30" s="10"/>
      <c r="K30" s="10"/>
      <c r="L30" s="10"/>
      <c r="M30" s="10"/>
      <c r="N30" s="10"/>
      <c r="O30" s="10"/>
      <c r="P30" s="10"/>
      <c r="Q30" s="11"/>
    </row>
    <row r="31" spans="1:17" x14ac:dyDescent="0.2">
      <c r="A31" s="14" t="s">
        <v>2634</v>
      </c>
      <c r="B31" s="10"/>
      <c r="C31" s="10"/>
      <c r="D31" s="10"/>
      <c r="E31" s="10"/>
      <c r="F31" s="10"/>
      <c r="G31" s="10"/>
      <c r="H31" s="10"/>
      <c r="I31" s="10"/>
      <c r="J31" s="10"/>
      <c r="K31" s="10"/>
      <c r="L31" s="10"/>
      <c r="M31" s="10"/>
      <c r="N31" s="10"/>
      <c r="O31" s="10"/>
      <c r="P31" s="10"/>
      <c r="Q31" s="11"/>
    </row>
    <row r="32" spans="1:17" x14ac:dyDescent="0.2">
      <c r="A32" s="403"/>
      <c r="B32" s="10"/>
      <c r="C32" s="10"/>
      <c r="D32" s="10"/>
      <c r="E32" s="10"/>
      <c r="F32" s="10"/>
      <c r="G32" s="10"/>
      <c r="H32" s="10"/>
      <c r="I32" s="10"/>
      <c r="J32" s="10"/>
      <c r="K32" s="10"/>
      <c r="L32" s="10"/>
      <c r="M32" s="10"/>
      <c r="N32" s="10"/>
      <c r="O32" s="10"/>
      <c r="P32" s="10"/>
      <c r="Q32" s="11"/>
    </row>
    <row r="33" spans="1:17" x14ac:dyDescent="0.2">
      <c r="A33" s="14" t="s">
        <v>1465</v>
      </c>
      <c r="B33" s="10"/>
      <c r="C33" s="10"/>
      <c r="D33" s="10"/>
      <c r="E33" s="10"/>
      <c r="F33" s="10"/>
      <c r="G33" s="10"/>
      <c r="H33" s="10"/>
      <c r="I33" s="10"/>
      <c r="J33" s="10"/>
      <c r="K33" s="10"/>
      <c r="L33" s="10"/>
      <c r="M33" s="10"/>
      <c r="N33" s="10"/>
      <c r="O33" s="10"/>
      <c r="P33" s="10"/>
      <c r="Q33" s="11"/>
    </row>
    <row r="34" spans="1:17" x14ac:dyDescent="0.2">
      <c r="A34" s="14"/>
      <c r="B34" s="10"/>
      <c r="C34" s="10"/>
      <c r="D34" s="10"/>
      <c r="E34" s="10"/>
      <c r="F34" s="10"/>
      <c r="G34" s="10"/>
      <c r="H34" s="10"/>
      <c r="I34" s="10"/>
      <c r="J34" s="10"/>
      <c r="K34" s="10"/>
      <c r="L34" s="10"/>
      <c r="M34" s="10"/>
      <c r="N34" s="10"/>
      <c r="O34" s="10"/>
      <c r="P34" s="10"/>
      <c r="Q34" s="11"/>
    </row>
    <row r="35" spans="1:17" x14ac:dyDescent="0.2">
      <c r="A35" s="14" t="s">
        <v>1464</v>
      </c>
      <c r="B35" s="10"/>
      <c r="C35" s="10"/>
      <c r="D35" s="10"/>
      <c r="E35" s="10"/>
      <c r="F35" s="10"/>
      <c r="G35" s="10"/>
      <c r="H35" s="10"/>
      <c r="I35" s="10"/>
      <c r="J35" s="10"/>
      <c r="K35" s="10"/>
      <c r="L35" s="10"/>
      <c r="M35" s="10"/>
      <c r="N35" s="10"/>
      <c r="O35" s="10"/>
      <c r="P35" s="10"/>
      <c r="Q35" s="11"/>
    </row>
    <row r="36" spans="1:17" x14ac:dyDescent="0.2">
      <c r="A36" s="14"/>
      <c r="B36" s="10"/>
      <c r="C36" s="10"/>
      <c r="D36" s="10"/>
      <c r="E36" s="10"/>
      <c r="F36" s="10"/>
      <c r="G36" s="10"/>
      <c r="H36" s="10"/>
      <c r="I36" s="10"/>
      <c r="J36" s="10"/>
      <c r="K36" s="10"/>
      <c r="L36" s="10"/>
      <c r="M36" s="10"/>
      <c r="N36" s="10"/>
      <c r="O36" s="10"/>
      <c r="P36" s="10"/>
      <c r="Q36" s="11"/>
    </row>
    <row r="37" spans="1:17" x14ac:dyDescent="0.2">
      <c r="A37" s="14" t="s">
        <v>2314</v>
      </c>
      <c r="B37" s="10"/>
      <c r="C37" s="10"/>
      <c r="D37" s="10"/>
      <c r="E37" s="10"/>
      <c r="F37" s="10"/>
      <c r="G37" s="10"/>
      <c r="H37" s="10"/>
      <c r="I37" s="10"/>
      <c r="J37" s="10"/>
      <c r="K37" s="10"/>
      <c r="L37" s="10"/>
      <c r="M37" s="10"/>
      <c r="N37" s="10"/>
      <c r="O37" s="10"/>
      <c r="P37" s="10"/>
      <c r="Q37" s="11"/>
    </row>
    <row r="38" spans="1:17" x14ac:dyDescent="0.2">
      <c r="A38" s="14"/>
      <c r="B38" s="10"/>
      <c r="C38" s="10"/>
      <c r="D38" s="10"/>
      <c r="E38" s="10"/>
      <c r="F38" s="10"/>
      <c r="G38" s="10"/>
      <c r="H38" s="10"/>
      <c r="I38" s="10"/>
      <c r="J38" s="10"/>
      <c r="K38" s="10"/>
      <c r="L38" s="10"/>
      <c r="M38" s="10"/>
      <c r="N38" s="10"/>
      <c r="O38" s="10"/>
      <c r="P38" s="10"/>
      <c r="Q38" s="11"/>
    </row>
    <row r="39" spans="1:17" x14ac:dyDescent="0.2">
      <c r="A39" s="14" t="s">
        <v>1894</v>
      </c>
      <c r="B39" s="10"/>
      <c r="C39" s="10"/>
      <c r="D39" s="10"/>
      <c r="E39" s="10"/>
      <c r="F39" s="10"/>
      <c r="G39" s="10"/>
      <c r="H39" s="10"/>
      <c r="I39" s="10"/>
      <c r="J39" s="10"/>
      <c r="K39" s="10"/>
      <c r="L39" s="10"/>
      <c r="M39" s="10"/>
      <c r="N39" s="10"/>
      <c r="O39" s="10"/>
      <c r="P39" s="10"/>
      <c r="Q39" s="11"/>
    </row>
    <row r="40" spans="1:17" x14ac:dyDescent="0.2">
      <c r="A40" s="17" t="s">
        <v>1895</v>
      </c>
      <c r="B40" s="10"/>
      <c r="C40" s="10"/>
      <c r="D40" s="10"/>
      <c r="E40" s="10"/>
      <c r="F40" s="10"/>
      <c r="G40" s="10"/>
      <c r="H40" s="10"/>
      <c r="I40" s="10"/>
      <c r="J40" s="10"/>
      <c r="K40" s="10"/>
      <c r="L40" s="10"/>
      <c r="M40" s="10"/>
      <c r="N40" s="10"/>
      <c r="O40" s="10"/>
      <c r="P40" s="10"/>
      <c r="Q40" s="11"/>
    </row>
    <row r="41" spans="1:17" x14ac:dyDescent="0.2">
      <c r="A41" s="14"/>
      <c r="B41" s="10"/>
      <c r="C41" s="10"/>
      <c r="D41" s="10"/>
      <c r="E41" s="10"/>
      <c r="F41" s="10"/>
      <c r="G41" s="10"/>
      <c r="H41" s="10"/>
      <c r="I41" s="10"/>
      <c r="J41" s="10"/>
      <c r="K41" s="10"/>
      <c r="L41" s="10"/>
      <c r="M41" s="10"/>
      <c r="N41" s="10"/>
      <c r="O41" s="10"/>
      <c r="P41" s="10"/>
      <c r="Q41" s="11"/>
    </row>
    <row r="42" spans="1:17" x14ac:dyDescent="0.2">
      <c r="A42" s="14" t="s">
        <v>225</v>
      </c>
      <c r="B42" s="10"/>
      <c r="C42" s="10"/>
      <c r="D42" s="10"/>
      <c r="E42" s="10"/>
      <c r="F42" s="10"/>
      <c r="G42" s="10"/>
      <c r="H42" s="10"/>
      <c r="I42" s="10"/>
      <c r="J42" s="10"/>
      <c r="K42" s="10"/>
      <c r="L42" s="10"/>
      <c r="M42" s="10"/>
      <c r="N42" s="10"/>
      <c r="O42" s="10"/>
      <c r="P42" s="10"/>
      <c r="Q42" s="11"/>
    </row>
    <row r="43" spans="1:17" x14ac:dyDescent="0.2">
      <c r="A43" s="17" t="s">
        <v>1892</v>
      </c>
      <c r="B43" s="10"/>
      <c r="C43" s="10"/>
      <c r="D43" s="10"/>
      <c r="E43" s="10"/>
      <c r="F43" s="10"/>
      <c r="G43" s="10"/>
      <c r="H43" s="10"/>
      <c r="I43" s="10"/>
      <c r="J43" s="10"/>
      <c r="K43" s="10"/>
      <c r="L43" s="10"/>
      <c r="M43" s="10"/>
      <c r="N43" s="10"/>
      <c r="O43" s="10"/>
      <c r="P43" s="10"/>
      <c r="Q43" s="11"/>
    </row>
    <row r="44" spans="1:17" x14ac:dyDescent="0.2">
      <c r="A44" s="17" t="s">
        <v>1893</v>
      </c>
      <c r="B44" s="10"/>
      <c r="C44" s="10"/>
      <c r="D44" s="10"/>
      <c r="E44" s="10"/>
      <c r="F44" s="10"/>
      <c r="G44" s="10"/>
      <c r="H44" s="10"/>
      <c r="I44" s="10"/>
      <c r="J44" s="10"/>
      <c r="K44" s="10"/>
      <c r="L44" s="10"/>
      <c r="M44" s="10"/>
      <c r="N44" s="10"/>
      <c r="O44" s="10"/>
      <c r="P44" s="10"/>
      <c r="Q44" s="11"/>
    </row>
    <row r="45" spans="1:17" x14ac:dyDescent="0.2">
      <c r="A45" s="14"/>
      <c r="B45" s="10"/>
      <c r="C45" s="10"/>
      <c r="D45" s="10"/>
      <c r="E45" s="10"/>
      <c r="F45" s="10"/>
      <c r="G45" s="10"/>
      <c r="H45" s="10"/>
      <c r="I45" s="10"/>
      <c r="J45" s="10"/>
      <c r="K45" s="10"/>
      <c r="L45" s="10"/>
      <c r="M45" s="10"/>
      <c r="N45" s="10"/>
      <c r="O45" s="10"/>
      <c r="P45" s="10"/>
      <c r="Q45" s="11"/>
    </row>
    <row r="46" spans="1:17" x14ac:dyDescent="0.2">
      <c r="A46" s="14" t="s">
        <v>2443</v>
      </c>
      <c r="B46" s="10"/>
      <c r="C46" s="10"/>
      <c r="D46" s="10"/>
      <c r="E46" s="10"/>
      <c r="F46" s="10"/>
      <c r="G46" s="10"/>
      <c r="H46" s="10"/>
      <c r="I46" s="10"/>
      <c r="J46" s="10"/>
      <c r="K46" s="10"/>
      <c r="L46" s="10"/>
      <c r="M46" s="10"/>
      <c r="N46" s="10"/>
      <c r="O46" s="10"/>
      <c r="P46" s="10"/>
      <c r="Q46" s="11"/>
    </row>
    <row r="47" spans="1:17" x14ac:dyDescent="0.2">
      <c r="A47" s="17" t="s">
        <v>2444</v>
      </c>
      <c r="B47" s="10"/>
      <c r="C47" s="10"/>
      <c r="D47" s="10"/>
      <c r="E47" s="10"/>
      <c r="F47" s="10"/>
      <c r="G47" s="10"/>
      <c r="H47" s="10"/>
      <c r="I47" s="10"/>
      <c r="J47" s="10"/>
      <c r="K47" s="10"/>
      <c r="L47" s="10"/>
      <c r="M47" s="10"/>
      <c r="N47" s="10"/>
      <c r="O47" s="10"/>
      <c r="P47" s="10"/>
      <c r="Q47" s="11"/>
    </row>
    <row r="48" spans="1:17" x14ac:dyDescent="0.2">
      <c r="A48" s="14"/>
      <c r="B48" s="10"/>
      <c r="C48" s="10"/>
      <c r="D48" s="10"/>
      <c r="E48" s="10"/>
      <c r="F48" s="10"/>
      <c r="G48" s="10"/>
      <c r="H48" s="10"/>
      <c r="I48" s="10"/>
      <c r="J48" s="10"/>
      <c r="K48" s="10"/>
      <c r="L48" s="10"/>
      <c r="M48" s="10"/>
      <c r="N48" s="10"/>
      <c r="O48" s="10"/>
      <c r="P48" s="10"/>
      <c r="Q48" s="11"/>
    </row>
    <row r="49" spans="1:17" x14ac:dyDescent="0.2">
      <c r="A49" s="14" t="s">
        <v>2242</v>
      </c>
      <c r="B49" s="10"/>
      <c r="C49" s="10"/>
      <c r="D49" s="10"/>
      <c r="E49" s="10"/>
      <c r="F49" s="10"/>
      <c r="G49" s="10"/>
      <c r="H49" s="10"/>
      <c r="I49" s="10"/>
      <c r="J49" s="10"/>
      <c r="K49" s="10"/>
      <c r="L49" s="10"/>
      <c r="M49" s="10"/>
      <c r="N49" s="10"/>
      <c r="O49" s="10"/>
      <c r="P49" s="10"/>
      <c r="Q49" s="11"/>
    </row>
    <row r="50" spans="1:17" x14ac:dyDescent="0.2">
      <c r="A50" s="403" t="s">
        <v>2243</v>
      </c>
      <c r="B50" s="10"/>
      <c r="C50" s="10"/>
      <c r="D50" s="10"/>
      <c r="E50" s="10"/>
      <c r="F50" s="10"/>
      <c r="G50" s="10"/>
      <c r="H50" s="10"/>
      <c r="I50" s="10"/>
      <c r="J50" s="10"/>
      <c r="K50" s="10"/>
      <c r="L50" s="10"/>
      <c r="M50" s="10"/>
      <c r="N50" s="10"/>
      <c r="O50" s="10"/>
      <c r="P50" s="10"/>
      <c r="Q50" s="11"/>
    </row>
    <row r="51" spans="1:17" x14ac:dyDescent="0.2">
      <c r="A51" s="14"/>
      <c r="B51" s="10"/>
      <c r="C51" s="10"/>
      <c r="D51" s="10"/>
      <c r="E51" s="10"/>
      <c r="F51" s="10"/>
      <c r="G51" s="10"/>
      <c r="H51" s="10"/>
      <c r="I51" s="10"/>
      <c r="J51" s="10"/>
      <c r="K51" s="10"/>
      <c r="L51" s="10"/>
      <c r="M51" s="10"/>
      <c r="N51" s="10"/>
      <c r="O51" s="10"/>
      <c r="P51" s="10"/>
      <c r="Q51" s="11"/>
    </row>
    <row r="52" spans="1:17" x14ac:dyDescent="0.2">
      <c r="A52" s="14" t="s">
        <v>1461</v>
      </c>
      <c r="B52" s="10"/>
      <c r="C52" s="10"/>
      <c r="D52" s="10"/>
      <c r="E52" s="10"/>
      <c r="F52" s="10"/>
      <c r="G52" s="10"/>
      <c r="H52" s="10"/>
      <c r="I52" s="10"/>
      <c r="J52" s="10"/>
      <c r="K52" s="10"/>
      <c r="L52" s="10"/>
      <c r="M52" s="10"/>
      <c r="N52" s="10"/>
      <c r="O52" s="10"/>
      <c r="P52" s="10"/>
      <c r="Q52" s="11"/>
    </row>
    <row r="53" spans="1:17" x14ac:dyDescent="0.2">
      <c r="A53" s="862" t="s">
        <v>1462</v>
      </c>
      <c r="B53" s="10"/>
      <c r="C53" s="10"/>
      <c r="D53" s="10"/>
      <c r="E53" s="10"/>
      <c r="F53" s="10"/>
      <c r="G53" s="10"/>
      <c r="H53" s="10"/>
      <c r="I53" s="10"/>
      <c r="J53" s="10"/>
      <c r="K53" s="10"/>
      <c r="L53" s="10"/>
      <c r="M53" s="10"/>
      <c r="N53" s="10"/>
      <c r="O53" s="10"/>
      <c r="P53" s="10"/>
      <c r="Q53" s="11"/>
    </row>
    <row r="54" spans="1:17" x14ac:dyDescent="0.2">
      <c r="A54" s="862" t="s">
        <v>1463</v>
      </c>
      <c r="B54" s="10"/>
      <c r="C54" s="10"/>
      <c r="D54" s="10"/>
      <c r="E54" s="10"/>
      <c r="F54" s="10"/>
      <c r="G54" s="10"/>
      <c r="H54" s="10"/>
      <c r="I54" s="10"/>
      <c r="J54" s="10"/>
      <c r="K54" s="10"/>
      <c r="L54" s="10"/>
      <c r="M54" s="10"/>
      <c r="N54" s="10"/>
      <c r="O54" s="10"/>
      <c r="P54" s="10"/>
      <c r="Q54" s="11"/>
    </row>
    <row r="55" spans="1:17" x14ac:dyDescent="0.2">
      <c r="A55" s="14"/>
      <c r="B55" s="10"/>
      <c r="C55" s="10"/>
      <c r="D55" s="10"/>
      <c r="E55" s="10"/>
      <c r="F55" s="10"/>
      <c r="G55" s="10"/>
      <c r="H55" s="10"/>
      <c r="I55" s="10"/>
      <c r="J55" s="10"/>
      <c r="K55" s="10"/>
      <c r="L55" s="10"/>
      <c r="M55" s="10"/>
      <c r="N55" s="10"/>
      <c r="O55" s="10"/>
      <c r="P55" s="10"/>
      <c r="Q55" s="11"/>
    </row>
    <row r="56" spans="1:17" x14ac:dyDescent="0.2">
      <c r="A56" s="14" t="s">
        <v>133</v>
      </c>
      <c r="B56" s="10"/>
      <c r="C56" s="10"/>
      <c r="D56" s="10"/>
      <c r="E56" s="10"/>
      <c r="F56" s="10"/>
      <c r="G56" s="10"/>
      <c r="H56" s="10"/>
      <c r="I56" s="10"/>
      <c r="J56" s="10"/>
      <c r="K56" s="10"/>
      <c r="L56" s="10"/>
      <c r="M56" s="10"/>
      <c r="N56" s="10"/>
      <c r="O56" s="10"/>
      <c r="P56" s="10"/>
      <c r="Q56" s="11"/>
    </row>
    <row r="57" spans="1:17" x14ac:dyDescent="0.2">
      <c r="A57" s="17" t="s">
        <v>134</v>
      </c>
      <c r="B57" s="10"/>
      <c r="C57" s="10"/>
      <c r="D57" s="10"/>
      <c r="E57" s="10"/>
      <c r="F57" s="10"/>
      <c r="G57" s="10"/>
      <c r="H57" s="10"/>
      <c r="I57" s="10"/>
      <c r="J57" s="10"/>
      <c r="K57" s="10"/>
      <c r="L57" s="10"/>
      <c r="M57" s="10"/>
      <c r="N57" s="10"/>
      <c r="O57" s="10"/>
      <c r="P57" s="10"/>
      <c r="Q57" s="11"/>
    </row>
    <row r="58" spans="1:17" x14ac:dyDescent="0.2">
      <c r="A58" s="14"/>
      <c r="B58" s="10"/>
      <c r="C58" s="10"/>
      <c r="D58" s="10"/>
      <c r="E58" s="10"/>
      <c r="F58" s="10"/>
      <c r="G58" s="10"/>
      <c r="H58" s="10"/>
      <c r="I58" s="10"/>
      <c r="J58" s="10"/>
      <c r="K58" s="10"/>
      <c r="L58" s="10"/>
      <c r="M58" s="10"/>
      <c r="N58" s="10"/>
      <c r="O58" s="10"/>
      <c r="P58" s="10"/>
      <c r="Q58" s="11"/>
    </row>
    <row r="59" spans="1:17" x14ac:dyDescent="0.2">
      <c r="A59" s="14" t="s">
        <v>1144</v>
      </c>
      <c r="B59" s="10"/>
      <c r="C59" s="10"/>
      <c r="D59" s="10"/>
      <c r="E59" s="10"/>
      <c r="F59" s="10"/>
      <c r="G59" s="10"/>
      <c r="H59" s="10"/>
      <c r="I59" s="10"/>
      <c r="J59" s="10"/>
      <c r="K59" s="10"/>
      <c r="L59" s="10"/>
      <c r="M59" s="10"/>
      <c r="N59" s="10"/>
      <c r="O59" s="10"/>
      <c r="P59" s="10"/>
      <c r="Q59" s="11"/>
    </row>
    <row r="60" spans="1:17" x14ac:dyDescent="0.2">
      <c r="A60" s="17" t="s">
        <v>1145</v>
      </c>
      <c r="B60" s="10"/>
      <c r="C60" s="10"/>
      <c r="D60" s="10"/>
      <c r="E60" s="10"/>
      <c r="F60" s="10"/>
      <c r="G60" s="10"/>
      <c r="H60" s="10"/>
      <c r="I60" s="10"/>
      <c r="J60" s="10"/>
      <c r="K60" s="10"/>
      <c r="L60" s="10"/>
      <c r="M60" s="10"/>
      <c r="N60" s="10"/>
      <c r="O60" s="10"/>
      <c r="P60" s="10"/>
      <c r="Q60" s="11"/>
    </row>
    <row r="61" spans="1:17" x14ac:dyDescent="0.2">
      <c r="A61" s="14"/>
      <c r="B61" s="10"/>
      <c r="C61" s="10"/>
      <c r="D61" s="10"/>
      <c r="E61" s="10"/>
      <c r="F61" s="10"/>
      <c r="G61" s="10"/>
      <c r="H61" s="10"/>
      <c r="I61" s="10"/>
      <c r="J61" s="10"/>
      <c r="K61" s="10"/>
      <c r="L61" s="10"/>
      <c r="M61" s="10"/>
      <c r="N61" s="10"/>
      <c r="O61" s="10"/>
      <c r="P61" s="10"/>
      <c r="Q61" s="11"/>
    </row>
    <row r="62" spans="1:17" x14ac:dyDescent="0.2">
      <c r="A62" s="14" t="s">
        <v>893</v>
      </c>
      <c r="B62" s="10"/>
      <c r="C62" s="10"/>
      <c r="D62" s="10"/>
      <c r="E62" s="10"/>
      <c r="F62" s="10"/>
      <c r="G62" s="10"/>
      <c r="H62" s="10"/>
      <c r="I62" s="10"/>
      <c r="J62" s="10"/>
      <c r="K62" s="10"/>
      <c r="L62" s="10"/>
      <c r="M62" s="10"/>
      <c r="N62" s="10"/>
      <c r="O62" s="10"/>
      <c r="P62" s="10"/>
      <c r="Q62" s="11"/>
    </row>
    <row r="63" spans="1:17" x14ac:dyDescent="0.2">
      <c r="A63" s="14"/>
      <c r="B63" s="10"/>
      <c r="C63" s="10"/>
      <c r="D63" s="10"/>
      <c r="E63" s="10"/>
      <c r="F63" s="10"/>
      <c r="G63" s="10"/>
      <c r="H63" s="10"/>
      <c r="I63" s="10"/>
      <c r="J63" s="10"/>
      <c r="K63" s="10"/>
      <c r="L63" s="10"/>
      <c r="M63" s="10"/>
      <c r="N63" s="10"/>
      <c r="O63" s="10"/>
      <c r="P63" s="10"/>
      <c r="Q63" s="11"/>
    </row>
    <row r="64" spans="1:17" x14ac:dyDescent="0.2">
      <c r="A64" s="14" t="s">
        <v>131</v>
      </c>
      <c r="B64" s="10"/>
      <c r="C64" s="10"/>
      <c r="D64" s="10"/>
      <c r="E64" s="10"/>
      <c r="F64" s="10"/>
      <c r="G64" s="10"/>
      <c r="H64" s="10"/>
      <c r="I64" s="10"/>
      <c r="J64" s="10"/>
      <c r="K64" s="10"/>
      <c r="L64" s="10"/>
      <c r="M64" s="10"/>
      <c r="N64" s="10"/>
      <c r="O64" s="10"/>
      <c r="P64" s="10"/>
      <c r="Q64" s="11"/>
    </row>
    <row r="65" spans="1:17" x14ac:dyDescent="0.2">
      <c r="A65" s="402" t="s">
        <v>132</v>
      </c>
      <c r="B65" s="10"/>
      <c r="C65" s="10"/>
      <c r="D65" s="10"/>
      <c r="E65" s="10"/>
      <c r="F65" s="10"/>
      <c r="G65" s="10"/>
      <c r="H65" s="10"/>
      <c r="I65" s="10"/>
      <c r="J65" s="10"/>
      <c r="K65" s="10"/>
      <c r="L65" s="10"/>
      <c r="M65" s="10"/>
      <c r="N65" s="10"/>
      <c r="O65" s="10"/>
      <c r="P65" s="10"/>
      <c r="Q65" s="11"/>
    </row>
    <row r="66" spans="1:17" x14ac:dyDescent="0.2">
      <c r="A66" s="17" t="s">
        <v>2184</v>
      </c>
      <c r="B66" s="10"/>
      <c r="C66" s="10"/>
      <c r="D66" s="10"/>
      <c r="E66" s="10"/>
      <c r="F66" s="10"/>
      <c r="G66" s="10"/>
      <c r="H66" s="10"/>
      <c r="I66" s="10"/>
      <c r="J66" s="10"/>
      <c r="K66" s="10"/>
      <c r="L66" s="10"/>
      <c r="M66" s="10"/>
      <c r="N66" s="10"/>
      <c r="O66" s="10"/>
      <c r="P66" s="10"/>
      <c r="Q66" s="11"/>
    </row>
    <row r="67" spans="1:17" x14ac:dyDescent="0.2">
      <c r="A67" s="17" t="s">
        <v>2185</v>
      </c>
      <c r="B67" s="10"/>
      <c r="C67" s="10"/>
      <c r="D67" s="10"/>
      <c r="E67" s="10"/>
      <c r="F67" s="10"/>
      <c r="G67" s="10"/>
      <c r="H67" s="10"/>
      <c r="I67" s="10"/>
      <c r="J67" s="10"/>
      <c r="K67" s="10"/>
      <c r="L67" s="10"/>
      <c r="M67" s="10"/>
      <c r="N67" s="10"/>
      <c r="O67" s="10"/>
      <c r="P67" s="10"/>
      <c r="Q67" s="11"/>
    </row>
    <row r="68" spans="1:17" x14ac:dyDescent="0.2">
      <c r="A68" s="14"/>
      <c r="B68" s="10"/>
      <c r="C68" s="10"/>
      <c r="D68" s="10"/>
      <c r="E68" s="10"/>
      <c r="F68" s="10"/>
      <c r="G68" s="10"/>
      <c r="H68" s="10"/>
      <c r="I68" s="10"/>
      <c r="J68" s="10"/>
      <c r="K68" s="10"/>
      <c r="L68" s="10"/>
      <c r="M68" s="10"/>
      <c r="N68" s="10"/>
      <c r="O68" s="10"/>
      <c r="P68" s="10"/>
      <c r="Q68" s="11"/>
    </row>
    <row r="69" spans="1:17" x14ac:dyDescent="0.2">
      <c r="A69" s="14" t="s">
        <v>2475</v>
      </c>
      <c r="B69" s="10"/>
      <c r="C69" s="10"/>
      <c r="D69" s="10"/>
      <c r="E69" s="10"/>
      <c r="F69" s="10"/>
      <c r="G69" s="10"/>
      <c r="H69" s="10"/>
      <c r="I69" s="10"/>
      <c r="J69" s="10"/>
      <c r="K69" s="10"/>
      <c r="L69" s="10"/>
      <c r="M69" s="10"/>
      <c r="N69" s="10"/>
      <c r="O69" s="10"/>
      <c r="P69" s="10"/>
      <c r="Q69" s="11"/>
    </row>
    <row r="70" spans="1:17" x14ac:dyDescent="0.2">
      <c r="A70" s="12" t="s">
        <v>2476</v>
      </c>
      <c r="B70" s="10"/>
      <c r="C70" s="10"/>
      <c r="D70" s="10"/>
      <c r="E70" s="10"/>
      <c r="F70" s="10"/>
      <c r="G70" s="10"/>
      <c r="H70" s="10"/>
      <c r="I70" s="10"/>
      <c r="J70" s="10"/>
      <c r="K70" s="10"/>
      <c r="L70" s="10"/>
      <c r="M70" s="10"/>
      <c r="N70" s="10"/>
      <c r="O70" s="10"/>
      <c r="P70" s="10"/>
      <c r="Q70" s="11"/>
    </row>
    <row r="71" spans="1:17" x14ac:dyDescent="0.2">
      <c r="A71" s="12" t="s">
        <v>2477</v>
      </c>
      <c r="B71" s="10"/>
      <c r="C71" s="10"/>
      <c r="D71" s="10"/>
      <c r="E71" s="10"/>
      <c r="F71" s="10"/>
      <c r="G71" s="10"/>
      <c r="H71" s="10"/>
      <c r="I71" s="10"/>
      <c r="J71" s="10"/>
      <c r="K71" s="10"/>
      <c r="L71" s="10"/>
      <c r="M71" s="10"/>
      <c r="N71" s="10"/>
      <c r="O71" s="10"/>
      <c r="P71" s="10"/>
      <c r="Q71" s="11"/>
    </row>
    <row r="72" spans="1:17" x14ac:dyDescent="0.2">
      <c r="A72" s="12"/>
      <c r="B72" s="10"/>
      <c r="C72" s="10"/>
      <c r="D72" s="10"/>
      <c r="E72" s="10"/>
      <c r="F72" s="10"/>
      <c r="G72" s="10"/>
      <c r="H72" s="10"/>
      <c r="I72" s="10"/>
      <c r="J72" s="10"/>
      <c r="K72" s="10"/>
      <c r="L72" s="10"/>
      <c r="M72" s="10"/>
      <c r="N72" s="10"/>
      <c r="O72" s="10"/>
      <c r="P72" s="10"/>
      <c r="Q72" s="11"/>
    </row>
    <row r="73" spans="1:17" x14ac:dyDescent="0.2">
      <c r="A73" s="14" t="s">
        <v>692</v>
      </c>
      <c r="B73" s="10"/>
      <c r="C73" s="10"/>
      <c r="D73" s="10"/>
      <c r="E73" s="10"/>
      <c r="F73" s="10"/>
      <c r="G73" s="10"/>
      <c r="H73" s="10"/>
      <c r="I73" s="10"/>
      <c r="J73" s="10"/>
      <c r="K73" s="10"/>
      <c r="L73" s="10"/>
      <c r="M73" s="10"/>
      <c r="N73" s="10"/>
      <c r="O73" s="10"/>
      <c r="P73" s="10"/>
      <c r="Q73" s="11"/>
    </row>
    <row r="74" spans="1:17" x14ac:dyDescent="0.2">
      <c r="A74" s="14"/>
      <c r="B74" s="10"/>
      <c r="C74" s="10"/>
      <c r="D74" s="10"/>
      <c r="E74" s="10"/>
      <c r="F74" s="10"/>
      <c r="G74" s="10"/>
      <c r="H74" s="10"/>
      <c r="I74" s="10"/>
      <c r="J74" s="10"/>
      <c r="K74" s="10"/>
      <c r="L74" s="10"/>
      <c r="M74" s="10"/>
      <c r="N74" s="10"/>
      <c r="O74" s="10"/>
      <c r="P74" s="10"/>
      <c r="Q74" s="11"/>
    </row>
    <row r="75" spans="1:17" x14ac:dyDescent="0.2">
      <c r="A75" s="14" t="s">
        <v>693</v>
      </c>
      <c r="B75" s="10"/>
      <c r="C75" s="10"/>
      <c r="D75" s="10"/>
      <c r="E75" s="10"/>
      <c r="F75" s="10"/>
      <c r="G75" s="10"/>
      <c r="H75" s="10"/>
      <c r="I75" s="10"/>
      <c r="J75" s="10"/>
      <c r="K75" s="10"/>
      <c r="L75" s="10"/>
      <c r="M75" s="10"/>
      <c r="N75" s="10"/>
      <c r="O75" s="10"/>
      <c r="P75" s="10"/>
      <c r="Q75" s="11"/>
    </row>
    <row r="76" spans="1:17" x14ac:dyDescent="0.2">
      <c r="A76" s="14"/>
      <c r="B76" s="10"/>
      <c r="C76" s="10"/>
      <c r="D76" s="10"/>
      <c r="E76" s="10"/>
      <c r="F76" s="10"/>
      <c r="G76" s="10"/>
      <c r="H76" s="10"/>
      <c r="I76" s="10"/>
      <c r="J76" s="10"/>
      <c r="K76" s="10"/>
      <c r="L76" s="10"/>
      <c r="M76" s="10"/>
      <c r="N76" s="10"/>
      <c r="O76" s="10"/>
      <c r="P76" s="10"/>
      <c r="Q76" s="11"/>
    </row>
    <row r="77" spans="1:17" x14ac:dyDescent="0.2">
      <c r="A77" s="14" t="s">
        <v>224</v>
      </c>
      <c r="B77" s="10"/>
      <c r="C77" s="10"/>
      <c r="D77" s="10"/>
      <c r="E77" s="10"/>
      <c r="F77" s="10"/>
      <c r="G77" s="10"/>
      <c r="H77" s="10"/>
      <c r="I77" s="10"/>
      <c r="J77" s="10"/>
      <c r="K77" s="10"/>
      <c r="L77" s="10"/>
      <c r="M77" s="10"/>
      <c r="N77" s="10"/>
      <c r="O77" s="10"/>
      <c r="P77" s="10"/>
      <c r="Q77" s="11"/>
    </row>
    <row r="78" spans="1:17" x14ac:dyDescent="0.2">
      <c r="A78" s="14" t="s">
        <v>1883</v>
      </c>
      <c r="B78" s="10"/>
      <c r="C78" s="10"/>
      <c r="D78" s="10"/>
      <c r="E78" s="10"/>
      <c r="F78" s="10"/>
      <c r="G78" s="10"/>
      <c r="H78" s="10"/>
      <c r="I78" s="10"/>
      <c r="J78" s="10"/>
      <c r="K78" s="10"/>
      <c r="L78" s="10"/>
      <c r="M78" s="10"/>
      <c r="N78" s="10"/>
      <c r="O78" s="10"/>
      <c r="P78" s="10"/>
      <c r="Q78" s="11"/>
    </row>
    <row r="79" spans="1:17" x14ac:dyDescent="0.2">
      <c r="A79" s="14" t="s">
        <v>1146</v>
      </c>
      <c r="B79" s="10"/>
      <c r="C79" s="10"/>
      <c r="D79" s="10"/>
      <c r="E79" s="10"/>
      <c r="F79" s="10"/>
      <c r="G79" s="10"/>
      <c r="H79" s="10"/>
      <c r="I79" s="10"/>
      <c r="J79" s="10"/>
      <c r="K79" s="10"/>
      <c r="L79" s="10"/>
      <c r="M79" s="10"/>
      <c r="N79" s="10"/>
      <c r="O79" s="10"/>
      <c r="P79" s="10"/>
      <c r="Q79" s="11"/>
    </row>
    <row r="80" spans="1:17" x14ac:dyDescent="0.2">
      <c r="A80" s="14"/>
      <c r="B80" s="10"/>
      <c r="C80" s="10"/>
      <c r="D80" s="10"/>
      <c r="E80" s="10"/>
      <c r="F80" s="10"/>
      <c r="G80" s="10"/>
      <c r="H80" s="10"/>
      <c r="I80" s="10"/>
      <c r="J80" s="10"/>
      <c r="K80" s="10"/>
      <c r="L80" s="10"/>
      <c r="M80" s="10"/>
      <c r="N80" s="10"/>
      <c r="O80" s="10"/>
      <c r="P80" s="10"/>
      <c r="Q80" s="11"/>
    </row>
    <row r="81" spans="1:17" x14ac:dyDescent="0.2">
      <c r="A81" s="14" t="s">
        <v>2632</v>
      </c>
      <c r="B81" s="10"/>
      <c r="C81" s="10"/>
      <c r="D81" s="10"/>
      <c r="E81" s="10"/>
      <c r="F81" s="10"/>
      <c r="G81" s="10"/>
      <c r="H81" s="10"/>
      <c r="I81" s="10"/>
      <c r="J81" s="10"/>
      <c r="K81" s="10"/>
      <c r="L81" s="10"/>
      <c r="M81" s="10"/>
      <c r="N81" s="10"/>
      <c r="O81" s="10"/>
      <c r="P81" s="10"/>
      <c r="Q81" s="11"/>
    </row>
    <row r="82" spans="1:17" x14ac:dyDescent="0.2">
      <c r="A82" s="14"/>
      <c r="B82" s="10"/>
      <c r="C82" s="10"/>
      <c r="D82" s="10"/>
      <c r="E82" s="10"/>
      <c r="F82" s="10"/>
      <c r="G82" s="10"/>
      <c r="H82" s="10"/>
      <c r="I82" s="10"/>
      <c r="J82" s="10"/>
      <c r="K82" s="10"/>
      <c r="L82" s="10"/>
      <c r="M82" s="10"/>
      <c r="N82" s="10"/>
      <c r="O82" s="10"/>
      <c r="P82" s="10"/>
      <c r="Q82" s="11"/>
    </row>
    <row r="83" spans="1:17" x14ac:dyDescent="0.2">
      <c r="A83" s="14" t="s">
        <v>890</v>
      </c>
      <c r="B83" s="10"/>
      <c r="C83" s="10"/>
      <c r="D83" s="10"/>
      <c r="E83" s="10"/>
      <c r="F83" s="10"/>
      <c r="G83" s="10"/>
      <c r="H83" s="10"/>
      <c r="I83" s="10"/>
      <c r="J83" s="10"/>
      <c r="K83" s="10"/>
      <c r="L83" s="10"/>
      <c r="M83" s="10"/>
      <c r="N83" s="10"/>
      <c r="O83" s="10"/>
      <c r="P83" s="10"/>
      <c r="Q83" s="11"/>
    </row>
    <row r="84" spans="1:17" x14ac:dyDescent="0.2">
      <c r="A84" s="17" t="s">
        <v>891</v>
      </c>
      <c r="B84" s="10"/>
      <c r="C84" s="10"/>
      <c r="D84" s="10"/>
      <c r="E84" s="10"/>
      <c r="F84" s="10"/>
      <c r="G84" s="10"/>
      <c r="H84" s="10"/>
      <c r="I84" s="10"/>
      <c r="J84" s="10"/>
      <c r="K84" s="10"/>
      <c r="L84" s="10"/>
      <c r="M84" s="10"/>
      <c r="N84" s="10"/>
      <c r="O84" s="10"/>
      <c r="P84" s="10"/>
      <c r="Q84" s="11"/>
    </row>
    <row r="85" spans="1:17" x14ac:dyDescent="0.2">
      <c r="A85" s="403"/>
      <c r="B85" s="10"/>
      <c r="C85" s="10"/>
      <c r="D85" s="10"/>
      <c r="E85" s="10"/>
      <c r="F85" s="10"/>
      <c r="G85" s="10"/>
      <c r="H85" s="10"/>
      <c r="I85" s="10"/>
      <c r="J85" s="10"/>
      <c r="K85" s="10"/>
      <c r="L85" s="10"/>
      <c r="M85" s="10"/>
      <c r="N85" s="10"/>
      <c r="O85" s="10"/>
      <c r="P85" s="10"/>
      <c r="Q85" s="11"/>
    </row>
    <row r="86" spans="1:17" x14ac:dyDescent="0.2">
      <c r="A86" s="14" t="s">
        <v>1790</v>
      </c>
      <c r="B86" s="10"/>
      <c r="C86" s="10"/>
      <c r="D86" s="10"/>
      <c r="E86" s="10"/>
      <c r="F86" s="10"/>
      <c r="G86" s="10"/>
      <c r="H86" s="10"/>
      <c r="I86" s="10"/>
      <c r="J86" s="10"/>
      <c r="K86" s="10"/>
      <c r="L86" s="10"/>
      <c r="M86" s="10"/>
      <c r="N86" s="10"/>
      <c r="O86" s="10"/>
      <c r="P86" s="10"/>
      <c r="Q86" s="11"/>
    </row>
    <row r="87" spans="1:17" x14ac:dyDescent="0.2">
      <c r="A87" s="403" t="s">
        <v>1791</v>
      </c>
      <c r="B87" s="10"/>
      <c r="C87" s="10"/>
      <c r="D87" s="10"/>
      <c r="E87" s="10"/>
      <c r="F87" s="10"/>
      <c r="G87" s="10"/>
      <c r="H87" s="10"/>
      <c r="I87" s="10"/>
      <c r="J87" s="10"/>
      <c r="K87" s="10"/>
      <c r="L87" s="10"/>
      <c r="M87" s="10"/>
      <c r="N87" s="10"/>
      <c r="O87" s="10"/>
      <c r="P87" s="10"/>
      <c r="Q87" s="11"/>
    </row>
    <row r="88" spans="1:17" x14ac:dyDescent="0.2">
      <c r="A88" s="17" t="s">
        <v>1792</v>
      </c>
      <c r="B88" s="10"/>
      <c r="C88" s="10"/>
      <c r="D88" s="10"/>
      <c r="E88" s="10"/>
      <c r="F88" s="10"/>
      <c r="G88" s="10"/>
      <c r="H88" s="10"/>
      <c r="I88" s="10"/>
      <c r="J88" s="10"/>
      <c r="K88" s="10"/>
      <c r="L88" s="10"/>
      <c r="M88" s="10"/>
      <c r="N88" s="10"/>
      <c r="O88" s="10"/>
      <c r="P88" s="10"/>
      <c r="Q88" s="11"/>
    </row>
    <row r="89" spans="1:17" x14ac:dyDescent="0.2">
      <c r="A89" s="403"/>
      <c r="B89" s="10"/>
      <c r="C89" s="10"/>
      <c r="D89" s="10"/>
      <c r="E89" s="10"/>
      <c r="F89" s="10"/>
      <c r="G89" s="10"/>
      <c r="H89" s="10"/>
      <c r="I89" s="10"/>
      <c r="J89" s="10"/>
      <c r="K89" s="10"/>
      <c r="L89" s="10"/>
      <c r="M89" s="10"/>
      <c r="N89" s="10"/>
      <c r="O89" s="10"/>
      <c r="P89" s="10"/>
      <c r="Q89" s="11"/>
    </row>
    <row r="90" spans="1:17" x14ac:dyDescent="0.2">
      <c r="A90" s="14" t="s">
        <v>2631</v>
      </c>
      <c r="B90" s="10"/>
      <c r="C90" s="10"/>
      <c r="D90" s="10"/>
      <c r="E90" s="10"/>
      <c r="F90" s="10"/>
      <c r="G90" s="10"/>
      <c r="H90" s="10"/>
      <c r="I90" s="10"/>
      <c r="J90" s="10"/>
      <c r="K90" s="10"/>
      <c r="L90" s="10"/>
      <c r="M90" s="10"/>
      <c r="N90" s="10"/>
      <c r="O90" s="10"/>
      <c r="P90" s="10"/>
      <c r="Q90" s="11"/>
    </row>
    <row r="91" spans="1:17" x14ac:dyDescent="0.2">
      <c r="A91" s="14"/>
      <c r="B91" s="10"/>
      <c r="C91" s="10"/>
      <c r="D91" s="10"/>
      <c r="E91" s="10"/>
      <c r="F91" s="10"/>
      <c r="G91" s="10"/>
      <c r="H91" s="10"/>
      <c r="I91" s="10"/>
      <c r="J91" s="10"/>
      <c r="K91" s="10"/>
      <c r="L91" s="10"/>
      <c r="M91" s="10"/>
      <c r="N91" s="10"/>
      <c r="O91" s="10"/>
      <c r="P91" s="10"/>
      <c r="Q91" s="11"/>
    </row>
    <row r="92" spans="1:17" x14ac:dyDescent="0.2">
      <c r="A92" s="14" t="s">
        <v>704</v>
      </c>
      <c r="B92" s="10"/>
      <c r="C92" s="10"/>
      <c r="D92" s="10"/>
      <c r="E92" s="10"/>
      <c r="F92" s="10"/>
      <c r="G92" s="10"/>
      <c r="H92" s="10"/>
      <c r="I92" s="10"/>
      <c r="J92" s="10"/>
      <c r="K92" s="10"/>
      <c r="L92" s="10"/>
      <c r="M92" s="10"/>
      <c r="N92" s="10"/>
      <c r="O92" s="10"/>
      <c r="P92" s="10"/>
      <c r="Q92" s="11"/>
    </row>
    <row r="93" spans="1:17" x14ac:dyDescent="0.2">
      <c r="A93" s="14"/>
      <c r="B93" s="10"/>
      <c r="C93" s="10"/>
      <c r="D93" s="10"/>
      <c r="E93" s="10"/>
      <c r="F93" s="10"/>
      <c r="G93" s="10"/>
      <c r="H93" s="10"/>
      <c r="I93" s="10"/>
      <c r="J93" s="10"/>
      <c r="K93" s="10"/>
      <c r="L93" s="10"/>
      <c r="M93" s="10"/>
      <c r="N93" s="10"/>
      <c r="O93" s="10"/>
      <c r="P93" s="10"/>
      <c r="Q93" s="11"/>
    </row>
    <row r="94" spans="1:17" x14ac:dyDescent="0.2">
      <c r="A94" s="23"/>
      <c r="B94" s="23"/>
      <c r="C94" s="23"/>
      <c r="D94" s="23"/>
      <c r="E94" s="23"/>
      <c r="F94" s="23"/>
      <c r="G94" s="23"/>
      <c r="H94" s="23"/>
      <c r="I94" s="23"/>
      <c r="J94" s="23"/>
      <c r="K94" s="23"/>
      <c r="L94" s="23"/>
      <c r="M94" s="23"/>
      <c r="N94" s="23"/>
      <c r="O94" s="23"/>
      <c r="P94" s="23"/>
      <c r="Q94" s="24"/>
    </row>
  </sheetData>
  <phoneticPr fontId="28" type="noConversion"/>
  <dataValidations disablePrompts="1" count="1">
    <dataValidation type="list" allowBlank="1" showInputMessage="1" showErrorMessage="1" sqref="B3">
      <formula1>"Plan Info,Flat Data,Historical Data,Data Lookup Tables,Framework Lookup Tables, Calc Inputs,Reports,Batch Processes,Site Configuration,Documentation"</formula1>
    </dataValidation>
  </dataValidation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RBLInput">
    <outlinePr summaryBelow="0"/>
  </sheetPr>
  <dimension ref="A1:AH126"/>
  <sheetViews>
    <sheetView zoomScaleNormal="100" workbookViewId="0"/>
  </sheetViews>
  <sheetFormatPr defaultRowHeight="12.75" x14ac:dyDescent="0.2"/>
  <cols>
    <col min="1" max="1" width="26.85546875" customWidth="1"/>
    <col min="2" max="3" width="15.7109375" customWidth="1"/>
    <col min="4" max="4" width="23.42578125" customWidth="1"/>
    <col min="5" max="5" width="21.85546875" bestFit="1" customWidth="1"/>
    <col min="6" max="6" width="13.5703125" customWidth="1"/>
    <col min="7" max="7" width="10.28515625" customWidth="1"/>
    <col min="8" max="9" width="15.5703125" bestFit="1" customWidth="1"/>
    <col min="10" max="10" width="13.28515625" bestFit="1" customWidth="1"/>
    <col min="11" max="12" width="10.5703125" bestFit="1" customWidth="1"/>
    <col min="13" max="13" width="27.140625" customWidth="1"/>
    <col min="14" max="14" width="9.5703125" customWidth="1"/>
    <col min="15" max="15" width="10.5703125" bestFit="1" customWidth="1"/>
    <col min="16" max="16" width="21.85546875" customWidth="1"/>
    <col min="17" max="17" width="10.28515625" customWidth="1"/>
    <col min="18" max="18" width="17.5703125" customWidth="1"/>
    <col min="19" max="19" width="20.85546875" customWidth="1"/>
    <col min="20" max="20" width="9.28515625" bestFit="1" customWidth="1"/>
    <col min="21" max="21" width="9.28515625" customWidth="1"/>
    <col min="22" max="22" width="25" customWidth="1"/>
    <col min="23" max="23" width="25.7109375" customWidth="1"/>
    <col min="24" max="24" width="44.42578125" customWidth="1"/>
    <col min="25" max="25" width="17.5703125" customWidth="1"/>
    <col min="26" max="26" width="20.85546875" customWidth="1"/>
    <col min="27" max="27" width="9.28515625" bestFit="1" customWidth="1"/>
    <col min="28" max="28" width="25" customWidth="1"/>
    <col min="29" max="29" width="112.85546875" bestFit="1" customWidth="1"/>
    <col min="30" max="30" width="10.5703125" customWidth="1"/>
    <col min="31" max="31" width="11.5703125" customWidth="1"/>
    <col min="32" max="32" width="12" customWidth="1"/>
    <col min="33" max="33" width="11.140625" customWidth="1"/>
  </cols>
  <sheetData>
    <row r="1" spans="1:11" s="3" customFormat="1" ht="13.5" thickBot="1" x14ac:dyDescent="0.25">
      <c r="A1" s="59" t="s">
        <v>576</v>
      </c>
      <c r="B1" s="60"/>
      <c r="C1" s="40"/>
      <c r="D1" s="40"/>
      <c r="E1" s="40"/>
      <c r="F1" s="40"/>
      <c r="G1" s="40"/>
      <c r="H1" s="40"/>
      <c r="I1" s="40"/>
      <c r="J1" s="40"/>
      <c r="K1" s="40"/>
    </row>
    <row r="2" spans="1:11" x14ac:dyDescent="0.2">
      <c r="A2" s="739" t="s">
        <v>1151</v>
      </c>
      <c r="B2" s="638" t="s">
        <v>2668</v>
      </c>
      <c r="C2" s="639"/>
      <c r="D2" s="639"/>
      <c r="E2" s="639"/>
      <c r="F2" s="639"/>
      <c r="G2" s="639"/>
      <c r="H2" s="639"/>
      <c r="I2" s="639"/>
      <c r="J2" s="639"/>
      <c r="K2" s="640"/>
    </row>
    <row r="3" spans="1:11" x14ac:dyDescent="0.2">
      <c r="A3" s="740" t="s">
        <v>209</v>
      </c>
      <c r="B3" s="641">
        <v>6.01</v>
      </c>
      <c r="C3" s="741" t="s">
        <v>2666</v>
      </c>
      <c r="D3" s="642"/>
      <c r="E3" s="642"/>
      <c r="F3" s="642"/>
      <c r="G3" s="642"/>
      <c r="H3" s="642"/>
      <c r="I3" s="642"/>
      <c r="J3" s="642"/>
      <c r="K3" s="643"/>
    </row>
    <row r="4" spans="1:11" x14ac:dyDescent="0.2">
      <c r="A4" s="740" t="s">
        <v>577</v>
      </c>
      <c r="B4" s="641" t="s">
        <v>1502</v>
      </c>
      <c r="C4" s="742" t="s">
        <v>2667</v>
      </c>
      <c r="D4" s="642"/>
      <c r="E4" s="642"/>
      <c r="F4" s="642"/>
      <c r="G4" s="642"/>
      <c r="H4" s="642"/>
      <c r="I4" s="642"/>
      <c r="J4" s="642"/>
      <c r="K4" s="643"/>
    </row>
    <row r="5" spans="1:11" x14ac:dyDescent="0.2">
      <c r="A5" s="740" t="s">
        <v>1149</v>
      </c>
      <c r="B5" s="743" t="s">
        <v>1681</v>
      </c>
      <c r="C5" s="642"/>
      <c r="D5" s="642"/>
      <c r="E5" s="642"/>
      <c r="F5" s="642"/>
      <c r="G5" s="642"/>
      <c r="H5" s="642"/>
      <c r="I5" s="642"/>
      <c r="J5" s="642"/>
      <c r="K5" s="643"/>
    </row>
    <row r="6" spans="1:11" ht="13.5" thickBot="1" x14ac:dyDescent="0.25">
      <c r="A6" s="744"/>
      <c r="B6" s="745"/>
      <c r="C6" s="650"/>
      <c r="D6" s="650"/>
      <c r="E6" s="650"/>
      <c r="F6" s="650"/>
      <c r="G6" s="650"/>
      <c r="H6" s="650"/>
      <c r="I6" s="650"/>
      <c r="J6" s="650"/>
      <c r="K6" s="651"/>
    </row>
    <row r="8" spans="1:11" s="3" customFormat="1" ht="13.5" thickBot="1" x14ac:dyDescent="0.25">
      <c r="A8" s="59" t="s">
        <v>392</v>
      </c>
      <c r="B8" s="237" t="s">
        <v>3026</v>
      </c>
      <c r="C8" s="34" t="s">
        <v>579</v>
      </c>
      <c r="D8" s="34" t="s">
        <v>591</v>
      </c>
    </row>
    <row r="9" spans="1:11" x14ac:dyDescent="0.2">
      <c r="A9" s="702" t="s">
        <v>744</v>
      </c>
      <c r="B9" s="703"/>
      <c r="C9" s="703">
        <f ca="1">TODAY()</f>
        <v>42583</v>
      </c>
      <c r="D9" s="704">
        <f ca="1">IF(ISBLANK(B9),C9,B9)</f>
        <v>42583</v>
      </c>
      <c r="H9" s="44"/>
      <c r="I9" s="44"/>
    </row>
    <row r="10" spans="1:11" x14ac:dyDescent="0.2">
      <c r="A10" s="705" t="s">
        <v>748</v>
      </c>
      <c r="B10" s="706"/>
      <c r="C10" s="706">
        <f ca="1">TODAY()</f>
        <v>42583</v>
      </c>
      <c r="D10" s="707">
        <f ca="1">IF(ISBLANK(B10),C10,B10)</f>
        <v>42583</v>
      </c>
      <c r="H10" s="44"/>
      <c r="I10" s="44"/>
    </row>
    <row r="11" spans="1:11" x14ac:dyDescent="0.2">
      <c r="A11" s="705" t="s">
        <v>751</v>
      </c>
      <c r="B11" s="706">
        <v>38930</v>
      </c>
      <c r="C11" s="706">
        <f ca="1">IF(iMHCalcType=3,DATE(YEAR(datebirth)+iRetAge,MONTH(datebirth),DAY(datebirth)),MAX(DATE(aCurrentYear,12,31),DATE(YEAR(datebirth)+65,MONTH(datebirth)+IF(DAY(datebirth)=1,0,1),1)-1))</f>
        <v>42735</v>
      </c>
      <c r="D11" s="707">
        <f>IF(ISBLANK(B11),C11,B11)</f>
        <v>38930</v>
      </c>
      <c r="H11" s="44"/>
      <c r="I11" s="44"/>
    </row>
    <row r="12" spans="1:11" x14ac:dyDescent="0.2">
      <c r="A12" s="705" t="s">
        <v>745</v>
      </c>
      <c r="B12" s="706">
        <v>39052</v>
      </c>
      <c r="C12" s="706">
        <f ca="1">IF(iMHCalcType=3,DATE(YEAR(datebirth)+iRetAge,MONTH(datebirth)+IF(DAY(datebirth)=1,0,1),1),C11+1)</f>
        <v>42736</v>
      </c>
      <c r="D12" s="707">
        <f>IF(ISBLANK(B12),C12,B12)</f>
        <v>39052</v>
      </c>
      <c r="H12" s="44"/>
      <c r="I12" s="44"/>
    </row>
    <row r="13" spans="1:11" s="156" customFormat="1" x14ac:dyDescent="0.2">
      <c r="A13" s="708" t="s">
        <v>741</v>
      </c>
      <c r="B13" s="709"/>
      <c r="C13" s="710" t="s">
        <v>928</v>
      </c>
      <c r="D13" s="711" t="str">
        <f>IF(ISBLANK(B13),C13,B13)</f>
        <v>N</v>
      </c>
      <c r="H13" s="244"/>
      <c r="I13" s="244"/>
    </row>
    <row r="14" spans="1:11" x14ac:dyDescent="0.2">
      <c r="A14" s="705" t="s">
        <v>1612</v>
      </c>
      <c r="B14" s="706"/>
      <c r="C14" s="706">
        <f ca="1">MAX(DATE(aCurrentYear,12,31),DATE(YEAR(datebirth)+65,MONTH(datebirth)+IF(DAY(datebirth)=1,0,1),1)-1)</f>
        <v>42735</v>
      </c>
      <c r="D14" s="707" t="str">
        <f t="shared" ref="D14:D21" si="0">IF(D$13="N","",IF(ISBLANK(B14),C14,B14))</f>
        <v/>
      </c>
      <c r="H14" s="44"/>
      <c r="I14" s="44"/>
    </row>
    <row r="15" spans="1:11" x14ac:dyDescent="0.2">
      <c r="A15" s="705" t="s">
        <v>1620</v>
      </c>
      <c r="B15" s="706"/>
      <c r="C15" s="706">
        <f ca="1">C14+1</f>
        <v>42736</v>
      </c>
      <c r="D15" s="707" t="str">
        <f t="shared" si="0"/>
        <v/>
      </c>
      <c r="H15" s="44"/>
      <c r="I15" s="44"/>
    </row>
    <row r="16" spans="1:11" x14ac:dyDescent="0.2">
      <c r="A16" s="705" t="s">
        <v>1614</v>
      </c>
      <c r="B16" s="706"/>
      <c r="C16" s="706">
        <f ca="1">MAX(DATE(aCurrentYear,12,31),DATE(YEAR(datebirth)+65,MONTH(datebirth)+IF(DAY(datebirth)=1,0,1),1)-1)</f>
        <v>42735</v>
      </c>
      <c r="D16" s="707" t="str">
        <f t="shared" si="0"/>
        <v/>
      </c>
      <c r="H16" s="44"/>
      <c r="I16" s="44"/>
    </row>
    <row r="17" spans="1:9" x14ac:dyDescent="0.2">
      <c r="A17" s="705" t="s">
        <v>1622</v>
      </c>
      <c r="B17" s="706"/>
      <c r="C17" s="706">
        <f ca="1">C16+1</f>
        <v>42736</v>
      </c>
      <c r="D17" s="707" t="str">
        <f t="shared" si="0"/>
        <v/>
      </c>
      <c r="H17" s="44"/>
      <c r="I17" s="44"/>
    </row>
    <row r="18" spans="1:9" x14ac:dyDescent="0.2">
      <c r="A18" s="705" t="s">
        <v>1616</v>
      </c>
      <c r="B18" s="706"/>
      <c r="C18" s="706">
        <f ca="1">MAX(DATE(aCurrentYear,12,31),DATE(YEAR(datebirth)+65,MONTH(datebirth)+IF(DAY(datebirth)=1,0,1),1)-1)</f>
        <v>42735</v>
      </c>
      <c r="D18" s="707" t="str">
        <f t="shared" si="0"/>
        <v/>
      </c>
      <c r="H18" s="44"/>
      <c r="I18" s="44"/>
    </row>
    <row r="19" spans="1:9" x14ac:dyDescent="0.2">
      <c r="A19" s="705" t="s">
        <v>1624</v>
      </c>
      <c r="B19" s="706"/>
      <c r="C19" s="706">
        <f ca="1">C18+1</f>
        <v>42736</v>
      </c>
      <c r="D19" s="707" t="str">
        <f t="shared" si="0"/>
        <v/>
      </c>
      <c r="H19" s="44"/>
      <c r="I19" s="44"/>
    </row>
    <row r="20" spans="1:9" x14ac:dyDescent="0.2">
      <c r="A20" s="705" t="s">
        <v>1618</v>
      </c>
      <c r="B20" s="706"/>
      <c r="C20" s="706">
        <f ca="1">MAX(DATE(aCurrentYear,12,31),DATE(YEAR(datebirth)+65,MONTH(datebirth)+IF(DAY(datebirth)=1,0,1),1)-1)</f>
        <v>42735</v>
      </c>
      <c r="D20" s="707" t="str">
        <f t="shared" si="0"/>
        <v/>
      </c>
      <c r="H20" s="44"/>
      <c r="I20" s="44"/>
    </row>
    <row r="21" spans="1:9" x14ac:dyDescent="0.2">
      <c r="A21" s="705" t="s">
        <v>791</v>
      </c>
      <c r="B21" s="706"/>
      <c r="C21" s="706">
        <f ca="1">C20+1</f>
        <v>42736</v>
      </c>
      <c r="D21" s="707" t="str">
        <f t="shared" si="0"/>
        <v/>
      </c>
      <c r="H21" s="44"/>
      <c r="I21" s="44"/>
    </row>
    <row r="22" spans="1:9" x14ac:dyDescent="0.2">
      <c r="A22" s="705" t="s">
        <v>793</v>
      </c>
      <c r="B22" s="712"/>
      <c r="C22" s="710"/>
      <c r="D22" s="713">
        <f>IF(ISBLANK(B22),C22,B22)</f>
        <v>0</v>
      </c>
      <c r="H22" s="44"/>
      <c r="I22" s="44"/>
    </row>
    <row r="23" spans="1:9" s="156" customFormat="1" x14ac:dyDescent="0.2">
      <c r="A23" s="708" t="s">
        <v>796</v>
      </c>
      <c r="B23" s="714"/>
      <c r="C23" s="715">
        <v>2040</v>
      </c>
      <c r="D23" s="716">
        <f>IF(ISBLANK(B23),C23,B23)</f>
        <v>2040</v>
      </c>
      <c r="H23" s="244"/>
      <c r="I23" s="244"/>
    </row>
    <row r="24" spans="1:9" s="156" customFormat="1" x14ac:dyDescent="0.2">
      <c r="A24" s="708" t="s">
        <v>799</v>
      </c>
      <c r="B24" s="714"/>
      <c r="C24" s="715"/>
      <c r="D24" s="716">
        <f>IF(ISBLANK(B24),C24,B24)</f>
        <v>0</v>
      </c>
      <c r="H24" s="244"/>
      <c r="I24" s="244"/>
    </row>
    <row r="25" spans="1:9" s="156" customFormat="1" x14ac:dyDescent="0.2">
      <c r="A25" s="708" t="s">
        <v>802</v>
      </c>
      <c r="B25" s="714"/>
      <c r="C25" s="715">
        <v>2040</v>
      </c>
      <c r="D25" s="716">
        <f>IF(ISBLANK(B25),C25,B25)</f>
        <v>2040</v>
      </c>
      <c r="H25" s="244"/>
      <c r="I25" s="244"/>
    </row>
    <row r="26" spans="1:9" x14ac:dyDescent="0.2">
      <c r="A26" s="705" t="s">
        <v>805</v>
      </c>
      <c r="B26" s="712"/>
      <c r="C26" s="717"/>
      <c r="D26" s="718">
        <f>IF(ISBLANK(B26),C26,B26)/100</f>
        <v>0</v>
      </c>
      <c r="H26" s="44"/>
      <c r="I26" s="44"/>
    </row>
    <row r="27" spans="1:9" x14ac:dyDescent="0.2">
      <c r="A27" s="705" t="s">
        <v>808</v>
      </c>
      <c r="B27" s="712"/>
      <c r="C27" s="710"/>
      <c r="D27" s="713">
        <f>IF(ISBLANK(B27),C27,B27)</f>
        <v>0</v>
      </c>
      <c r="H27" s="44"/>
      <c r="I27" s="44"/>
    </row>
    <row r="28" spans="1:9" x14ac:dyDescent="0.2">
      <c r="A28" s="705" t="s">
        <v>1569</v>
      </c>
      <c r="B28" s="712"/>
      <c r="C28" s="717"/>
      <c r="D28" s="718">
        <f>IF(ISBLANK(B28),C28,B28)/100</f>
        <v>0</v>
      </c>
      <c r="H28" s="44"/>
      <c r="I28" s="44"/>
    </row>
    <row r="29" spans="1:9" x14ac:dyDescent="0.2">
      <c r="A29" s="705" t="s">
        <v>2006</v>
      </c>
      <c r="B29" s="712"/>
      <c r="C29" s="710"/>
      <c r="D29" s="718">
        <f>IF(ISBLANK(B29),C29,B29)/100</f>
        <v>0</v>
      </c>
      <c r="H29" s="44"/>
      <c r="I29" s="44"/>
    </row>
    <row r="30" spans="1:9" s="156" customFormat="1" x14ac:dyDescent="0.2">
      <c r="A30" s="719" t="s">
        <v>108</v>
      </c>
      <c r="B30" s="714"/>
      <c r="C30" s="715" t="str">
        <f>namelastben</f>
        <v>Paula</v>
      </c>
      <c r="D30" s="711" t="str">
        <f t="shared" ref="D30:D46" si="1">IF(ISBLANK(B30),C30,B30)</f>
        <v>Paula</v>
      </c>
      <c r="H30" s="244"/>
      <c r="I30" s="244"/>
    </row>
    <row r="31" spans="1:9" s="156" customFormat="1" x14ac:dyDescent="0.2">
      <c r="A31" s="719" t="s">
        <v>111</v>
      </c>
      <c r="B31" s="714"/>
      <c r="C31" s="715" t="str">
        <f>namefirstben</f>
        <v>Parker</v>
      </c>
      <c r="D31" s="711" t="str">
        <f t="shared" si="1"/>
        <v>Parker</v>
      </c>
      <c r="H31" s="244"/>
      <c r="I31" s="244"/>
    </row>
    <row r="32" spans="1:9" x14ac:dyDescent="0.2">
      <c r="A32" s="705" t="s">
        <v>114</v>
      </c>
      <c r="B32" s="706"/>
      <c r="C32" s="720" t="str">
        <f>IF(datebirthben="","",datebirthben)</f>
        <v/>
      </c>
      <c r="D32" s="707" t="str">
        <f t="shared" si="1"/>
        <v/>
      </c>
      <c r="H32" s="44"/>
      <c r="I32" s="44"/>
    </row>
    <row r="33" spans="1:9" s="156" customFormat="1" x14ac:dyDescent="0.2">
      <c r="A33" s="708" t="s">
        <v>117</v>
      </c>
      <c r="B33" s="720"/>
      <c r="C33" s="721" t="str">
        <f>address1</f>
        <v>1000 Street St.</v>
      </c>
      <c r="D33" s="711" t="str">
        <f t="shared" si="1"/>
        <v>1000 Street St.</v>
      </c>
      <c r="H33" s="244"/>
      <c r="I33" s="244"/>
    </row>
    <row r="34" spans="1:9" s="156" customFormat="1" x14ac:dyDescent="0.2">
      <c r="A34" s="708" t="s">
        <v>120</v>
      </c>
      <c r="B34" s="720"/>
      <c r="C34" s="721" t="str">
        <f>IF(OR(address2="",address2=0),"",address2)</f>
        <v/>
      </c>
      <c r="D34" s="711" t="str">
        <f t="shared" si="1"/>
        <v/>
      </c>
      <c r="H34" s="244"/>
      <c r="I34" s="244"/>
    </row>
    <row r="35" spans="1:9" s="156" customFormat="1" x14ac:dyDescent="0.2">
      <c r="A35" s="708" t="s">
        <v>122</v>
      </c>
      <c r="B35" s="720"/>
      <c r="C35" s="721" t="str">
        <f>city</f>
        <v>Walnut Creek</v>
      </c>
      <c r="D35" s="711" t="str">
        <f t="shared" si="1"/>
        <v>Walnut Creek</v>
      </c>
      <c r="H35" s="244"/>
      <c r="I35" s="244"/>
    </row>
    <row r="36" spans="1:9" s="156" customFormat="1" x14ac:dyDescent="0.2">
      <c r="A36" s="708" t="s">
        <v>124</v>
      </c>
      <c r="B36" s="720"/>
      <c r="C36" s="721" t="str">
        <f>state</f>
        <v>CA</v>
      </c>
      <c r="D36" s="711" t="str">
        <f t="shared" si="1"/>
        <v>CA</v>
      </c>
      <c r="H36" s="244"/>
      <c r="I36" s="244"/>
    </row>
    <row r="37" spans="1:9" s="156" customFormat="1" x14ac:dyDescent="0.2">
      <c r="A37" s="708" t="s">
        <v>126</v>
      </c>
      <c r="B37" s="722"/>
      <c r="C37" s="721">
        <f>zip</f>
        <v>94598</v>
      </c>
      <c r="D37" s="723">
        <f t="shared" si="1"/>
        <v>94598</v>
      </c>
      <c r="H37" s="244"/>
      <c r="I37" s="244"/>
    </row>
    <row r="38" spans="1:9" s="156" customFormat="1" x14ac:dyDescent="0.2">
      <c r="A38" s="708" t="s">
        <v>1523</v>
      </c>
      <c r="B38" s="724"/>
      <c r="C38" s="724"/>
      <c r="D38" s="725">
        <f t="shared" si="1"/>
        <v>0</v>
      </c>
      <c r="H38" s="244"/>
      <c r="I38" s="244"/>
    </row>
    <row r="39" spans="1:9" s="156" customFormat="1" x14ac:dyDescent="0.2">
      <c r="A39" s="708" t="s">
        <v>1526</v>
      </c>
      <c r="B39" s="724"/>
      <c r="C39" s="726"/>
      <c r="D39" s="727">
        <f t="shared" si="1"/>
        <v>0</v>
      </c>
      <c r="H39" s="244"/>
      <c r="I39" s="244"/>
    </row>
    <row r="40" spans="1:9" s="156" customFormat="1" x14ac:dyDescent="0.2">
      <c r="A40" s="708" t="s">
        <v>582</v>
      </c>
      <c r="B40" s="724"/>
      <c r="C40" s="726"/>
      <c r="D40" s="727">
        <f t="shared" si="1"/>
        <v>0</v>
      </c>
      <c r="H40" s="244"/>
      <c r="I40" s="244"/>
    </row>
    <row r="41" spans="1:9" s="156" customFormat="1" x14ac:dyDescent="0.2">
      <c r="A41" s="708" t="s">
        <v>585</v>
      </c>
      <c r="B41" s="724"/>
      <c r="C41" s="724"/>
      <c r="D41" s="725">
        <f t="shared" si="1"/>
        <v>0</v>
      </c>
      <c r="H41" s="244"/>
      <c r="I41" s="244"/>
    </row>
    <row r="42" spans="1:9" s="156" customFormat="1" x14ac:dyDescent="0.2">
      <c r="A42" s="708" t="s">
        <v>531</v>
      </c>
      <c r="B42" s="724"/>
      <c r="C42" s="728" t="s">
        <v>327</v>
      </c>
      <c r="D42" s="729" t="str">
        <f t="shared" si="1"/>
        <v>sla</v>
      </c>
      <c r="H42" s="244"/>
      <c r="I42" s="244"/>
    </row>
    <row r="43" spans="1:9" s="67" customFormat="1" x14ac:dyDescent="0.2">
      <c r="A43" s="705" t="s">
        <v>870</v>
      </c>
      <c r="B43" s="730"/>
      <c r="C43" s="730"/>
      <c r="D43" s="731">
        <f t="shared" si="1"/>
        <v>0</v>
      </c>
    </row>
    <row r="44" spans="1:9" s="67" customFormat="1" x14ac:dyDescent="0.2">
      <c r="A44" s="705" t="s">
        <v>761</v>
      </c>
      <c r="B44" s="730"/>
      <c r="C44" s="730"/>
      <c r="D44" s="731">
        <f t="shared" si="1"/>
        <v>0</v>
      </c>
    </row>
    <row r="45" spans="1:9" s="67" customFormat="1" x14ac:dyDescent="0.2">
      <c r="A45" s="705" t="s">
        <v>765</v>
      </c>
      <c r="B45" s="730"/>
      <c r="C45" s="730"/>
      <c r="D45" s="731">
        <f t="shared" si="1"/>
        <v>0</v>
      </c>
      <c r="E45" s="319"/>
    </row>
    <row r="46" spans="1:9" s="67" customFormat="1" ht="13.5" thickBot="1" x14ac:dyDescent="0.25">
      <c r="A46" s="732" t="s">
        <v>590</v>
      </c>
      <c r="B46" s="733"/>
      <c r="C46" s="733">
        <f>IF(iGoalVariable=1,80,1000000)</f>
        <v>1000000</v>
      </c>
      <c r="D46" s="734">
        <f t="shared" si="1"/>
        <v>1000000</v>
      </c>
    </row>
    <row r="47" spans="1:9" ht="13.5" thickBot="1" x14ac:dyDescent="0.25"/>
    <row r="48" spans="1:9" ht="13.5" thickBot="1" x14ac:dyDescent="0.25">
      <c r="A48" s="238" t="s">
        <v>592</v>
      </c>
      <c r="B48" s="241" t="s">
        <v>593</v>
      </c>
      <c r="C48" s="368"/>
      <c r="D48" s="242" t="s">
        <v>591</v>
      </c>
    </row>
    <row r="49" spans="1:4" x14ac:dyDescent="0.2">
      <c r="A49" s="685" t="s">
        <v>594</v>
      </c>
      <c r="B49" s="688">
        <v>121212121</v>
      </c>
      <c r="C49" s="688"/>
      <c r="D49" s="689">
        <f>IF(ISBLANK(B49),"",B49)</f>
        <v>121212121</v>
      </c>
    </row>
    <row r="50" spans="1:4" x14ac:dyDescent="0.2">
      <c r="A50" s="686" t="s">
        <v>595</v>
      </c>
      <c r="B50" s="690" t="s">
        <v>596</v>
      </c>
      <c r="C50" s="690"/>
      <c r="D50" s="691" t="str">
        <f t="shared" ref="D50:D72" si="2">IF(ISBLANK(B50),"",B50)</f>
        <v>Parker</v>
      </c>
    </row>
    <row r="51" spans="1:4" x14ac:dyDescent="0.2">
      <c r="A51" s="686" t="s">
        <v>597</v>
      </c>
      <c r="B51" s="690" t="s">
        <v>598</v>
      </c>
      <c r="C51" s="690"/>
      <c r="D51" s="691" t="str">
        <f t="shared" si="2"/>
        <v>Philip</v>
      </c>
    </row>
    <row r="52" spans="1:4" x14ac:dyDescent="0.2">
      <c r="A52" s="686" t="s">
        <v>599</v>
      </c>
      <c r="B52" s="690" t="s">
        <v>1861</v>
      </c>
      <c r="C52" s="690"/>
      <c r="D52" s="691" t="str">
        <f t="shared" si="2"/>
        <v>M</v>
      </c>
    </row>
    <row r="53" spans="1:4" x14ac:dyDescent="0.2">
      <c r="A53" s="686" t="s">
        <v>1862</v>
      </c>
      <c r="B53" s="692">
        <v>16345</v>
      </c>
      <c r="C53" s="692"/>
      <c r="D53" s="693">
        <f t="shared" si="2"/>
        <v>16345</v>
      </c>
    </row>
    <row r="54" spans="1:4" x14ac:dyDescent="0.2">
      <c r="A54" s="686" t="s">
        <v>1863</v>
      </c>
      <c r="B54" s="692">
        <v>36477</v>
      </c>
      <c r="C54" s="692"/>
      <c r="D54" s="693">
        <f t="shared" si="2"/>
        <v>36477</v>
      </c>
    </row>
    <row r="55" spans="1:4" x14ac:dyDescent="0.2">
      <c r="A55" s="686" t="s">
        <v>1865</v>
      </c>
      <c r="B55" s="694"/>
      <c r="C55" s="694"/>
      <c r="D55" s="695" t="str">
        <f t="shared" si="2"/>
        <v/>
      </c>
    </row>
    <row r="56" spans="1:4" x14ac:dyDescent="0.2">
      <c r="A56" s="686" t="s">
        <v>1866</v>
      </c>
      <c r="B56" s="694"/>
      <c r="C56" s="694"/>
      <c r="D56" s="695" t="str">
        <f t="shared" si="2"/>
        <v/>
      </c>
    </row>
    <row r="57" spans="1:4" x14ac:dyDescent="0.2">
      <c r="A57" s="686" t="s">
        <v>1867</v>
      </c>
      <c r="B57" s="694"/>
      <c r="C57" s="694"/>
      <c r="D57" s="695" t="str">
        <f t="shared" si="2"/>
        <v/>
      </c>
    </row>
    <row r="58" spans="1:4" x14ac:dyDescent="0.2">
      <c r="A58" s="686" t="s">
        <v>1868</v>
      </c>
      <c r="B58" s="694"/>
      <c r="C58" s="694"/>
      <c r="D58" s="695" t="str">
        <f t="shared" si="2"/>
        <v/>
      </c>
    </row>
    <row r="59" spans="1:4" x14ac:dyDescent="0.2">
      <c r="A59" s="686" t="s">
        <v>1869</v>
      </c>
      <c r="B59" s="694"/>
      <c r="C59" s="694"/>
      <c r="D59" s="695" t="str">
        <f t="shared" si="2"/>
        <v/>
      </c>
    </row>
    <row r="60" spans="1:4" x14ac:dyDescent="0.2">
      <c r="A60" s="686" t="s">
        <v>1870</v>
      </c>
      <c r="B60" s="694"/>
      <c r="C60" s="694"/>
      <c r="D60" s="695" t="str">
        <f t="shared" si="2"/>
        <v/>
      </c>
    </row>
    <row r="61" spans="1:4" x14ac:dyDescent="0.2">
      <c r="A61" s="686" t="s">
        <v>1871</v>
      </c>
      <c r="B61" s="694"/>
      <c r="C61" s="694"/>
      <c r="D61" s="695" t="str">
        <f t="shared" si="2"/>
        <v/>
      </c>
    </row>
    <row r="62" spans="1:4" x14ac:dyDescent="0.2">
      <c r="A62" s="686" t="s">
        <v>1872</v>
      </c>
      <c r="B62" s="690" t="s">
        <v>1873</v>
      </c>
      <c r="C62" s="690"/>
      <c r="D62" s="691" t="str">
        <f t="shared" si="2"/>
        <v>1000 Street St.</v>
      </c>
    </row>
    <row r="63" spans="1:4" x14ac:dyDescent="0.2">
      <c r="A63" s="686" t="s">
        <v>1874</v>
      </c>
      <c r="B63" s="696"/>
      <c r="C63" s="696"/>
      <c r="D63" s="697" t="str">
        <f t="shared" si="2"/>
        <v/>
      </c>
    </row>
    <row r="64" spans="1:4" x14ac:dyDescent="0.2">
      <c r="A64" s="686" t="s">
        <v>1875</v>
      </c>
      <c r="B64" s="690" t="s">
        <v>1876</v>
      </c>
      <c r="C64" s="690"/>
      <c r="D64" s="691" t="str">
        <f t="shared" si="2"/>
        <v>Walnut Creek</v>
      </c>
    </row>
    <row r="65" spans="1:5" x14ac:dyDescent="0.2">
      <c r="A65" s="686" t="s">
        <v>1877</v>
      </c>
      <c r="B65" s="690" t="s">
        <v>676</v>
      </c>
      <c r="C65" s="690"/>
      <c r="D65" s="691" t="str">
        <f t="shared" si="2"/>
        <v>CA</v>
      </c>
    </row>
    <row r="66" spans="1:5" x14ac:dyDescent="0.2">
      <c r="A66" s="686" t="s">
        <v>1878</v>
      </c>
      <c r="B66" s="696">
        <v>94598</v>
      </c>
      <c r="C66" s="696"/>
      <c r="D66" s="697">
        <f t="shared" si="2"/>
        <v>94598</v>
      </c>
    </row>
    <row r="67" spans="1:5" x14ac:dyDescent="0.2">
      <c r="A67" s="686" t="s">
        <v>1879</v>
      </c>
      <c r="B67" s="690" t="s">
        <v>1880</v>
      </c>
      <c r="C67" s="690"/>
      <c r="D67" s="691" t="str">
        <f t="shared" si="2"/>
        <v>Paula</v>
      </c>
    </row>
    <row r="68" spans="1:5" x14ac:dyDescent="0.2">
      <c r="A68" s="686" t="s">
        <v>1066</v>
      </c>
      <c r="B68" s="690" t="s">
        <v>596</v>
      </c>
      <c r="C68" s="690"/>
      <c r="D68" s="691" t="str">
        <f t="shared" si="2"/>
        <v>Parker</v>
      </c>
    </row>
    <row r="69" spans="1:5" x14ac:dyDescent="0.2">
      <c r="A69" s="686" t="s">
        <v>1067</v>
      </c>
      <c r="B69" s="696"/>
      <c r="C69" s="696"/>
      <c r="D69" s="697" t="str">
        <f t="shared" si="2"/>
        <v/>
      </c>
    </row>
    <row r="70" spans="1:5" x14ac:dyDescent="0.2">
      <c r="A70" s="686" t="s">
        <v>1068</v>
      </c>
      <c r="B70" s="690" t="s">
        <v>368</v>
      </c>
      <c r="C70" s="690"/>
      <c r="D70" s="691" t="str">
        <f t="shared" si="2"/>
        <v>F</v>
      </c>
    </row>
    <row r="71" spans="1:5" x14ac:dyDescent="0.2">
      <c r="A71" s="686" t="s">
        <v>1069</v>
      </c>
      <c r="B71" s="696">
        <v>1233311</v>
      </c>
      <c r="C71" s="696"/>
      <c r="D71" s="697">
        <f t="shared" si="2"/>
        <v>1233311</v>
      </c>
    </row>
    <row r="72" spans="1:5" ht="13.5" thickBot="1" x14ac:dyDescent="0.25">
      <c r="A72" s="687" t="s">
        <v>1070</v>
      </c>
      <c r="B72" s="698"/>
      <c r="C72" s="698"/>
      <c r="D72" s="699" t="str">
        <f t="shared" si="2"/>
        <v/>
      </c>
    </row>
    <row r="73" spans="1:5" ht="13.5" thickBot="1" x14ac:dyDescent="0.25"/>
    <row r="74" spans="1:5" ht="13.5" thickBot="1" x14ac:dyDescent="0.25">
      <c r="A74" s="238" t="s">
        <v>1888</v>
      </c>
      <c r="B74" s="241" t="s">
        <v>859</v>
      </c>
      <c r="C74" s="241" t="s">
        <v>579</v>
      </c>
      <c r="D74" s="684" t="s">
        <v>591</v>
      </c>
      <c r="E74" s="701" t="s">
        <v>2726</v>
      </c>
    </row>
    <row r="75" spans="1:5" x14ac:dyDescent="0.2">
      <c r="A75" s="760" t="s">
        <v>1685</v>
      </c>
      <c r="B75" s="245"/>
      <c r="C75" s="245">
        <v>2</v>
      </c>
      <c r="D75" s="246">
        <f t="shared" ref="D75:D87" si="3">IF(ISBLANK(B75),C75,B75)</f>
        <v>2</v>
      </c>
      <c r="E75" s="736" t="s">
        <v>2657</v>
      </c>
    </row>
    <row r="76" spans="1:5" x14ac:dyDescent="0.2">
      <c r="A76" s="579" t="s">
        <v>2468</v>
      </c>
      <c r="B76" s="248"/>
      <c r="C76" s="248">
        <v>0</v>
      </c>
      <c r="D76" s="249">
        <f t="shared" si="3"/>
        <v>0</v>
      </c>
      <c r="E76" s="736" t="s">
        <v>2655</v>
      </c>
    </row>
    <row r="77" spans="1:5" s="67" customFormat="1" x14ac:dyDescent="0.2">
      <c r="A77" s="579" t="s">
        <v>1689</v>
      </c>
      <c r="B77" s="248"/>
      <c r="C77" s="248">
        <v>1</v>
      </c>
      <c r="D77" s="249">
        <f t="shared" si="3"/>
        <v>1</v>
      </c>
      <c r="E77" s="736" t="s">
        <v>2656</v>
      </c>
    </row>
    <row r="78" spans="1:5" s="67" customFormat="1" x14ac:dyDescent="0.2">
      <c r="A78" s="579" t="s">
        <v>656</v>
      </c>
      <c r="B78" s="248"/>
      <c r="C78" s="248">
        <v>1</v>
      </c>
      <c r="D78" s="249">
        <f t="shared" si="3"/>
        <v>1</v>
      </c>
      <c r="E78" s="736" t="s">
        <v>2658</v>
      </c>
    </row>
    <row r="79" spans="1:5" s="67" customFormat="1" x14ac:dyDescent="0.2">
      <c r="A79" s="579" t="s">
        <v>887</v>
      </c>
      <c r="B79" s="248"/>
      <c r="C79" s="248">
        <v>1</v>
      </c>
      <c r="D79" s="249">
        <f t="shared" si="3"/>
        <v>1</v>
      </c>
      <c r="E79" s="736" t="s">
        <v>2659</v>
      </c>
    </row>
    <row r="80" spans="1:5" s="67" customFormat="1" x14ac:dyDescent="0.2">
      <c r="A80" s="579" t="s">
        <v>1639</v>
      </c>
      <c r="B80" s="248"/>
      <c r="C80" s="248">
        <v>0</v>
      </c>
      <c r="D80" s="249">
        <f t="shared" si="3"/>
        <v>0</v>
      </c>
      <c r="E80" s="738" t="s">
        <v>854</v>
      </c>
    </row>
    <row r="81" spans="1:34" s="67" customFormat="1" x14ac:dyDescent="0.2">
      <c r="A81" s="579" t="s">
        <v>2342</v>
      </c>
      <c r="B81" s="248">
        <v>1</v>
      </c>
      <c r="C81" s="248">
        <v>0</v>
      </c>
      <c r="D81" s="249">
        <f t="shared" si="3"/>
        <v>1</v>
      </c>
      <c r="E81" s="738" t="s">
        <v>2663</v>
      </c>
    </row>
    <row r="82" spans="1:34" s="67" customFormat="1" x14ac:dyDescent="0.2">
      <c r="A82" s="247" t="s">
        <v>1830</v>
      </c>
      <c r="B82" s="248"/>
      <c r="C82" s="248" t="s">
        <v>1831</v>
      </c>
      <c r="D82" s="249" t="str">
        <f t="shared" si="3"/>
        <v>en-US</v>
      </c>
      <c r="E82" s="737" t="s">
        <v>1632</v>
      </c>
    </row>
    <row r="83" spans="1:34" s="67" customFormat="1" x14ac:dyDescent="0.2">
      <c r="A83" s="247" t="s">
        <v>1633</v>
      </c>
      <c r="B83" s="248"/>
      <c r="C83" s="248" t="str">
        <f>""</f>
        <v/>
      </c>
      <c r="D83" s="249" t="str">
        <f t="shared" si="3"/>
        <v/>
      </c>
      <c r="E83" s="738" t="s">
        <v>2660</v>
      </c>
    </row>
    <row r="84" spans="1:34" s="67" customFormat="1" x14ac:dyDescent="0.2">
      <c r="A84" s="247" t="s">
        <v>1635</v>
      </c>
      <c r="B84" s="248"/>
      <c r="C84" s="248" t="str">
        <f>""</f>
        <v/>
      </c>
      <c r="D84" s="249" t="str">
        <f t="shared" si="3"/>
        <v/>
      </c>
      <c r="E84" s="738" t="s">
        <v>2661</v>
      </c>
    </row>
    <row r="85" spans="1:34" s="67" customFormat="1" x14ac:dyDescent="0.2">
      <c r="A85" s="579" t="s">
        <v>1130</v>
      </c>
      <c r="B85" s="248"/>
      <c r="C85" s="248">
        <v>0</v>
      </c>
      <c r="D85" s="249">
        <f t="shared" si="3"/>
        <v>0</v>
      </c>
      <c r="E85" s="738" t="s">
        <v>2662</v>
      </c>
    </row>
    <row r="86" spans="1:34" s="67" customFormat="1" x14ac:dyDescent="0.2">
      <c r="A86" s="247" t="s">
        <v>1637</v>
      </c>
      <c r="B86" s="248"/>
      <c r="C86" s="248" t="str">
        <f>""</f>
        <v/>
      </c>
      <c r="D86" s="249" t="str">
        <f t="shared" si="3"/>
        <v/>
      </c>
      <c r="E86" s="737" t="s">
        <v>1638</v>
      </c>
    </row>
    <row r="87" spans="1:34" s="67" customFormat="1" ht="13.5" thickBot="1" x14ac:dyDescent="0.25">
      <c r="A87" s="250" t="s">
        <v>1505</v>
      </c>
      <c r="B87" s="251"/>
      <c r="C87" s="251" t="str">
        <f>""</f>
        <v/>
      </c>
      <c r="D87" s="252" t="str">
        <f t="shared" si="3"/>
        <v/>
      </c>
      <c r="E87" s="738" t="s">
        <v>2664</v>
      </c>
    </row>
    <row r="90" spans="1:34" ht="13.5" thickBot="1" x14ac:dyDescent="0.25"/>
    <row r="91" spans="1:34" ht="13.5" thickBot="1" x14ac:dyDescent="0.25">
      <c r="A91" s="238" t="s">
        <v>1990</v>
      </c>
      <c r="B91" s="239"/>
      <c r="C91" s="239"/>
      <c r="D91" s="684" t="s">
        <v>2654</v>
      </c>
      <c r="E91" s="700" t="s">
        <v>2665</v>
      </c>
    </row>
    <row r="92" spans="1:34" x14ac:dyDescent="0.2">
      <c r="A92" s="254" t="s">
        <v>1506</v>
      </c>
      <c r="B92" s="255"/>
      <c r="C92" s="255"/>
      <c r="D92" s="256" t="b">
        <f>NOT(ISBLANK(B75))</f>
        <v>0</v>
      </c>
      <c r="E92" s="700" t="s">
        <v>2727</v>
      </c>
      <c r="AB92" s="67"/>
    </row>
    <row r="93" spans="1:34" ht="13.5" thickBot="1" x14ac:dyDescent="0.25">
      <c r="A93" s="379" t="s">
        <v>1887</v>
      </c>
      <c r="B93" s="380"/>
      <c r="C93" s="380"/>
      <c r="D93" s="381" t="b">
        <f>NOT(AND(ISBLANK(B78),ISBLANK(B79)))</f>
        <v>0</v>
      </c>
      <c r="E93" s="700" t="s">
        <v>2728</v>
      </c>
      <c r="AB93" s="67"/>
    </row>
    <row r="94" spans="1:34" s="156" customFormat="1" ht="13.5" thickBot="1" x14ac:dyDescent="0.25">
      <c r="A94" s="258" t="s">
        <v>1507</v>
      </c>
      <c r="B94" s="259"/>
      <c r="C94" s="260"/>
      <c r="D94" s="735" t="s">
        <v>2654</v>
      </c>
      <c r="E94" s="257"/>
      <c r="AG94" s="244"/>
      <c r="AH94" s="244"/>
    </row>
    <row r="95" spans="1:34" s="156" customFormat="1" x14ac:dyDescent="0.2">
      <c r="A95" s="261" t="s">
        <v>1508</v>
      </c>
      <c r="B95" s="262"/>
      <c r="C95" s="263"/>
      <c r="D95" s="264">
        <f ca="1">DATE(YEAR(NOW())-1,12,31)</f>
        <v>42369</v>
      </c>
      <c r="E95" s="253" t="s">
        <v>1509</v>
      </c>
      <c r="G95" s="265"/>
      <c r="H95" s="265"/>
      <c r="I95" s="265"/>
      <c r="J95" s="265"/>
      <c r="K95" s="265"/>
      <c r="L95" s="265"/>
      <c r="M95" s="265"/>
      <c r="N95" s="265"/>
      <c r="AG95" s="244"/>
      <c r="AH95" s="244"/>
    </row>
    <row r="96" spans="1:34" s="156" customFormat="1" x14ac:dyDescent="0.2">
      <c r="A96" s="261" t="s">
        <v>1510</v>
      </c>
      <c r="B96" s="262"/>
      <c r="C96" s="263"/>
      <c r="D96" s="266">
        <f ca="1">YEAR(aAcctBalDate+1)</f>
        <v>2016</v>
      </c>
      <c r="E96" s="253" t="s">
        <v>1511</v>
      </c>
      <c r="G96" s="265"/>
      <c r="H96" s="265"/>
      <c r="I96" s="265"/>
      <c r="J96" s="265"/>
      <c r="K96" s="265"/>
      <c r="L96" s="265"/>
      <c r="M96" s="265"/>
      <c r="N96" s="265"/>
      <c r="AG96" s="244"/>
      <c r="AH96" s="244"/>
    </row>
    <row r="97" spans="1:34" s="156" customFormat="1" x14ac:dyDescent="0.2">
      <c r="A97" s="261" t="s">
        <v>1512</v>
      </c>
      <c r="B97" s="262"/>
      <c r="C97" s="263"/>
      <c r="D97" s="267">
        <v>0.03</v>
      </c>
      <c r="E97" s="253" t="s">
        <v>1513</v>
      </c>
      <c r="G97" s="265"/>
      <c r="H97" s="265"/>
      <c r="I97" s="265"/>
      <c r="J97" s="265"/>
      <c r="K97" s="265"/>
      <c r="L97" s="265"/>
      <c r="M97" s="265"/>
      <c r="N97" s="265"/>
      <c r="AG97" s="244"/>
      <c r="AH97" s="244"/>
    </row>
    <row r="98" spans="1:34" s="156" customFormat="1" x14ac:dyDescent="0.2">
      <c r="A98" s="261" t="s">
        <v>1514</v>
      </c>
      <c r="B98" s="262"/>
      <c r="C98" s="263"/>
      <c r="D98" s="267">
        <v>0.03</v>
      </c>
      <c r="E98" s="253" t="s">
        <v>1515</v>
      </c>
      <c r="G98" s="265"/>
      <c r="H98" s="265"/>
      <c r="I98" s="265"/>
      <c r="J98" s="265"/>
      <c r="K98" s="265"/>
      <c r="L98" s="265"/>
      <c r="M98" s="265"/>
      <c r="N98" s="265"/>
      <c r="AG98" s="244"/>
      <c r="AH98" s="244"/>
    </row>
    <row r="99" spans="1:34" s="156" customFormat="1" x14ac:dyDescent="0.2">
      <c r="A99" s="261" t="s">
        <v>1516</v>
      </c>
      <c r="B99" s="262"/>
      <c r="C99" s="263"/>
      <c r="D99" s="268" t="s">
        <v>928</v>
      </c>
      <c r="E99" s="253" t="s">
        <v>1517</v>
      </c>
      <c r="G99" s="265"/>
      <c r="H99" s="265"/>
      <c r="I99" s="265"/>
      <c r="J99" s="265"/>
      <c r="K99" s="265"/>
      <c r="L99" s="265"/>
      <c r="M99" s="265"/>
      <c r="N99" s="265"/>
      <c r="AG99" s="244"/>
      <c r="AH99" s="244"/>
    </row>
    <row r="100" spans="1:34" s="156" customFormat="1" x14ac:dyDescent="0.2">
      <c r="A100" s="261" t="s">
        <v>1518</v>
      </c>
      <c r="B100" s="262"/>
      <c r="C100" s="263"/>
      <c r="D100" s="267">
        <v>0</v>
      </c>
      <c r="E100" s="253" t="s">
        <v>1519</v>
      </c>
      <c r="G100" s="265"/>
      <c r="H100" s="265"/>
      <c r="I100" s="265"/>
      <c r="J100" s="265"/>
      <c r="K100" s="265"/>
      <c r="L100" s="265"/>
      <c r="M100" s="265"/>
      <c r="N100" s="265"/>
      <c r="AG100" s="244"/>
      <c r="AH100" s="244"/>
    </row>
    <row r="101" spans="1:34" s="156" customFormat="1" x14ac:dyDescent="0.2">
      <c r="A101" s="269" t="s">
        <v>1520</v>
      </c>
      <c r="B101" s="262"/>
      <c r="C101" s="270"/>
      <c r="D101" s="271" t="b">
        <f>IF(OR(iSpouseDOB="",ISNA(iSpouseDOB)),FALSE,TRUE)</f>
        <v>0</v>
      </c>
      <c r="E101" s="253" t="s">
        <v>484</v>
      </c>
      <c r="AG101" s="244"/>
      <c r="AH101" s="244"/>
    </row>
    <row r="102" spans="1:34" s="156" customFormat="1" x14ac:dyDescent="0.2">
      <c r="A102" s="269" t="s">
        <v>485</v>
      </c>
      <c r="B102" s="262"/>
      <c r="C102" s="270"/>
      <c r="D102" s="271">
        <f ca="1">aAcctBalDate+1</f>
        <v>42370</v>
      </c>
      <c r="E102" s="253" t="s">
        <v>486</v>
      </c>
      <c r="AG102" s="244"/>
      <c r="AH102" s="244"/>
    </row>
    <row r="103" spans="1:34" s="156" customFormat="1" x14ac:dyDescent="0.2">
      <c r="A103" s="269" t="s">
        <v>487</v>
      </c>
      <c r="B103" s="262"/>
      <c r="C103" s="270"/>
      <c r="D103" s="267">
        <v>4.8599999999999997E-2</v>
      </c>
      <c r="E103" s="253" t="s">
        <v>488</v>
      </c>
      <c r="AG103" s="244"/>
      <c r="AH103" s="244"/>
    </row>
    <row r="104" spans="1:34" s="156" customFormat="1" x14ac:dyDescent="0.2">
      <c r="A104" s="269" t="s">
        <v>489</v>
      </c>
      <c r="B104" s="262"/>
      <c r="C104" s="270"/>
      <c r="D104" s="268" t="s">
        <v>490</v>
      </c>
      <c r="E104" s="253" t="s">
        <v>491</v>
      </c>
      <c r="AG104" s="244"/>
      <c r="AH104" s="244"/>
    </row>
    <row r="105" spans="1:34" s="156" customFormat="1" x14ac:dyDescent="0.2">
      <c r="A105" s="261" t="s">
        <v>492</v>
      </c>
      <c r="B105" s="262"/>
      <c r="C105" s="270"/>
      <c r="D105" s="267">
        <v>4.8599999999999997E-2</v>
      </c>
      <c r="E105" s="253" t="s">
        <v>493</v>
      </c>
      <c r="AG105" s="244"/>
      <c r="AH105" s="244"/>
    </row>
    <row r="106" spans="1:34" s="156" customFormat="1" x14ac:dyDescent="0.2">
      <c r="A106" s="261" t="s">
        <v>494</v>
      </c>
      <c r="B106" s="262"/>
      <c r="C106" s="270"/>
      <c r="D106" s="268" t="s">
        <v>490</v>
      </c>
      <c r="E106" s="253" t="s">
        <v>495</v>
      </c>
      <c r="AG106" s="244"/>
      <c r="AH106" s="244"/>
    </row>
    <row r="107" spans="1:34" s="156" customFormat="1" x14ac:dyDescent="0.2">
      <c r="A107" s="261" t="s">
        <v>496</v>
      </c>
      <c r="B107" s="262"/>
      <c r="C107" s="270"/>
      <c r="D107" s="266">
        <f ca="1">YEAR(aAcctBalDate)</f>
        <v>2015</v>
      </c>
      <c r="E107" s="253" t="s">
        <v>497</v>
      </c>
      <c r="AG107" s="244"/>
      <c r="AH107" s="244"/>
    </row>
    <row r="108" spans="1:34" s="156" customFormat="1" x14ac:dyDescent="0.2">
      <c r="A108" s="261" t="s">
        <v>498</v>
      </c>
      <c r="B108" s="262"/>
      <c r="C108" s="270"/>
      <c r="D108" s="267">
        <v>0.03</v>
      </c>
      <c r="E108" s="257" t="s">
        <v>499</v>
      </c>
      <c r="AG108" s="244"/>
      <c r="AH108" s="244"/>
    </row>
    <row r="109" spans="1:34" s="156" customFormat="1" x14ac:dyDescent="0.2">
      <c r="A109" s="261" t="s">
        <v>500</v>
      </c>
      <c r="B109" s="262"/>
      <c r="C109" s="270"/>
      <c r="D109" s="267">
        <v>0.03</v>
      </c>
      <c r="E109" s="257" t="s">
        <v>501</v>
      </c>
      <c r="AG109" s="244"/>
      <c r="AH109" s="244"/>
    </row>
    <row r="110" spans="1:34" s="156" customFormat="1" x14ac:dyDescent="0.2">
      <c r="A110" s="261" t="s">
        <v>502</v>
      </c>
      <c r="B110" s="262"/>
      <c r="C110" s="270"/>
      <c r="D110" s="272">
        <f ca="1">YEAR(aAcctBalDate)</f>
        <v>2015</v>
      </c>
      <c r="E110" s="253" t="s">
        <v>503</v>
      </c>
      <c r="AG110" s="244"/>
      <c r="AH110" s="244"/>
    </row>
    <row r="111" spans="1:34" s="156" customFormat="1" ht="13.5" thickBot="1" x14ac:dyDescent="0.25">
      <c r="A111" s="273" t="s">
        <v>504</v>
      </c>
      <c r="B111" s="274"/>
      <c r="C111" s="275"/>
      <c r="D111" s="276">
        <v>0</v>
      </c>
      <c r="E111" s="253" t="s">
        <v>505</v>
      </c>
      <c r="AG111" s="244"/>
      <c r="AH111" s="244"/>
    </row>
    <row r="113" spans="1:34" s="3" customFormat="1" x14ac:dyDescent="0.2">
      <c r="A113" s="1" t="s">
        <v>1072</v>
      </c>
      <c r="B113" s="2"/>
    </row>
    <row r="114" spans="1:34" x14ac:dyDescent="0.2">
      <c r="A114" t="s">
        <v>1073</v>
      </c>
      <c r="E114" s="277" t="s">
        <v>1074</v>
      </c>
      <c r="F114" s="156"/>
    </row>
    <row r="115" spans="1:34" x14ac:dyDescent="0.2">
      <c r="A115" s="278" t="s">
        <v>267</v>
      </c>
      <c r="B115" s="279" t="s">
        <v>271</v>
      </c>
      <c r="C115" s="280" t="s">
        <v>273</v>
      </c>
      <c r="E115" s="278" t="s">
        <v>267</v>
      </c>
      <c r="F115" s="280" t="s">
        <v>2044</v>
      </c>
      <c r="I115" t="s">
        <v>1086</v>
      </c>
    </row>
    <row r="116" spans="1:34" x14ac:dyDescent="0.2">
      <c r="A116">
        <v>1995</v>
      </c>
      <c r="B116">
        <v>5674.27</v>
      </c>
      <c r="I116" t="s">
        <v>1075</v>
      </c>
      <c r="L116" s="795" t="s">
        <v>2962</v>
      </c>
      <c r="M116" s="156"/>
      <c r="O116" s="795" t="s">
        <v>2963</v>
      </c>
      <c r="P116" s="156"/>
      <c r="R116" s="795" t="s">
        <v>2968</v>
      </c>
      <c r="S116" s="156"/>
      <c r="T116" s="156"/>
      <c r="U116" t="s">
        <v>1076</v>
      </c>
    </row>
    <row r="117" spans="1:34" x14ac:dyDescent="0.2">
      <c r="A117">
        <v>1996</v>
      </c>
      <c r="B117">
        <v>31644.07</v>
      </c>
      <c r="I117" s="278" t="s">
        <v>1077</v>
      </c>
      <c r="J117" s="280" t="s">
        <v>1078</v>
      </c>
      <c r="L117" s="278" t="s">
        <v>267</v>
      </c>
      <c r="M117" s="280" t="s">
        <v>2044</v>
      </c>
      <c r="O117" s="278" t="s">
        <v>267</v>
      </c>
      <c r="P117" s="280" t="s">
        <v>2044</v>
      </c>
      <c r="R117" s="278" t="s">
        <v>267</v>
      </c>
      <c r="S117" s="280" t="s">
        <v>2044</v>
      </c>
      <c r="U117" s="278" t="s">
        <v>1079</v>
      </c>
      <c r="V117" s="279" t="s">
        <v>1080</v>
      </c>
      <c r="W117" s="279" t="s">
        <v>1081</v>
      </c>
      <c r="X117" s="279" t="s">
        <v>1082</v>
      </c>
      <c r="Y117" s="279" t="s">
        <v>1083</v>
      </c>
      <c r="Z117" s="279" t="s">
        <v>1084</v>
      </c>
      <c r="AA117" s="280" t="s">
        <v>1085</v>
      </c>
      <c r="AG117" s="281"/>
      <c r="AH117" s="281"/>
    </row>
    <row r="118" spans="1:34" x14ac:dyDescent="0.2">
      <c r="A118">
        <v>1997</v>
      </c>
      <c r="B118">
        <v>34374.76</v>
      </c>
      <c r="I118">
        <v>39</v>
      </c>
      <c r="J118" s="282">
        <v>0</v>
      </c>
      <c r="L118" t="s">
        <v>2967</v>
      </c>
      <c r="O118" t="s">
        <v>2965</v>
      </c>
      <c r="R118">
        <v>2015</v>
      </c>
      <c r="U118" s="282" t="s">
        <v>2964</v>
      </c>
      <c r="V118" s="283"/>
      <c r="W118" s="283"/>
    </row>
    <row r="119" spans="1:34" x14ac:dyDescent="0.2">
      <c r="A119">
        <v>1998</v>
      </c>
      <c r="B119">
        <v>36928.35</v>
      </c>
      <c r="I119">
        <v>40</v>
      </c>
      <c r="J119" s="282">
        <v>0</v>
      </c>
      <c r="M119" s="282"/>
      <c r="N119" s="283"/>
      <c r="O119" s="283" t="s">
        <v>2966</v>
      </c>
      <c r="R119" s="234">
        <v>2014</v>
      </c>
    </row>
    <row r="120" spans="1:34" x14ac:dyDescent="0.2">
      <c r="A120">
        <v>1999</v>
      </c>
      <c r="B120">
        <v>39052.9</v>
      </c>
      <c r="C120">
        <v>2081.5</v>
      </c>
      <c r="M120" s="282"/>
      <c r="N120" s="282"/>
      <c r="O120" s="282"/>
      <c r="P120" s="283"/>
    </row>
    <row r="121" spans="1:34" x14ac:dyDescent="0.2">
      <c r="A121">
        <v>2000</v>
      </c>
      <c r="B121">
        <v>42178.26</v>
      </c>
      <c r="C121">
        <v>2079.5</v>
      </c>
      <c r="Q121" s="282"/>
      <c r="R121" s="282"/>
      <c r="S121" s="283"/>
      <c r="X121" s="282"/>
      <c r="Y121" s="282"/>
    </row>
    <row r="122" spans="1:34" x14ac:dyDescent="0.2">
      <c r="A122">
        <v>2001</v>
      </c>
      <c r="B122">
        <v>46713.760000000002</v>
      </c>
      <c r="C122">
        <v>2080</v>
      </c>
      <c r="R122" s="282" t="s">
        <v>2969</v>
      </c>
      <c r="S122" s="282"/>
      <c r="T122" s="283"/>
      <c r="Z122" s="282"/>
    </row>
    <row r="123" spans="1:34" x14ac:dyDescent="0.2">
      <c r="A123">
        <v>2002</v>
      </c>
      <c r="B123">
        <v>49085.85</v>
      </c>
      <c r="C123">
        <v>2085.5</v>
      </c>
      <c r="S123" s="282"/>
      <c r="T123" s="282"/>
      <c r="U123" s="283"/>
      <c r="AA123" s="282"/>
    </row>
    <row r="124" spans="1:34" x14ac:dyDescent="0.2">
      <c r="A124">
        <v>2003</v>
      </c>
      <c r="B124">
        <v>53733.31</v>
      </c>
      <c r="C124">
        <v>2097</v>
      </c>
    </row>
    <row r="125" spans="1:34" x14ac:dyDescent="0.2">
      <c r="A125">
        <v>2004</v>
      </c>
      <c r="B125">
        <v>54407.67</v>
      </c>
      <c r="C125">
        <v>1975.22</v>
      </c>
    </row>
    <row r="126" spans="1:34" x14ac:dyDescent="0.2">
      <c r="A126">
        <v>2005</v>
      </c>
      <c r="B126">
        <v>60271.43</v>
      </c>
      <c r="C126">
        <v>2081.5</v>
      </c>
    </row>
  </sheetData>
  <phoneticPr fontId="0" type="noConversion"/>
  <dataValidations count="1">
    <dataValidation type="list" showInputMessage="1" showErrorMessage="1" sqref="B5:B6">
      <formula1>"Input"</formula1>
    </dataValidation>
  </dataValidation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141"/>
  <sheetViews>
    <sheetView workbookViewId="0"/>
  </sheetViews>
  <sheetFormatPr defaultRowHeight="12.75" x14ac:dyDescent="0.2"/>
  <cols>
    <col min="1" max="1" width="81.42578125" bestFit="1" customWidth="1"/>
    <col min="2" max="2" width="5.5703125" customWidth="1"/>
    <col min="3" max="3" width="20.5703125" customWidth="1"/>
    <col min="4" max="4" width="29.7109375" bestFit="1" customWidth="1"/>
    <col min="5" max="5" width="39.85546875" customWidth="1"/>
    <col min="6" max="6" width="60.85546875" bestFit="1" customWidth="1"/>
    <col min="7" max="7" width="11" customWidth="1"/>
    <col min="8" max="8" width="21.42578125" bestFit="1" customWidth="1"/>
    <col min="9" max="9" width="12.5703125" bestFit="1" customWidth="1"/>
    <col min="10" max="10" width="11" bestFit="1" customWidth="1"/>
    <col min="11" max="11" width="14.85546875" bestFit="1" customWidth="1"/>
    <col min="12" max="12" width="11.42578125" bestFit="1" customWidth="1"/>
    <col min="14" max="14" width="11.42578125" bestFit="1" customWidth="1"/>
  </cols>
  <sheetData>
    <row r="1" spans="1:7" ht="15" x14ac:dyDescent="0.25">
      <c r="A1" s="772" t="s">
        <v>2875</v>
      </c>
      <c r="B1" s="669"/>
      <c r="C1" s="772" t="s">
        <v>51</v>
      </c>
      <c r="D1" s="52"/>
      <c r="E1" s="52"/>
      <c r="F1" s="764"/>
    </row>
    <row r="2" spans="1:7" ht="15" x14ac:dyDescent="0.25">
      <c r="A2" s="664" t="s">
        <v>2876</v>
      </c>
      <c r="C2" s="772" t="s">
        <v>2990</v>
      </c>
      <c r="D2" s="52"/>
      <c r="E2" s="52"/>
      <c r="F2" s="764"/>
    </row>
    <row r="3" spans="1:7" ht="15" x14ac:dyDescent="0.25">
      <c r="A3" s="664" t="s">
        <v>2877</v>
      </c>
      <c r="C3" s="664" t="s">
        <v>2991</v>
      </c>
      <c r="D3" s="52"/>
      <c r="E3" s="52"/>
      <c r="F3" s="764"/>
    </row>
    <row r="4" spans="1:7" ht="15" x14ac:dyDescent="0.25">
      <c r="A4" s="664" t="s">
        <v>2878</v>
      </c>
      <c r="C4" s="771" t="s">
        <v>2989</v>
      </c>
      <c r="D4" s="52"/>
      <c r="E4" s="52"/>
      <c r="F4" s="764"/>
    </row>
    <row r="5" spans="1:7" ht="15" x14ac:dyDescent="0.25">
      <c r="A5" s="664" t="s">
        <v>2923</v>
      </c>
      <c r="C5" s="791" t="s">
        <v>2960</v>
      </c>
      <c r="D5" s="792"/>
      <c r="E5" s="792"/>
      <c r="F5" s="793"/>
      <c r="G5" s="794"/>
    </row>
    <row r="6" spans="1:7" ht="15" x14ac:dyDescent="0.25">
      <c r="A6" s="664" t="s">
        <v>2956</v>
      </c>
      <c r="C6" s="791" t="s">
        <v>2988</v>
      </c>
      <c r="D6" s="792"/>
      <c r="E6" s="792"/>
      <c r="F6" s="793"/>
      <c r="G6" s="794"/>
    </row>
    <row r="7" spans="1:7" ht="15" x14ac:dyDescent="0.25">
      <c r="A7" s="664" t="s">
        <v>2955</v>
      </c>
      <c r="C7" s="791" t="s">
        <v>2958</v>
      </c>
      <c r="D7" s="792"/>
      <c r="E7" s="792"/>
      <c r="F7" s="793"/>
      <c r="G7" s="794"/>
    </row>
    <row r="8" spans="1:7" ht="15" x14ac:dyDescent="0.25">
      <c r="A8" s="664" t="s">
        <v>2772</v>
      </c>
      <c r="C8" s="791" t="s">
        <v>2959</v>
      </c>
      <c r="D8" s="792"/>
      <c r="E8" s="792"/>
      <c r="F8" s="793"/>
      <c r="G8" s="794"/>
    </row>
    <row r="9" spans="1:7" ht="15" x14ac:dyDescent="0.25">
      <c r="A9" s="664" t="s">
        <v>2980</v>
      </c>
      <c r="C9" s="664" t="s">
        <v>2992</v>
      </c>
      <c r="D9" s="52"/>
      <c r="E9" s="52"/>
      <c r="F9" s="764"/>
    </row>
    <row r="10" spans="1:7" ht="15" x14ac:dyDescent="0.25">
      <c r="A10" s="664" t="s">
        <v>2924</v>
      </c>
      <c r="B10" s="766"/>
      <c r="C10" s="664" t="s">
        <v>2993</v>
      </c>
      <c r="D10" s="52"/>
      <c r="E10" s="52"/>
      <c r="F10" s="764"/>
    </row>
    <row r="11" spans="1:7" ht="15" x14ac:dyDescent="0.25">
      <c r="A11" s="736" t="s">
        <v>2926</v>
      </c>
      <c r="B11" s="766"/>
      <c r="C11" s="664" t="s">
        <v>2994</v>
      </c>
      <c r="D11" s="52"/>
      <c r="E11" s="52"/>
      <c r="F11" s="764"/>
    </row>
    <row r="12" spans="1:7" ht="15" x14ac:dyDescent="0.25">
      <c r="A12" s="736" t="s">
        <v>3004</v>
      </c>
      <c r="B12" s="766"/>
      <c r="C12" s="664" t="s">
        <v>2995</v>
      </c>
      <c r="D12" s="52"/>
      <c r="E12" s="52"/>
      <c r="F12" s="764"/>
    </row>
    <row r="13" spans="1:7" ht="15" x14ac:dyDescent="0.25">
      <c r="A13" s="736" t="s">
        <v>2928</v>
      </c>
      <c r="B13" s="766"/>
      <c r="C13" s="664" t="s">
        <v>2996</v>
      </c>
      <c r="D13" s="52"/>
      <c r="E13" s="52"/>
      <c r="F13" s="764"/>
    </row>
    <row r="14" spans="1:7" ht="15" x14ac:dyDescent="0.25">
      <c r="A14" s="736" t="s">
        <v>2925</v>
      </c>
      <c r="B14" s="766"/>
      <c r="C14" s="664" t="s">
        <v>2997</v>
      </c>
      <c r="D14" s="52"/>
      <c r="E14" s="52"/>
      <c r="F14" s="764"/>
    </row>
    <row r="15" spans="1:7" ht="15" x14ac:dyDescent="0.25">
      <c r="A15" s="736" t="s">
        <v>2927</v>
      </c>
      <c r="C15" s="664" t="s">
        <v>2998</v>
      </c>
      <c r="D15" s="52"/>
      <c r="E15" s="52"/>
      <c r="F15" s="764"/>
    </row>
    <row r="16" spans="1:7" ht="15" x14ac:dyDescent="0.25">
      <c r="A16" s="736" t="s">
        <v>3001</v>
      </c>
      <c r="B16" s="669"/>
      <c r="C16" s="50" t="s">
        <v>3005</v>
      </c>
      <c r="D16" s="52"/>
      <c r="E16" s="52"/>
      <c r="F16" s="764"/>
    </row>
    <row r="17" spans="1:24" ht="15" x14ac:dyDescent="0.25">
      <c r="A17" s="736" t="s">
        <v>3003</v>
      </c>
      <c r="B17" s="669"/>
      <c r="D17" s="52"/>
      <c r="E17" s="52"/>
      <c r="F17" s="764"/>
    </row>
    <row r="18" spans="1:24" ht="15.75" thickBot="1" x14ac:dyDescent="0.3">
      <c r="A18" s="736" t="s">
        <v>3002</v>
      </c>
      <c r="C18" s="668" t="s">
        <v>2745</v>
      </c>
      <c r="D18" s="796" t="s">
        <v>859</v>
      </c>
      <c r="E18" s="796" t="s">
        <v>2922</v>
      </c>
      <c r="F18" s="797" t="s">
        <v>2746</v>
      </c>
      <c r="G18" s="664"/>
      <c r="H18" s="664"/>
      <c r="I18" s="664"/>
      <c r="J18" s="664"/>
      <c r="K18" s="664"/>
      <c r="L18" s="664"/>
      <c r="M18" s="664"/>
      <c r="N18" s="664"/>
      <c r="O18" s="664"/>
      <c r="P18" s="664"/>
      <c r="Q18" s="664"/>
      <c r="R18" s="664"/>
      <c r="S18" s="664"/>
      <c r="T18" s="664"/>
      <c r="U18" s="664"/>
      <c r="V18" s="664"/>
      <c r="W18" s="664"/>
      <c r="X18" s="664"/>
    </row>
    <row r="19" spans="1:24" ht="15" x14ac:dyDescent="0.25">
      <c r="A19" s="664" t="s">
        <v>2986</v>
      </c>
      <c r="C19" s="799" t="s">
        <v>2779</v>
      </c>
      <c r="D19" t="b">
        <f>AND(NOT(MHACalc),iMHCalcType=2)</f>
        <v>0</v>
      </c>
      <c r="F19" s="764" t="s">
        <v>3030</v>
      </c>
      <c r="G19" s="664"/>
      <c r="H19" s="50"/>
      <c r="J19" s="772"/>
      <c r="K19" s="664"/>
      <c r="L19" s="664"/>
    </row>
    <row r="20" spans="1:24" ht="15" x14ac:dyDescent="0.3">
      <c r="A20" s="664" t="s">
        <v>2879</v>
      </c>
      <c r="C20" s="798" t="s">
        <v>2854</v>
      </c>
      <c r="D20" s="799" t="s">
        <v>3031</v>
      </c>
      <c r="E20" s="800" t="s">
        <v>3029</v>
      </c>
      <c r="F20" s="664"/>
      <c r="G20" s="664"/>
      <c r="H20" s="29"/>
      <c r="J20" s="664"/>
      <c r="K20" s="664"/>
      <c r="L20" s="664"/>
    </row>
    <row r="21" spans="1:24" ht="15.75" x14ac:dyDescent="0.3">
      <c r="A21" s="736" t="s">
        <v>2999</v>
      </c>
      <c r="C21" s="798" t="s">
        <v>2852</v>
      </c>
      <c r="D21" s="664" t="s">
        <v>3028</v>
      </c>
      <c r="E21" s="664"/>
      <c r="F21" s="764"/>
      <c r="G21" s="664"/>
      <c r="H21" s="29"/>
      <c r="J21" s="664"/>
      <c r="K21" s="664"/>
      <c r="L21" s="664"/>
    </row>
    <row r="22" spans="1:24" ht="15.75" x14ac:dyDescent="0.3">
      <c r="A22" s="736" t="s">
        <v>3000</v>
      </c>
      <c r="C22" s="800" t="s">
        <v>2848</v>
      </c>
      <c r="D22" s="52"/>
      <c r="E22" s="52"/>
      <c r="F22" s="764"/>
      <c r="G22" s="664"/>
      <c r="H22" s="29"/>
      <c r="J22" s="664"/>
      <c r="K22" s="664"/>
      <c r="L22" s="664"/>
    </row>
    <row r="23" spans="1:24" ht="15" x14ac:dyDescent="0.25">
      <c r="A23" s="664" t="s">
        <v>2987</v>
      </c>
      <c r="B23" s="669"/>
      <c r="D23" s="52"/>
      <c r="E23" s="52"/>
      <c r="F23" s="764"/>
      <c r="G23" s="664"/>
      <c r="H23" s="29"/>
      <c r="J23" s="772"/>
      <c r="K23" s="772"/>
      <c r="L23" s="772"/>
      <c r="M23" s="772"/>
      <c r="N23" s="772"/>
      <c r="O23" s="772"/>
      <c r="P23" s="772"/>
      <c r="Q23" s="772"/>
      <c r="R23" s="772"/>
      <c r="S23" s="772"/>
      <c r="T23" s="772"/>
      <c r="U23" s="772"/>
      <c r="V23" s="772"/>
      <c r="W23" s="772"/>
    </row>
    <row r="24" spans="1:24" ht="15" x14ac:dyDescent="0.25">
      <c r="A24" s="664" t="s">
        <v>2982</v>
      </c>
      <c r="D24" s="52"/>
      <c r="E24" s="52"/>
      <c r="F24" s="764"/>
      <c r="G24" s="664"/>
      <c r="J24" s="664"/>
      <c r="K24" s="664"/>
      <c r="L24" s="664"/>
      <c r="M24" s="664"/>
    </row>
    <row r="25" spans="1:24" ht="15" x14ac:dyDescent="0.25">
      <c r="A25" s="736" t="s">
        <v>3006</v>
      </c>
      <c r="F25" s="764"/>
      <c r="G25" s="664"/>
      <c r="J25" s="664"/>
      <c r="K25" s="664"/>
      <c r="L25" s="664"/>
      <c r="M25" s="664"/>
    </row>
    <row r="26" spans="1:24" ht="15" x14ac:dyDescent="0.25">
      <c r="A26" s="736" t="s">
        <v>3007</v>
      </c>
      <c r="D26" s="52"/>
      <c r="E26" s="52"/>
      <c r="F26" s="764"/>
      <c r="G26" s="664"/>
      <c r="J26" s="664"/>
      <c r="K26" s="664"/>
      <c r="L26" s="664"/>
      <c r="M26" s="664"/>
    </row>
    <row r="27" spans="1:24" ht="15" x14ac:dyDescent="0.25">
      <c r="A27" s="664" t="s">
        <v>2984</v>
      </c>
      <c r="D27" s="52"/>
      <c r="E27" s="52"/>
      <c r="F27" s="764"/>
      <c r="G27" s="664"/>
      <c r="J27" s="664"/>
      <c r="K27" s="664"/>
      <c r="L27" s="664"/>
      <c r="M27" s="664"/>
    </row>
    <row r="28" spans="1:24" ht="15" x14ac:dyDescent="0.25">
      <c r="A28" s="664" t="s">
        <v>2983</v>
      </c>
      <c r="D28" s="52"/>
      <c r="E28" s="52"/>
      <c r="F28" s="764"/>
      <c r="G28" s="664"/>
      <c r="J28" s="664"/>
      <c r="K28" s="664"/>
      <c r="L28" s="664"/>
      <c r="M28" s="664"/>
    </row>
    <row r="29" spans="1:24" x14ac:dyDescent="0.2">
      <c r="A29" s="664"/>
      <c r="E29" s="664"/>
      <c r="F29" s="664"/>
      <c r="G29" s="664"/>
      <c r="J29" s="664"/>
      <c r="K29" s="664"/>
      <c r="L29" s="664"/>
      <c r="M29" s="664"/>
      <c r="X29" s="664"/>
    </row>
    <row r="30" spans="1:24" ht="15" x14ac:dyDescent="0.25">
      <c r="A30" s="772" t="s">
        <v>2880</v>
      </c>
      <c r="C30" s="766"/>
      <c r="D30" s="54"/>
      <c r="E30" s="52"/>
      <c r="F30" s="764"/>
      <c r="G30" s="664"/>
      <c r="J30" s="664"/>
      <c r="K30" s="664"/>
      <c r="L30" s="664"/>
      <c r="M30" s="664"/>
      <c r="X30" s="664"/>
    </row>
    <row r="31" spans="1:24" ht="15" x14ac:dyDescent="0.25">
      <c r="A31" s="664" t="s">
        <v>2881</v>
      </c>
      <c r="C31" s="766"/>
      <c r="D31" s="54"/>
      <c r="E31" s="52"/>
      <c r="F31" s="764"/>
      <c r="G31" s="664"/>
      <c r="J31" s="664"/>
      <c r="K31" s="664"/>
      <c r="L31" s="664"/>
      <c r="M31" s="664"/>
      <c r="X31" s="664"/>
    </row>
    <row r="32" spans="1:24" ht="15" x14ac:dyDescent="0.25">
      <c r="A32" s="664" t="s">
        <v>2882</v>
      </c>
      <c r="C32" s="766"/>
      <c r="D32" s="52"/>
      <c r="F32" s="764"/>
      <c r="G32" s="664"/>
      <c r="H32" s="664"/>
      <c r="I32" s="664"/>
      <c r="J32" s="664"/>
      <c r="K32" s="664"/>
      <c r="L32" s="664"/>
      <c r="M32" s="664"/>
      <c r="N32" s="664"/>
      <c r="O32" s="664"/>
      <c r="P32" s="664"/>
      <c r="Q32" s="664"/>
      <c r="R32" s="664"/>
      <c r="S32" s="664"/>
      <c r="T32" s="664"/>
      <c r="U32" s="664"/>
      <c r="V32" s="664"/>
      <c r="W32" s="664"/>
      <c r="X32" s="664"/>
    </row>
    <row r="33" spans="1:24" ht="15" x14ac:dyDescent="0.25">
      <c r="A33" s="664" t="s">
        <v>2848</v>
      </c>
      <c r="C33" s="766"/>
      <c r="D33" s="52"/>
      <c r="E33" s="52"/>
      <c r="F33" s="764"/>
      <c r="G33" s="664"/>
      <c r="H33" s="664"/>
      <c r="I33" s="664"/>
      <c r="J33" s="664"/>
      <c r="K33" s="664"/>
      <c r="L33" s="664"/>
      <c r="M33" s="664"/>
      <c r="N33" s="664"/>
      <c r="O33" s="664"/>
      <c r="P33" s="664"/>
      <c r="Q33" s="664"/>
      <c r="R33" s="664"/>
      <c r="S33" s="664"/>
      <c r="T33" s="664"/>
      <c r="U33" s="664"/>
      <c r="V33" s="664"/>
      <c r="W33" s="664"/>
      <c r="X33" s="664"/>
    </row>
    <row r="34" spans="1:24" ht="15" x14ac:dyDescent="0.25">
      <c r="A34" s="664" t="s">
        <v>2883</v>
      </c>
      <c r="C34" s="766"/>
      <c r="D34" s="52"/>
      <c r="E34" s="52"/>
      <c r="F34" s="764"/>
      <c r="G34" s="664"/>
      <c r="H34" s="664"/>
      <c r="I34" s="664"/>
      <c r="J34" s="664"/>
      <c r="K34" s="664"/>
      <c r="L34" s="664"/>
      <c r="M34" s="664"/>
      <c r="N34" s="664"/>
      <c r="O34" s="664"/>
      <c r="P34" s="664"/>
      <c r="Q34" s="664"/>
      <c r="R34" s="664"/>
      <c r="S34" s="664"/>
      <c r="T34" s="664"/>
      <c r="U34" s="664"/>
      <c r="V34" s="664"/>
      <c r="W34" s="664"/>
      <c r="X34" s="664"/>
    </row>
    <row r="35" spans="1:24" ht="15" x14ac:dyDescent="0.25">
      <c r="A35" s="664"/>
      <c r="C35" s="766"/>
      <c r="D35" s="52"/>
      <c r="E35" s="52"/>
      <c r="F35" s="764"/>
      <c r="G35" s="664"/>
      <c r="H35" s="664"/>
      <c r="I35" s="664"/>
      <c r="J35" s="664"/>
      <c r="K35" s="664"/>
      <c r="L35" s="664"/>
      <c r="M35" s="664"/>
      <c r="N35" s="664"/>
      <c r="O35" s="664"/>
      <c r="P35" s="664"/>
      <c r="Q35" s="664"/>
      <c r="R35" s="664"/>
      <c r="S35" s="664"/>
      <c r="T35" s="664"/>
      <c r="U35" s="664"/>
      <c r="V35" s="664"/>
      <c r="W35" s="664"/>
      <c r="X35" s="664"/>
    </row>
    <row r="36" spans="1:24" ht="15" x14ac:dyDescent="0.25">
      <c r="A36" s="664" t="s">
        <v>2837</v>
      </c>
      <c r="C36" s="766"/>
      <c r="D36" s="52"/>
      <c r="E36" s="52"/>
      <c r="F36" s="764"/>
      <c r="G36" s="664"/>
      <c r="H36" s="664"/>
      <c r="I36" s="664"/>
      <c r="J36" s="664"/>
      <c r="K36" s="664"/>
      <c r="L36" s="664"/>
      <c r="M36" s="664"/>
      <c r="N36" s="664"/>
      <c r="O36" s="664"/>
      <c r="P36" s="664"/>
      <c r="Q36" s="664"/>
      <c r="R36" s="664"/>
      <c r="S36" s="664"/>
      <c r="T36" s="664"/>
      <c r="U36" s="664"/>
      <c r="V36" s="664"/>
      <c r="W36" s="664"/>
      <c r="X36" s="664"/>
    </row>
    <row r="37" spans="1:24" ht="15" x14ac:dyDescent="0.25">
      <c r="A37" s="664" t="s">
        <v>2985</v>
      </c>
      <c r="D37" s="52"/>
      <c r="E37" s="52"/>
      <c r="F37" s="764"/>
      <c r="G37" s="664"/>
      <c r="H37" s="664"/>
      <c r="I37" s="664"/>
      <c r="J37" s="664"/>
      <c r="K37" s="664"/>
      <c r="L37" s="664"/>
      <c r="M37" s="664"/>
      <c r="N37" s="664"/>
      <c r="O37" s="664"/>
      <c r="P37" s="664"/>
      <c r="Q37" s="664"/>
      <c r="R37" s="664"/>
      <c r="S37" s="664"/>
      <c r="T37" s="664"/>
      <c r="U37" s="664"/>
      <c r="V37" s="664"/>
      <c r="W37" s="664"/>
      <c r="X37" s="664"/>
    </row>
    <row r="38" spans="1:24" ht="15" x14ac:dyDescent="0.25">
      <c r="A38" s="664" t="s">
        <v>2810</v>
      </c>
      <c r="D38" s="52"/>
      <c r="E38" s="52"/>
      <c r="F38" s="764"/>
      <c r="G38" s="664"/>
      <c r="H38" s="664"/>
      <c r="I38" s="664"/>
      <c r="J38" s="664"/>
      <c r="K38" s="664"/>
      <c r="L38" s="664"/>
      <c r="M38" s="664"/>
      <c r="N38" s="664"/>
      <c r="O38" s="664"/>
      <c r="P38" s="664"/>
      <c r="Q38" s="664"/>
      <c r="R38" s="664"/>
      <c r="S38" s="664"/>
      <c r="T38" s="664"/>
      <c r="U38" s="664"/>
      <c r="V38" s="664"/>
      <c r="W38" s="664"/>
      <c r="X38" s="664"/>
    </row>
    <row r="39" spans="1:24" ht="15" x14ac:dyDescent="0.25">
      <c r="A39" s="664"/>
      <c r="D39" s="52"/>
      <c r="E39" s="52"/>
      <c r="F39" s="764"/>
      <c r="G39" s="664"/>
      <c r="H39" s="664"/>
      <c r="I39" s="664"/>
      <c r="J39" s="664"/>
      <c r="K39" s="664"/>
      <c r="L39" s="664"/>
      <c r="M39" s="664"/>
      <c r="N39" s="664"/>
      <c r="O39" s="664"/>
      <c r="P39" s="664"/>
      <c r="Q39" s="664"/>
      <c r="R39" s="664"/>
      <c r="S39" s="664"/>
      <c r="T39" s="664"/>
      <c r="U39" s="664"/>
      <c r="V39" s="664"/>
      <c r="W39" s="664"/>
      <c r="X39" s="664"/>
    </row>
    <row r="40" spans="1:24" ht="15" x14ac:dyDescent="0.25">
      <c r="A40" s="772" t="s">
        <v>2868</v>
      </c>
      <c r="C40" s="763"/>
      <c r="E40" s="52"/>
      <c r="F40" s="764"/>
      <c r="G40" s="664"/>
      <c r="H40" s="772"/>
      <c r="I40" s="664"/>
      <c r="J40" s="664"/>
      <c r="K40" s="664"/>
      <c r="L40" s="664"/>
      <c r="M40" s="664"/>
      <c r="N40" s="664"/>
      <c r="O40" s="664"/>
      <c r="P40" s="664"/>
      <c r="Q40" s="664"/>
      <c r="R40" s="664"/>
      <c r="S40" s="664"/>
      <c r="T40" s="664"/>
      <c r="U40" s="664"/>
      <c r="V40" s="664"/>
      <c r="W40" s="664"/>
      <c r="X40" s="664"/>
    </row>
    <row r="41" spans="1:24" ht="15" x14ac:dyDescent="0.25">
      <c r="A41" s="664" t="s">
        <v>2867</v>
      </c>
      <c r="D41" s="52"/>
      <c r="E41" s="52"/>
      <c r="F41" s="764"/>
      <c r="G41" s="664"/>
      <c r="H41" s="664"/>
      <c r="I41" s="774"/>
      <c r="J41" s="664"/>
      <c r="K41" s="664"/>
      <c r="L41" s="664"/>
      <c r="M41" s="664"/>
      <c r="N41" s="664"/>
      <c r="O41" s="664"/>
      <c r="P41" s="664"/>
      <c r="Q41" s="664"/>
      <c r="R41" s="664"/>
      <c r="S41" s="664"/>
      <c r="T41" s="664"/>
      <c r="U41" s="664"/>
      <c r="V41" s="664"/>
      <c r="W41" s="664"/>
      <c r="X41" s="664"/>
    </row>
    <row r="42" spans="1:24" ht="15" x14ac:dyDescent="0.25">
      <c r="A42" s="664" t="s">
        <v>2866</v>
      </c>
      <c r="C42" s="769"/>
      <c r="D42" s="52"/>
      <c r="E42" s="52"/>
      <c r="F42" s="764"/>
      <c r="G42" s="664"/>
      <c r="H42" s="664"/>
      <c r="I42" s="664"/>
      <c r="J42" s="664"/>
      <c r="K42" s="664"/>
      <c r="L42" s="664"/>
      <c r="M42" s="664"/>
      <c r="N42" s="664"/>
      <c r="O42" s="664"/>
      <c r="P42" s="664"/>
      <c r="Q42" s="664"/>
      <c r="R42" s="664"/>
      <c r="S42" s="664"/>
      <c r="T42" s="664"/>
      <c r="U42" s="664"/>
      <c r="V42" s="664"/>
      <c r="W42" s="664"/>
      <c r="X42" s="664"/>
    </row>
    <row r="43" spans="1:24" ht="15" x14ac:dyDescent="0.25">
      <c r="A43" s="664" t="s">
        <v>2865</v>
      </c>
      <c r="C43" s="766"/>
      <c r="D43" s="52"/>
      <c r="E43" s="52"/>
      <c r="F43" s="764"/>
      <c r="G43" s="664"/>
      <c r="H43" s="775"/>
      <c r="I43" s="664"/>
      <c r="J43" s="664"/>
      <c r="K43" s="664"/>
      <c r="L43" s="664"/>
      <c r="M43" s="664"/>
      <c r="N43" s="664"/>
      <c r="O43" s="664"/>
      <c r="P43" s="664"/>
      <c r="Q43" s="664"/>
      <c r="R43" s="664"/>
      <c r="S43" s="664"/>
      <c r="T43" s="664"/>
      <c r="U43" s="664"/>
      <c r="V43" s="664"/>
      <c r="W43" s="664"/>
      <c r="X43" s="664"/>
    </row>
    <row r="44" spans="1:24" ht="15" x14ac:dyDescent="0.25">
      <c r="A44" s="786" t="s">
        <v>2981</v>
      </c>
      <c r="C44" s="766"/>
      <c r="F44" s="764"/>
      <c r="G44" s="664"/>
      <c r="H44" s="664"/>
      <c r="I44" s="776"/>
      <c r="J44" s="664"/>
      <c r="K44" s="664"/>
      <c r="L44" s="664"/>
      <c r="M44" s="664"/>
      <c r="N44" s="664"/>
      <c r="O44" s="664"/>
      <c r="P44" s="664"/>
      <c r="Q44" s="664"/>
      <c r="R44" s="664"/>
      <c r="S44" s="664"/>
      <c r="T44" s="664"/>
      <c r="U44" s="664"/>
      <c r="V44" s="664"/>
      <c r="W44" s="664"/>
      <c r="X44" s="664"/>
    </row>
    <row r="45" spans="1:24" ht="15" x14ac:dyDescent="0.25">
      <c r="C45" s="766"/>
      <c r="F45" s="764"/>
      <c r="G45" s="664"/>
      <c r="H45" s="664"/>
      <c r="I45" s="777"/>
      <c r="J45" s="664"/>
      <c r="K45" s="664"/>
      <c r="L45" s="664"/>
      <c r="M45" s="664"/>
      <c r="N45" s="664"/>
      <c r="O45" s="664"/>
      <c r="P45" s="664"/>
      <c r="Q45" s="664"/>
      <c r="R45" s="664"/>
      <c r="S45" s="664"/>
      <c r="T45" s="664"/>
      <c r="U45" s="664"/>
      <c r="V45" s="664"/>
      <c r="W45" s="664"/>
      <c r="X45" s="664"/>
    </row>
    <row r="46" spans="1:24" ht="15" x14ac:dyDescent="0.25">
      <c r="C46" s="766"/>
      <c r="F46" s="764"/>
      <c r="G46" s="664"/>
      <c r="H46" s="664"/>
      <c r="I46" s="778"/>
      <c r="J46" s="664"/>
      <c r="K46" s="664"/>
      <c r="L46" s="664"/>
      <c r="M46" s="664"/>
      <c r="N46" s="664"/>
      <c r="O46" s="664"/>
      <c r="P46" s="664"/>
      <c r="Q46" s="664"/>
      <c r="R46" s="664"/>
      <c r="S46" s="664"/>
      <c r="T46" s="664"/>
      <c r="U46" s="664"/>
      <c r="V46" s="664"/>
      <c r="W46" s="664"/>
      <c r="X46" s="664"/>
    </row>
    <row r="47" spans="1:24" ht="15" x14ac:dyDescent="0.25">
      <c r="C47" s="766"/>
      <c r="F47" s="764"/>
      <c r="G47" s="664"/>
      <c r="H47" s="664"/>
      <c r="I47" s="664"/>
      <c r="J47" s="664"/>
      <c r="K47" s="664"/>
      <c r="L47" s="664"/>
      <c r="M47" s="664"/>
      <c r="N47" s="664"/>
      <c r="O47" s="664"/>
      <c r="P47" s="664"/>
      <c r="Q47" s="664"/>
      <c r="R47" s="664"/>
      <c r="S47" s="664"/>
      <c r="T47" s="664"/>
      <c r="U47" s="664"/>
      <c r="V47" s="664"/>
      <c r="W47" s="664"/>
      <c r="X47" s="664"/>
    </row>
    <row r="48" spans="1:24" ht="15" x14ac:dyDescent="0.25">
      <c r="C48" s="766"/>
      <c r="F48" s="764"/>
      <c r="G48" s="664"/>
      <c r="H48" s="664"/>
      <c r="I48" s="664"/>
      <c r="J48" s="664"/>
      <c r="K48" s="664"/>
      <c r="L48" s="664"/>
      <c r="M48" s="664"/>
      <c r="N48" s="664"/>
      <c r="O48" s="664"/>
      <c r="P48" s="664"/>
      <c r="Q48" s="664"/>
      <c r="R48" s="664"/>
      <c r="S48" s="664"/>
      <c r="T48" s="664"/>
      <c r="U48" s="664"/>
      <c r="V48" s="664"/>
      <c r="W48" s="664"/>
      <c r="X48" s="664"/>
    </row>
    <row r="49" spans="3:24" ht="15" x14ac:dyDescent="0.25">
      <c r="C49" s="766"/>
      <c r="D49" s="54"/>
      <c r="F49" s="764"/>
      <c r="G49" s="664"/>
      <c r="H49" s="664"/>
      <c r="I49" s="779"/>
      <c r="J49" s="664"/>
      <c r="K49" s="664"/>
      <c r="L49" s="664"/>
      <c r="M49" s="664"/>
      <c r="N49" s="664"/>
      <c r="O49" s="664"/>
      <c r="P49" s="664"/>
      <c r="Q49" s="664"/>
      <c r="R49" s="664"/>
      <c r="S49" s="664"/>
      <c r="T49" s="664"/>
      <c r="U49" s="664"/>
      <c r="V49" s="664"/>
      <c r="W49" s="664"/>
      <c r="X49" s="664"/>
    </row>
    <row r="50" spans="3:24" ht="15" x14ac:dyDescent="0.25">
      <c r="C50" s="766"/>
      <c r="D50" s="52"/>
      <c r="F50" s="764"/>
      <c r="G50" s="664"/>
      <c r="H50" s="664"/>
      <c r="I50" s="664"/>
      <c r="J50" s="664"/>
      <c r="K50" s="664"/>
      <c r="L50" s="664"/>
      <c r="M50" s="664"/>
      <c r="N50" s="664"/>
      <c r="O50" s="664"/>
      <c r="P50" s="664"/>
      <c r="Q50" s="664"/>
      <c r="R50" s="664"/>
      <c r="S50" s="664"/>
      <c r="T50" s="664"/>
      <c r="U50" s="664"/>
      <c r="V50" s="664"/>
      <c r="W50" s="664"/>
      <c r="X50" s="664"/>
    </row>
    <row r="51" spans="3:24" x14ac:dyDescent="0.2">
      <c r="G51" s="664"/>
      <c r="H51" s="664"/>
      <c r="I51" s="664"/>
      <c r="J51" s="664"/>
      <c r="K51" s="664"/>
      <c r="L51" s="664"/>
      <c r="M51" s="664"/>
      <c r="N51" s="664"/>
      <c r="O51" s="664"/>
      <c r="P51" s="664"/>
      <c r="Q51" s="664"/>
      <c r="R51" s="664"/>
      <c r="S51" s="664"/>
      <c r="T51" s="664"/>
      <c r="U51" s="664"/>
      <c r="V51" s="664"/>
      <c r="W51" s="664"/>
      <c r="X51" s="664"/>
    </row>
    <row r="52" spans="3:24" ht="15" x14ac:dyDescent="0.25">
      <c r="C52" s="54"/>
      <c r="D52" s="52"/>
      <c r="E52" s="52"/>
      <c r="F52" s="764"/>
      <c r="G52" s="664"/>
      <c r="H52" s="664"/>
      <c r="I52" s="664"/>
      <c r="J52" s="664"/>
      <c r="K52" s="664"/>
      <c r="L52" s="664"/>
      <c r="M52" s="664"/>
      <c r="N52" s="664"/>
      <c r="O52" s="664"/>
      <c r="P52" s="664"/>
      <c r="Q52" s="664"/>
      <c r="R52" s="664"/>
      <c r="S52" s="664"/>
      <c r="T52" s="664"/>
      <c r="U52" s="664"/>
      <c r="V52" s="664"/>
      <c r="W52" s="664"/>
      <c r="X52" s="664"/>
    </row>
    <row r="53" spans="3:24" ht="15" x14ac:dyDescent="0.25">
      <c r="C53" s="763"/>
      <c r="E53" s="52"/>
      <c r="F53" s="764"/>
      <c r="G53" s="664"/>
      <c r="H53" s="664"/>
      <c r="I53" s="664"/>
      <c r="J53" s="664"/>
      <c r="K53" s="664"/>
      <c r="L53" s="664"/>
      <c r="M53" s="664"/>
      <c r="N53" s="664"/>
      <c r="O53" s="664"/>
      <c r="P53" s="664"/>
      <c r="Q53" s="664"/>
      <c r="R53" s="664"/>
      <c r="S53" s="664"/>
      <c r="T53" s="664"/>
      <c r="U53" s="664"/>
      <c r="V53" s="664"/>
      <c r="W53" s="664"/>
      <c r="X53" s="664"/>
    </row>
    <row r="54" spans="3:24" ht="15" x14ac:dyDescent="0.25">
      <c r="C54" s="54"/>
      <c r="D54" s="664"/>
      <c r="F54" s="764"/>
      <c r="G54" s="664"/>
      <c r="H54" s="664"/>
      <c r="I54" s="664"/>
      <c r="J54" s="664"/>
      <c r="K54" s="664"/>
      <c r="L54" s="664"/>
      <c r="M54" s="664"/>
      <c r="N54" s="664"/>
      <c r="O54" s="664"/>
      <c r="P54" s="664"/>
      <c r="Q54" s="664"/>
      <c r="R54" s="664"/>
      <c r="S54" s="664"/>
      <c r="T54" s="664"/>
      <c r="U54" s="664"/>
      <c r="V54" s="664"/>
      <c r="W54" s="664"/>
      <c r="X54" s="664"/>
    </row>
    <row r="55" spans="3:24" ht="15" x14ac:dyDescent="0.25">
      <c r="C55" s="54"/>
      <c r="D55" s="664"/>
      <c r="F55" s="764"/>
      <c r="G55" s="664"/>
      <c r="H55" s="664"/>
      <c r="I55" s="664"/>
      <c r="J55" s="664"/>
      <c r="K55" s="664"/>
      <c r="L55" s="664"/>
      <c r="M55" s="664"/>
      <c r="N55" s="664"/>
      <c r="O55" s="664"/>
      <c r="P55" s="664"/>
      <c r="Q55" s="664"/>
      <c r="R55" s="664"/>
      <c r="S55" s="664"/>
      <c r="T55" s="664"/>
      <c r="U55" s="664"/>
      <c r="V55" s="664"/>
      <c r="W55" s="664"/>
      <c r="X55" s="664"/>
    </row>
    <row r="56" spans="3:24" x14ac:dyDescent="0.2">
      <c r="G56" s="664"/>
      <c r="H56" s="664"/>
      <c r="I56" s="664"/>
      <c r="J56" s="664"/>
      <c r="K56" s="664"/>
      <c r="L56" s="664"/>
      <c r="M56" s="664"/>
      <c r="N56" s="664"/>
      <c r="O56" s="664"/>
      <c r="P56" s="664"/>
      <c r="Q56" s="664"/>
      <c r="R56" s="664"/>
      <c r="S56" s="664"/>
      <c r="T56" s="664"/>
      <c r="U56" s="664"/>
      <c r="V56" s="664"/>
      <c r="W56" s="664"/>
      <c r="X56" s="664"/>
    </row>
    <row r="57" spans="3:24" ht="15" x14ac:dyDescent="0.25">
      <c r="C57" s="54"/>
      <c r="E57" s="52"/>
      <c r="F57" s="764"/>
      <c r="G57" s="664"/>
      <c r="H57" s="664"/>
      <c r="J57" s="780"/>
      <c r="M57" s="781"/>
      <c r="N57" s="664"/>
      <c r="O57" s="664"/>
      <c r="P57" s="664"/>
      <c r="Q57" s="664"/>
      <c r="R57" s="664"/>
      <c r="S57" s="664"/>
      <c r="T57" s="664"/>
      <c r="U57" s="664"/>
      <c r="V57" s="664"/>
      <c r="W57" s="664"/>
      <c r="X57" s="664"/>
    </row>
    <row r="58" spans="3:24" ht="15" x14ac:dyDescent="0.25">
      <c r="C58" s="54"/>
      <c r="E58" s="52"/>
      <c r="F58" s="764"/>
      <c r="G58" s="664"/>
      <c r="H58" s="664"/>
      <c r="J58" s="780"/>
      <c r="M58" s="781"/>
      <c r="N58" s="664"/>
      <c r="O58" s="664"/>
      <c r="P58" s="664"/>
      <c r="Q58" s="664"/>
      <c r="R58" s="664"/>
      <c r="S58" s="664"/>
      <c r="T58" s="664"/>
      <c r="U58" s="664"/>
      <c r="V58" s="664"/>
      <c r="W58" s="664"/>
      <c r="X58" s="664"/>
    </row>
    <row r="59" spans="3:24" ht="15" x14ac:dyDescent="0.25">
      <c r="E59" s="664"/>
      <c r="F59" s="764"/>
      <c r="G59" s="664"/>
      <c r="H59" s="664"/>
      <c r="J59" s="780"/>
      <c r="M59" s="781"/>
      <c r="N59" s="664"/>
      <c r="O59" s="664"/>
      <c r="P59" s="664"/>
      <c r="Q59" s="664"/>
      <c r="R59" s="664"/>
      <c r="S59" s="664"/>
      <c r="T59" s="664"/>
      <c r="U59" s="664"/>
      <c r="V59" s="664"/>
      <c r="W59" s="664"/>
      <c r="X59" s="664"/>
    </row>
    <row r="60" spans="3:24" ht="15" x14ac:dyDescent="0.25">
      <c r="C60" s="769"/>
      <c r="D60" s="52"/>
      <c r="E60" s="52"/>
      <c r="F60" s="764"/>
      <c r="G60" s="664"/>
      <c r="H60" s="664"/>
      <c r="J60" s="780"/>
      <c r="M60" s="781"/>
      <c r="N60" s="664"/>
      <c r="O60" s="664"/>
      <c r="P60" s="664"/>
      <c r="Q60" s="664"/>
      <c r="R60" s="664"/>
      <c r="S60" s="664"/>
      <c r="T60" s="664"/>
      <c r="U60" s="664"/>
      <c r="V60" s="664"/>
      <c r="W60" s="664"/>
      <c r="X60" s="664"/>
    </row>
    <row r="61" spans="3:24" ht="15" x14ac:dyDescent="0.25">
      <c r="C61" s="766"/>
      <c r="E61" s="52"/>
      <c r="F61" s="764"/>
      <c r="G61" s="664"/>
      <c r="H61" s="664"/>
      <c r="J61" s="780"/>
      <c r="M61" s="781"/>
      <c r="N61" s="664"/>
      <c r="O61" s="664"/>
      <c r="P61" s="664"/>
      <c r="Q61" s="664"/>
      <c r="R61" s="664"/>
      <c r="S61" s="664"/>
      <c r="T61" s="664"/>
      <c r="U61" s="664"/>
      <c r="V61" s="664"/>
      <c r="W61" s="664"/>
      <c r="X61" s="664"/>
    </row>
    <row r="62" spans="3:24" ht="15" x14ac:dyDescent="0.25">
      <c r="C62" s="766"/>
      <c r="D62" s="664"/>
      <c r="F62" s="764"/>
      <c r="G62" s="664"/>
      <c r="H62" s="664"/>
      <c r="J62" s="780"/>
      <c r="M62" s="781"/>
      <c r="N62" s="664"/>
      <c r="O62" s="664"/>
      <c r="P62" s="664"/>
      <c r="Q62" s="664"/>
      <c r="R62" s="664"/>
      <c r="S62" s="664"/>
      <c r="T62" s="664"/>
      <c r="U62" s="664"/>
      <c r="V62" s="664"/>
      <c r="W62" s="664"/>
      <c r="X62" s="664"/>
    </row>
    <row r="63" spans="3:24" ht="15" x14ac:dyDescent="0.25">
      <c r="C63" s="766"/>
      <c r="F63" s="764"/>
      <c r="G63" s="664"/>
      <c r="H63" s="664"/>
      <c r="J63" s="780"/>
      <c r="M63" s="781"/>
      <c r="N63" s="664"/>
      <c r="O63" s="664"/>
      <c r="P63" s="664"/>
      <c r="Q63" s="664"/>
      <c r="R63" s="664"/>
      <c r="S63" s="664"/>
      <c r="T63" s="664"/>
      <c r="U63" s="664"/>
      <c r="V63" s="664"/>
      <c r="W63" s="664"/>
      <c r="X63" s="664"/>
    </row>
    <row r="64" spans="3:24" ht="15" x14ac:dyDescent="0.25">
      <c r="C64" s="766"/>
      <c r="F64" s="764"/>
      <c r="G64" s="664"/>
      <c r="H64" s="664"/>
      <c r="J64" s="780"/>
      <c r="M64" s="781"/>
      <c r="N64" s="664"/>
      <c r="O64" s="664"/>
      <c r="P64" s="664"/>
      <c r="Q64" s="664"/>
      <c r="R64" s="664"/>
      <c r="S64" s="664"/>
      <c r="T64" s="664"/>
      <c r="U64" s="664"/>
      <c r="V64" s="664"/>
      <c r="W64" s="664"/>
      <c r="X64" s="664"/>
    </row>
    <row r="65" spans="3:24" ht="15" x14ac:dyDescent="0.25">
      <c r="C65" s="766"/>
      <c r="F65" s="764"/>
      <c r="G65" s="664"/>
      <c r="H65" s="664"/>
      <c r="J65" s="780"/>
      <c r="M65" s="781"/>
      <c r="N65" s="664"/>
      <c r="O65" s="664"/>
      <c r="P65" s="664"/>
      <c r="Q65" s="664"/>
      <c r="R65" s="664"/>
      <c r="S65" s="664"/>
      <c r="T65" s="664"/>
      <c r="U65" s="664"/>
      <c r="V65" s="664"/>
      <c r="W65" s="664"/>
      <c r="X65" s="664"/>
    </row>
    <row r="66" spans="3:24" ht="15" x14ac:dyDescent="0.25">
      <c r="C66" s="766"/>
      <c r="F66" s="764"/>
      <c r="G66" s="664"/>
      <c r="H66" s="664"/>
      <c r="I66" s="664"/>
      <c r="J66" s="664"/>
      <c r="K66" s="664"/>
      <c r="L66" s="664"/>
      <c r="M66" s="664"/>
      <c r="N66" s="664"/>
      <c r="O66" s="664"/>
      <c r="P66" s="664"/>
      <c r="Q66" s="664"/>
      <c r="R66" s="664"/>
      <c r="S66" s="664"/>
      <c r="T66" s="664"/>
      <c r="U66" s="664"/>
      <c r="V66" s="664"/>
      <c r="W66" s="664"/>
      <c r="X66" s="664"/>
    </row>
    <row r="67" spans="3:24" ht="15" x14ac:dyDescent="0.25">
      <c r="C67" s="766"/>
      <c r="D67" s="52"/>
      <c r="F67" s="764"/>
      <c r="G67" s="664"/>
      <c r="H67" s="664"/>
      <c r="I67" s="664"/>
      <c r="K67" s="664"/>
      <c r="L67" s="664"/>
      <c r="M67" s="664"/>
      <c r="N67" s="664"/>
      <c r="O67" s="664"/>
      <c r="P67" s="664"/>
      <c r="Q67" s="664"/>
      <c r="R67" s="664"/>
      <c r="S67" s="664"/>
      <c r="T67" s="664"/>
      <c r="U67" s="664"/>
      <c r="V67" s="664"/>
      <c r="W67" s="664"/>
      <c r="X67" s="664"/>
    </row>
    <row r="68" spans="3:24" ht="15" x14ac:dyDescent="0.25">
      <c r="C68" s="766"/>
      <c r="D68" s="52"/>
      <c r="F68" s="764"/>
      <c r="G68" s="664"/>
      <c r="H68" s="664"/>
      <c r="I68" s="664"/>
      <c r="J68" s="664"/>
      <c r="K68" s="664"/>
      <c r="L68" s="664"/>
      <c r="M68" s="664"/>
      <c r="N68" s="664"/>
      <c r="O68" s="664"/>
      <c r="P68" s="664"/>
      <c r="Q68" s="664"/>
      <c r="R68" s="664"/>
      <c r="S68" s="664"/>
      <c r="T68" s="664"/>
      <c r="U68" s="664"/>
      <c r="V68" s="664"/>
      <c r="W68" s="664"/>
      <c r="X68" s="664"/>
    </row>
    <row r="69" spans="3:24" ht="15" x14ac:dyDescent="0.25">
      <c r="C69" s="766"/>
      <c r="F69" s="764"/>
      <c r="G69" s="664"/>
      <c r="H69" s="664"/>
      <c r="I69" s="664"/>
      <c r="J69" s="664"/>
      <c r="K69" s="664"/>
      <c r="L69" s="664"/>
      <c r="M69" s="664"/>
      <c r="N69" s="664"/>
      <c r="O69" s="664"/>
      <c r="P69" s="664"/>
      <c r="Q69" s="664"/>
      <c r="R69" s="664"/>
      <c r="S69" s="664"/>
      <c r="T69" s="664"/>
      <c r="U69" s="664"/>
      <c r="V69" s="664"/>
      <c r="W69" s="664"/>
      <c r="X69" s="664"/>
    </row>
    <row r="70" spans="3:24" x14ac:dyDescent="0.2">
      <c r="D70" s="52"/>
      <c r="E70" s="52"/>
      <c r="G70" s="664"/>
      <c r="H70" s="664"/>
      <c r="I70" s="664"/>
      <c r="J70" s="664"/>
      <c r="K70" s="664"/>
      <c r="L70" s="664"/>
      <c r="M70" s="664"/>
      <c r="N70" s="664"/>
      <c r="O70" s="664"/>
      <c r="P70" s="664"/>
      <c r="Q70" s="664"/>
      <c r="R70" s="664"/>
      <c r="S70" s="664"/>
      <c r="T70" s="664"/>
      <c r="U70" s="664"/>
      <c r="V70" s="664"/>
      <c r="W70" s="664"/>
      <c r="X70" s="664"/>
    </row>
    <row r="71" spans="3:24" ht="15" x14ac:dyDescent="0.25">
      <c r="D71" s="52"/>
      <c r="E71" s="52"/>
      <c r="F71" s="764"/>
      <c r="G71" s="664"/>
      <c r="H71" s="664"/>
      <c r="I71" s="664"/>
      <c r="J71" s="664"/>
      <c r="K71" s="664"/>
      <c r="L71" s="664"/>
      <c r="M71" s="664"/>
      <c r="N71" s="664"/>
      <c r="O71" s="664"/>
      <c r="P71" s="664"/>
      <c r="Q71" s="664"/>
      <c r="R71" s="664"/>
      <c r="S71" s="664"/>
      <c r="T71" s="664"/>
      <c r="U71" s="664"/>
      <c r="V71" s="664"/>
      <c r="W71" s="664"/>
      <c r="X71" s="664"/>
    </row>
    <row r="72" spans="3:24" ht="15" x14ac:dyDescent="0.25">
      <c r="C72" s="763"/>
      <c r="E72" s="52"/>
      <c r="F72" s="764"/>
      <c r="G72" s="664"/>
      <c r="H72" s="664"/>
      <c r="I72" s="664"/>
      <c r="J72" s="664"/>
      <c r="K72" s="664"/>
      <c r="L72" s="664"/>
      <c r="M72" s="664"/>
      <c r="N72" s="664"/>
      <c r="O72" s="664"/>
      <c r="P72" s="664"/>
      <c r="Q72" s="664"/>
      <c r="R72" s="664"/>
      <c r="S72" s="664"/>
      <c r="T72" s="664"/>
      <c r="U72" s="664"/>
      <c r="V72" s="664"/>
      <c r="W72" s="664"/>
      <c r="X72" s="664"/>
    </row>
    <row r="73" spans="3:24" ht="15" x14ac:dyDescent="0.25">
      <c r="C73" s="54"/>
      <c r="E73" s="52"/>
      <c r="F73" s="764"/>
      <c r="G73" s="664"/>
      <c r="H73" s="664"/>
      <c r="I73" s="664"/>
      <c r="J73" s="664"/>
      <c r="K73" s="664"/>
      <c r="L73" s="664"/>
      <c r="M73" s="664"/>
      <c r="N73" s="664"/>
      <c r="O73" s="664"/>
      <c r="P73" s="664"/>
      <c r="Q73" s="664"/>
      <c r="R73" s="664"/>
      <c r="S73" s="664"/>
      <c r="T73" s="664"/>
      <c r="U73" s="664"/>
      <c r="V73" s="664"/>
      <c r="W73" s="664"/>
      <c r="X73" s="664"/>
    </row>
    <row r="74" spans="3:24" ht="15" x14ac:dyDescent="0.25">
      <c r="C74" s="770"/>
      <c r="E74" s="52"/>
      <c r="F74" s="764"/>
      <c r="G74" s="664"/>
      <c r="H74" s="664"/>
      <c r="I74" s="664"/>
      <c r="J74" s="664"/>
      <c r="K74" s="664"/>
      <c r="L74" s="664"/>
      <c r="M74" s="664"/>
      <c r="N74" s="664"/>
      <c r="O74" s="664"/>
      <c r="P74" s="664"/>
      <c r="Q74" s="664"/>
      <c r="R74" s="664"/>
      <c r="S74" s="664"/>
      <c r="T74" s="664"/>
      <c r="U74" s="664"/>
      <c r="V74" s="664"/>
      <c r="W74" s="664"/>
      <c r="X74" s="664"/>
    </row>
    <row r="75" spans="3:24" ht="15" x14ac:dyDescent="0.25">
      <c r="D75" s="664"/>
      <c r="E75" s="664"/>
      <c r="F75" s="764"/>
      <c r="G75" s="664"/>
      <c r="H75" s="664"/>
      <c r="I75" s="664"/>
      <c r="J75" s="664"/>
      <c r="K75" s="664"/>
      <c r="L75" s="664"/>
      <c r="M75" s="664"/>
      <c r="N75" s="664"/>
      <c r="O75" s="664"/>
      <c r="P75" s="664"/>
      <c r="Q75" s="664"/>
      <c r="R75" s="664"/>
      <c r="S75" s="664"/>
      <c r="T75" s="664"/>
      <c r="U75" s="664"/>
      <c r="V75" s="664"/>
      <c r="W75" s="664"/>
      <c r="X75" s="664"/>
    </row>
    <row r="76" spans="3:24" ht="15" x14ac:dyDescent="0.25">
      <c r="C76" s="769"/>
      <c r="D76" s="52"/>
      <c r="E76" s="52"/>
      <c r="G76" s="664"/>
      <c r="H76" s="664"/>
      <c r="I76" s="664"/>
      <c r="J76" s="664"/>
      <c r="K76" s="664"/>
      <c r="L76" s="664"/>
      <c r="M76" s="664"/>
      <c r="N76" s="664"/>
      <c r="O76" s="664"/>
      <c r="P76" s="664"/>
      <c r="Q76" s="664"/>
      <c r="R76" s="664"/>
      <c r="S76" s="664"/>
      <c r="T76" s="664"/>
      <c r="U76" s="664"/>
      <c r="V76" s="664"/>
      <c r="W76" s="664"/>
      <c r="X76" s="664"/>
    </row>
    <row r="77" spans="3:24" ht="15" x14ac:dyDescent="0.25">
      <c r="C77" s="766"/>
      <c r="D77" s="52"/>
      <c r="E77" s="52"/>
      <c r="F77" s="764"/>
      <c r="G77" s="664"/>
      <c r="H77" s="664"/>
      <c r="I77" s="664"/>
      <c r="J77" s="664"/>
      <c r="K77" s="664"/>
      <c r="L77" s="664"/>
      <c r="M77" s="664"/>
      <c r="N77" s="664"/>
      <c r="O77" s="664"/>
      <c r="P77" s="664"/>
      <c r="Q77" s="664"/>
      <c r="R77" s="664"/>
      <c r="S77" s="664"/>
      <c r="T77" s="664"/>
      <c r="U77" s="664"/>
      <c r="V77" s="664"/>
      <c r="W77" s="664"/>
      <c r="X77" s="664"/>
    </row>
    <row r="78" spans="3:24" ht="15" x14ac:dyDescent="0.25">
      <c r="C78" s="766"/>
      <c r="F78" s="764"/>
      <c r="G78" s="664"/>
      <c r="H78" s="664"/>
      <c r="I78" s="664"/>
      <c r="J78" s="664"/>
      <c r="K78" s="664"/>
      <c r="L78" s="664"/>
      <c r="M78" s="664"/>
      <c r="N78" s="664"/>
      <c r="O78" s="664"/>
      <c r="P78" s="664"/>
      <c r="Q78" s="664"/>
      <c r="R78" s="664"/>
      <c r="S78" s="664"/>
      <c r="T78" s="664"/>
      <c r="U78" s="664"/>
      <c r="V78" s="664"/>
      <c r="W78" s="664"/>
      <c r="X78" s="664"/>
    </row>
    <row r="79" spans="3:24" ht="15" x14ac:dyDescent="0.25">
      <c r="C79" s="766"/>
      <c r="F79" s="764"/>
      <c r="G79" s="664"/>
      <c r="H79" s="664"/>
      <c r="I79" s="664"/>
      <c r="J79" s="664"/>
      <c r="K79" s="664"/>
      <c r="L79" s="664"/>
      <c r="M79" s="664"/>
      <c r="N79" s="664"/>
      <c r="O79" s="664"/>
      <c r="P79" s="664"/>
      <c r="Q79" s="664"/>
      <c r="R79" s="664"/>
      <c r="S79" s="664"/>
      <c r="T79" s="664"/>
      <c r="U79" s="664"/>
      <c r="V79" s="664"/>
      <c r="W79" s="664"/>
      <c r="X79" s="664"/>
    </row>
    <row r="80" spans="3:24" ht="15" x14ac:dyDescent="0.25">
      <c r="C80" s="766"/>
      <c r="F80" s="764"/>
      <c r="G80" s="664"/>
      <c r="H80" s="664"/>
      <c r="I80" s="664"/>
      <c r="J80" s="664"/>
      <c r="K80" s="664"/>
      <c r="L80" s="664"/>
      <c r="M80" s="664"/>
      <c r="N80" s="664"/>
      <c r="O80" s="664"/>
      <c r="P80" s="664"/>
      <c r="Q80" s="664"/>
      <c r="R80" s="664"/>
      <c r="S80" s="664"/>
      <c r="T80" s="664"/>
      <c r="U80" s="664"/>
      <c r="V80" s="664"/>
      <c r="W80" s="664"/>
      <c r="X80" s="664"/>
    </row>
    <row r="81" spans="3:24" ht="15" x14ac:dyDescent="0.25">
      <c r="C81" s="766"/>
      <c r="F81" s="764"/>
      <c r="G81" s="664"/>
      <c r="H81" s="664"/>
      <c r="I81" s="664"/>
      <c r="J81" s="664"/>
      <c r="K81" s="664"/>
      <c r="L81" s="664"/>
      <c r="M81" s="664"/>
      <c r="N81" s="664"/>
      <c r="O81" s="664"/>
      <c r="P81" s="664"/>
      <c r="Q81" s="664"/>
      <c r="R81" s="664"/>
      <c r="S81" s="664"/>
      <c r="T81" s="664"/>
      <c r="U81" s="664"/>
      <c r="V81" s="664"/>
      <c r="W81" s="664"/>
      <c r="X81" s="664"/>
    </row>
    <row r="82" spans="3:24" ht="15" x14ac:dyDescent="0.25">
      <c r="C82" s="766"/>
      <c r="D82" s="52"/>
      <c r="E82" s="52"/>
      <c r="F82" s="764"/>
      <c r="G82" s="664"/>
      <c r="H82" s="664"/>
      <c r="I82" s="664"/>
      <c r="J82" s="664"/>
      <c r="K82" s="664"/>
      <c r="L82" s="664"/>
      <c r="M82" s="664"/>
      <c r="N82" s="664"/>
      <c r="O82" s="664"/>
      <c r="P82" s="664"/>
      <c r="Q82" s="664"/>
      <c r="R82" s="664"/>
      <c r="S82" s="664"/>
      <c r="T82" s="664"/>
      <c r="U82" s="664"/>
      <c r="V82" s="664"/>
      <c r="W82" s="664"/>
      <c r="X82" s="664"/>
    </row>
    <row r="83" spans="3:24" ht="15" x14ac:dyDescent="0.25">
      <c r="C83" s="766"/>
      <c r="D83" s="52"/>
      <c r="F83" s="764"/>
      <c r="G83" s="664"/>
      <c r="H83" s="664"/>
      <c r="I83" s="664"/>
      <c r="J83" s="664"/>
      <c r="K83" s="664"/>
      <c r="L83" s="664"/>
      <c r="M83" s="664"/>
      <c r="N83" s="664"/>
      <c r="O83" s="664"/>
      <c r="P83" s="664"/>
      <c r="Q83" s="664"/>
      <c r="R83" s="664"/>
      <c r="S83" s="664"/>
      <c r="T83" s="664"/>
      <c r="U83" s="664"/>
      <c r="V83" s="664"/>
      <c r="W83" s="664"/>
      <c r="X83" s="664"/>
    </row>
    <row r="84" spans="3:24" ht="15" x14ac:dyDescent="0.25">
      <c r="C84" s="767"/>
      <c r="D84" s="52"/>
      <c r="E84" s="52"/>
      <c r="F84" s="764"/>
      <c r="G84" s="664"/>
      <c r="H84" s="772"/>
      <c r="I84" s="664"/>
      <c r="J84" s="664"/>
      <c r="K84" s="664"/>
      <c r="L84" s="664"/>
      <c r="M84" s="664"/>
      <c r="N84" s="664"/>
      <c r="O84" s="664"/>
      <c r="P84" s="664"/>
      <c r="Q84" s="664"/>
      <c r="R84" s="664"/>
      <c r="S84" s="664"/>
      <c r="T84" s="664"/>
      <c r="U84" s="664"/>
      <c r="V84" s="664"/>
      <c r="W84" s="664"/>
      <c r="X84" s="664"/>
    </row>
    <row r="85" spans="3:24" ht="15" x14ac:dyDescent="0.25">
      <c r="C85" s="766"/>
      <c r="D85" s="52"/>
      <c r="E85" s="52"/>
      <c r="F85" s="764"/>
      <c r="G85" s="664"/>
      <c r="H85" s="664"/>
      <c r="I85" s="664"/>
      <c r="J85" s="664"/>
      <c r="K85" s="664"/>
      <c r="L85" s="664"/>
      <c r="M85" s="664"/>
      <c r="N85" s="664"/>
      <c r="O85" s="664"/>
      <c r="P85" s="664"/>
      <c r="Q85" s="664"/>
      <c r="R85" s="664"/>
      <c r="S85" s="664"/>
      <c r="T85" s="664"/>
      <c r="U85" s="664"/>
      <c r="V85" s="664"/>
      <c r="W85" s="664"/>
      <c r="X85" s="664"/>
    </row>
    <row r="86" spans="3:24" ht="15" x14ac:dyDescent="0.25">
      <c r="C86" s="766"/>
      <c r="F86" s="764"/>
      <c r="G86" s="664"/>
      <c r="H86" s="664"/>
      <c r="I86" s="664"/>
      <c r="J86" s="664"/>
      <c r="K86" s="664"/>
      <c r="N86" s="664"/>
      <c r="O86" s="664"/>
      <c r="P86" s="664"/>
      <c r="Q86" s="664"/>
      <c r="R86" s="664"/>
      <c r="S86" s="664"/>
      <c r="T86" s="664"/>
      <c r="U86" s="664"/>
      <c r="V86" s="664"/>
      <c r="W86" s="664"/>
      <c r="X86" s="664"/>
    </row>
    <row r="87" spans="3:24" x14ac:dyDescent="0.2">
      <c r="D87" s="52"/>
      <c r="E87" s="52"/>
      <c r="G87" s="664"/>
      <c r="H87" s="664"/>
      <c r="I87" s="664"/>
      <c r="J87" s="664"/>
      <c r="K87" s="664"/>
      <c r="N87" s="664"/>
      <c r="O87" s="664"/>
      <c r="P87" s="664"/>
      <c r="Q87" s="664"/>
      <c r="R87" s="664"/>
      <c r="S87" s="664"/>
      <c r="T87" s="664"/>
      <c r="U87" s="664"/>
      <c r="V87" s="664"/>
      <c r="W87" s="664"/>
      <c r="X87" s="664"/>
    </row>
    <row r="88" spans="3:24" ht="15" x14ac:dyDescent="0.25">
      <c r="D88" s="52"/>
      <c r="E88" s="52"/>
      <c r="F88" s="764"/>
      <c r="G88" s="664"/>
      <c r="H88" s="664"/>
      <c r="I88" s="664"/>
      <c r="J88" s="664"/>
      <c r="K88" s="664"/>
      <c r="N88" s="664"/>
      <c r="O88" s="664"/>
      <c r="P88" s="664"/>
      <c r="Q88" s="664"/>
      <c r="R88" s="664"/>
      <c r="S88" s="664"/>
      <c r="T88" s="664"/>
      <c r="U88" s="664"/>
      <c r="V88" s="664"/>
      <c r="W88" s="664"/>
      <c r="X88" s="664"/>
    </row>
    <row r="89" spans="3:24" ht="15" x14ac:dyDescent="0.25">
      <c r="C89" s="763"/>
      <c r="D89" s="52"/>
      <c r="E89" s="52"/>
      <c r="F89" s="764"/>
      <c r="G89" s="664"/>
      <c r="H89" s="664"/>
      <c r="I89" s="664"/>
      <c r="J89" s="664"/>
      <c r="K89" s="664"/>
      <c r="N89" s="664"/>
      <c r="O89" s="664"/>
      <c r="P89" s="664"/>
      <c r="Q89" s="664"/>
      <c r="R89" s="664"/>
      <c r="S89" s="664"/>
      <c r="T89" s="664"/>
      <c r="U89" s="664"/>
      <c r="V89" s="664"/>
      <c r="W89" s="664"/>
      <c r="X89" s="664"/>
    </row>
    <row r="90" spans="3:24" ht="15" x14ac:dyDescent="0.25">
      <c r="D90" s="664"/>
      <c r="E90" s="52"/>
      <c r="F90" s="764"/>
      <c r="G90" s="664"/>
      <c r="H90" s="664"/>
      <c r="I90" s="664"/>
      <c r="J90" s="664"/>
      <c r="K90" s="664"/>
      <c r="N90" s="664"/>
      <c r="O90" s="664"/>
      <c r="P90" s="664"/>
      <c r="Q90" s="664"/>
      <c r="R90" s="664"/>
      <c r="S90" s="664"/>
      <c r="T90" s="664"/>
      <c r="U90" s="664"/>
      <c r="V90" s="664"/>
      <c r="W90" s="664"/>
      <c r="X90" s="664"/>
    </row>
    <row r="91" spans="3:24" ht="15" x14ac:dyDescent="0.25">
      <c r="D91" s="52"/>
      <c r="E91" s="52"/>
      <c r="F91" s="764"/>
      <c r="G91" s="664"/>
      <c r="H91" s="782"/>
      <c r="I91" s="664"/>
      <c r="J91" s="664"/>
      <c r="K91" s="664"/>
      <c r="L91" s="664"/>
      <c r="M91" s="664"/>
      <c r="N91" s="664"/>
      <c r="O91" s="664"/>
      <c r="P91" s="664"/>
      <c r="Q91" s="664"/>
      <c r="R91" s="664"/>
      <c r="S91" s="664"/>
      <c r="T91" s="664"/>
      <c r="U91" s="664"/>
      <c r="V91" s="664"/>
      <c r="W91" s="664"/>
      <c r="X91" s="664"/>
    </row>
    <row r="92" spans="3:24" x14ac:dyDescent="0.2">
      <c r="D92" s="664"/>
      <c r="E92" s="664"/>
      <c r="F92" s="664"/>
      <c r="G92" s="664"/>
      <c r="H92" s="664"/>
      <c r="I92" s="664"/>
      <c r="J92" s="664"/>
      <c r="K92" s="664"/>
      <c r="L92" s="664"/>
      <c r="M92" s="664"/>
      <c r="N92" s="664"/>
      <c r="O92" s="664"/>
      <c r="P92" s="664"/>
      <c r="Q92" s="664"/>
      <c r="R92" s="664"/>
      <c r="S92" s="664"/>
      <c r="T92" s="664"/>
      <c r="U92" s="664"/>
      <c r="V92" s="664"/>
      <c r="W92" s="664"/>
      <c r="X92" s="664"/>
    </row>
    <row r="93" spans="3:24" ht="15" x14ac:dyDescent="0.25">
      <c r="C93" s="766"/>
      <c r="D93" s="765"/>
      <c r="E93" s="52"/>
      <c r="F93" s="764"/>
      <c r="G93" s="664"/>
      <c r="H93" s="664"/>
      <c r="I93" s="664"/>
      <c r="J93" s="664"/>
      <c r="K93" s="664"/>
      <c r="L93" s="664"/>
      <c r="M93" s="664"/>
      <c r="N93" s="664"/>
      <c r="O93" s="664"/>
      <c r="P93" s="664"/>
      <c r="Q93" s="664"/>
      <c r="R93" s="664"/>
      <c r="S93" s="664"/>
      <c r="T93" s="664"/>
      <c r="U93" s="664"/>
      <c r="V93" s="664"/>
      <c r="W93" s="664"/>
      <c r="X93" s="664"/>
    </row>
    <row r="94" spans="3:24" ht="15" x14ac:dyDescent="0.25">
      <c r="C94" s="766"/>
      <c r="D94" s="783"/>
      <c r="E94" s="52"/>
      <c r="F94" s="764"/>
      <c r="G94" s="664"/>
      <c r="H94" s="664"/>
      <c r="I94" s="664"/>
      <c r="J94" s="664"/>
      <c r="K94" s="664"/>
      <c r="L94" s="664"/>
      <c r="M94" s="664"/>
      <c r="N94" s="664"/>
      <c r="O94" s="664"/>
      <c r="P94" s="664"/>
      <c r="Q94" s="664"/>
      <c r="R94" s="664"/>
      <c r="S94" s="664"/>
      <c r="T94" s="664"/>
      <c r="U94" s="664"/>
      <c r="V94" s="664"/>
      <c r="W94" s="664"/>
      <c r="X94" s="664"/>
    </row>
    <row r="95" spans="3:24" ht="15" x14ac:dyDescent="0.25">
      <c r="C95" s="766"/>
      <c r="D95" s="52"/>
      <c r="E95" s="52"/>
      <c r="F95" s="764"/>
      <c r="G95" s="664"/>
      <c r="H95" s="664"/>
      <c r="I95" s="664"/>
      <c r="J95" s="664"/>
      <c r="K95" s="664"/>
      <c r="L95" s="664"/>
      <c r="M95" s="664"/>
      <c r="N95" s="664"/>
      <c r="O95" s="664"/>
      <c r="P95" s="664"/>
      <c r="Q95" s="664"/>
      <c r="R95" s="664"/>
      <c r="S95" s="664"/>
      <c r="T95" s="664"/>
      <c r="U95" s="664"/>
      <c r="V95" s="664"/>
      <c r="W95" s="664"/>
      <c r="X95" s="664"/>
    </row>
    <row r="96" spans="3:24" ht="15" x14ac:dyDescent="0.25">
      <c r="D96" s="52"/>
      <c r="E96" s="52"/>
      <c r="F96" s="764"/>
      <c r="G96" s="664"/>
      <c r="H96" s="664"/>
      <c r="I96" s="664"/>
      <c r="J96" s="664"/>
      <c r="K96" s="664"/>
      <c r="L96" s="664"/>
      <c r="M96" s="664"/>
      <c r="N96" s="664"/>
      <c r="O96" s="664"/>
      <c r="P96" s="664"/>
      <c r="Q96" s="664"/>
      <c r="R96" s="664"/>
      <c r="S96" s="664"/>
      <c r="T96" s="664"/>
      <c r="U96" s="664"/>
      <c r="V96" s="664"/>
      <c r="W96" s="664"/>
      <c r="X96" s="664"/>
    </row>
    <row r="97" spans="3:24" x14ac:dyDescent="0.2">
      <c r="C97" s="664"/>
      <c r="D97" s="664"/>
      <c r="E97" s="664"/>
      <c r="F97" s="664"/>
      <c r="G97" s="664"/>
      <c r="H97" s="664"/>
      <c r="I97" s="784"/>
      <c r="J97" s="664"/>
      <c r="K97" s="664"/>
      <c r="L97" s="664"/>
      <c r="M97" s="664"/>
      <c r="N97" s="664"/>
      <c r="O97" s="664"/>
      <c r="P97" s="664"/>
      <c r="Q97" s="664"/>
      <c r="R97" s="664"/>
      <c r="S97" s="664"/>
      <c r="T97" s="664"/>
      <c r="U97" s="664"/>
      <c r="V97" s="664"/>
      <c r="W97" s="664"/>
      <c r="X97" s="664"/>
    </row>
    <row r="98" spans="3:24" ht="15" x14ac:dyDescent="0.25">
      <c r="C98" s="762"/>
      <c r="D98" s="52"/>
      <c r="E98" s="52"/>
      <c r="F98" s="764"/>
      <c r="G98" s="664"/>
      <c r="H98" s="664"/>
      <c r="I98" s="785"/>
      <c r="J98" s="664"/>
      <c r="K98" s="664"/>
      <c r="L98" s="664"/>
      <c r="M98" s="664"/>
      <c r="N98" s="664"/>
      <c r="O98" s="664"/>
      <c r="P98" s="664"/>
      <c r="Q98" s="664"/>
      <c r="R98" s="664"/>
      <c r="S98" s="664"/>
      <c r="T98" s="664"/>
      <c r="U98" s="664"/>
      <c r="V98" s="664"/>
      <c r="W98" s="664"/>
      <c r="X98" s="664"/>
    </row>
    <row r="99" spans="3:24" ht="15" x14ac:dyDescent="0.25">
      <c r="D99" s="52"/>
      <c r="E99" s="52"/>
      <c r="F99" s="764"/>
      <c r="G99" s="664"/>
      <c r="H99" s="664"/>
      <c r="I99" s="664"/>
      <c r="J99" s="664"/>
      <c r="K99" s="664"/>
      <c r="L99" s="664"/>
      <c r="M99" s="664"/>
      <c r="N99" s="664"/>
      <c r="O99" s="664"/>
      <c r="P99" s="664"/>
      <c r="Q99" s="664"/>
      <c r="R99" s="664"/>
      <c r="S99" s="664"/>
      <c r="T99" s="664"/>
      <c r="U99" s="664"/>
      <c r="V99" s="664"/>
      <c r="W99" s="664"/>
      <c r="X99" s="664"/>
    </row>
    <row r="100" spans="3:24" ht="15" x14ac:dyDescent="0.25">
      <c r="C100" s="766"/>
      <c r="D100" s="52"/>
      <c r="E100" s="52"/>
      <c r="F100" s="764"/>
      <c r="G100" s="664"/>
      <c r="H100" s="664"/>
      <c r="I100" s="664"/>
      <c r="J100" s="664"/>
      <c r="K100" s="664"/>
      <c r="L100" s="664"/>
      <c r="M100" s="664"/>
      <c r="N100" s="664"/>
      <c r="O100" s="664"/>
      <c r="P100" s="664"/>
      <c r="Q100" s="664"/>
      <c r="R100" s="664"/>
      <c r="S100" s="664"/>
      <c r="T100" s="664"/>
      <c r="U100" s="664"/>
      <c r="V100" s="664"/>
      <c r="W100" s="664"/>
      <c r="X100" s="664"/>
    </row>
    <row r="101" spans="3:24" ht="15" x14ac:dyDescent="0.25">
      <c r="C101" s="766"/>
      <c r="D101" s="52"/>
      <c r="E101" s="52"/>
      <c r="F101" s="764"/>
      <c r="G101" s="664"/>
      <c r="H101" s="772"/>
      <c r="I101" s="664"/>
      <c r="J101" s="664"/>
      <c r="K101" s="664"/>
      <c r="L101" s="664"/>
      <c r="M101" s="664"/>
      <c r="N101" s="664"/>
      <c r="O101" s="664"/>
      <c r="P101" s="664"/>
      <c r="Q101" s="664"/>
      <c r="R101" s="664"/>
      <c r="S101" s="664"/>
      <c r="T101" s="664"/>
      <c r="U101" s="664"/>
      <c r="V101" s="664"/>
      <c r="W101" s="664"/>
      <c r="X101" s="664"/>
    </row>
    <row r="102" spans="3:24" ht="15" x14ac:dyDescent="0.25">
      <c r="C102" s="766"/>
      <c r="D102" s="768"/>
      <c r="E102" s="52"/>
      <c r="F102" s="764"/>
      <c r="G102" s="664"/>
      <c r="K102" s="664"/>
      <c r="L102" s="664"/>
      <c r="M102" s="664"/>
      <c r="N102" s="664"/>
      <c r="O102" s="664"/>
      <c r="P102" s="664"/>
      <c r="Q102" s="664"/>
      <c r="R102" s="664"/>
      <c r="S102" s="664"/>
      <c r="T102" s="664"/>
      <c r="U102" s="664"/>
      <c r="V102" s="664"/>
      <c r="W102" s="664"/>
      <c r="X102" s="664"/>
    </row>
    <row r="103" spans="3:24" ht="15" x14ac:dyDescent="0.25">
      <c r="D103" s="52"/>
      <c r="E103" s="52"/>
      <c r="F103" s="764"/>
      <c r="G103" s="664"/>
      <c r="K103" s="664"/>
      <c r="L103" s="664"/>
      <c r="M103" s="664"/>
      <c r="N103" s="664"/>
      <c r="O103" s="664"/>
      <c r="P103" s="664"/>
      <c r="Q103" s="664"/>
      <c r="R103" s="664"/>
      <c r="S103" s="664"/>
      <c r="T103" s="664"/>
      <c r="U103" s="664"/>
      <c r="V103" s="664"/>
      <c r="W103" s="664"/>
      <c r="X103" s="664"/>
    </row>
    <row r="104" spans="3:24" ht="15" x14ac:dyDescent="0.25">
      <c r="D104" s="52"/>
      <c r="E104" s="52"/>
      <c r="F104" s="764"/>
      <c r="G104" s="664"/>
      <c r="K104" s="664"/>
      <c r="L104" s="664"/>
      <c r="M104" s="664"/>
      <c r="N104" s="664"/>
      <c r="O104" s="664"/>
      <c r="P104" s="664"/>
      <c r="Q104" s="664"/>
      <c r="R104" s="664"/>
      <c r="S104" s="664"/>
      <c r="T104" s="664"/>
      <c r="U104" s="664"/>
      <c r="V104" s="664"/>
      <c r="W104" s="664"/>
      <c r="X104" s="664"/>
    </row>
    <row r="105" spans="3:24" ht="15" x14ac:dyDescent="0.25">
      <c r="C105" s="762"/>
      <c r="D105" s="52"/>
      <c r="E105" s="52"/>
      <c r="F105" s="764"/>
      <c r="G105" s="664"/>
      <c r="K105" s="664"/>
      <c r="L105" s="664"/>
      <c r="M105" s="664"/>
      <c r="N105" s="664"/>
      <c r="O105" s="664"/>
      <c r="P105" s="664"/>
      <c r="Q105" s="664"/>
      <c r="R105" s="664"/>
      <c r="S105" s="664"/>
      <c r="T105" s="664"/>
      <c r="U105" s="664"/>
      <c r="V105" s="664"/>
      <c r="W105" s="664"/>
      <c r="X105" s="664"/>
    </row>
    <row r="106" spans="3:24" ht="15" x14ac:dyDescent="0.25">
      <c r="D106" s="52"/>
      <c r="E106" s="52"/>
      <c r="F106" s="764"/>
      <c r="G106" s="664"/>
      <c r="J106" s="664"/>
      <c r="K106" s="664"/>
      <c r="L106" s="664"/>
      <c r="M106" s="664"/>
      <c r="N106" s="664"/>
      <c r="O106" s="664"/>
      <c r="P106" s="664"/>
      <c r="Q106" s="664"/>
      <c r="R106" s="664"/>
      <c r="S106" s="664"/>
      <c r="T106" s="664"/>
      <c r="U106" s="664"/>
      <c r="V106" s="664"/>
      <c r="W106" s="664"/>
      <c r="X106" s="664"/>
    </row>
    <row r="107" spans="3:24" ht="15" x14ac:dyDescent="0.25">
      <c r="C107" s="736"/>
      <c r="D107" s="53"/>
      <c r="E107" s="52"/>
      <c r="F107" s="764"/>
      <c r="G107" s="664"/>
      <c r="J107" s="664"/>
      <c r="K107" s="664"/>
      <c r="L107" s="664"/>
      <c r="M107" s="664"/>
      <c r="N107" s="664"/>
      <c r="O107" s="664"/>
      <c r="P107" s="664"/>
      <c r="Q107" s="664"/>
      <c r="R107" s="664"/>
      <c r="S107" s="664"/>
      <c r="T107" s="664"/>
      <c r="U107" s="664"/>
      <c r="V107" s="664"/>
      <c r="W107" s="664"/>
      <c r="X107" s="664"/>
    </row>
    <row r="108" spans="3:24" ht="15" x14ac:dyDescent="0.25">
      <c r="C108" s="766"/>
      <c r="F108" s="764"/>
      <c r="G108" s="664"/>
      <c r="J108" s="664"/>
      <c r="K108" s="664"/>
      <c r="L108" s="664"/>
      <c r="M108" s="664"/>
      <c r="N108" s="664"/>
      <c r="O108" s="664"/>
      <c r="P108" s="664"/>
      <c r="Q108" s="664"/>
      <c r="R108" s="664"/>
      <c r="S108" s="664"/>
      <c r="T108" s="664"/>
      <c r="U108" s="664"/>
      <c r="V108" s="664"/>
      <c r="W108" s="664"/>
      <c r="X108" s="664"/>
    </row>
    <row r="109" spans="3:24" ht="15" x14ac:dyDescent="0.25">
      <c r="D109" s="52"/>
      <c r="F109" s="764"/>
      <c r="G109" s="664"/>
      <c r="J109" s="664"/>
      <c r="K109" s="664"/>
      <c r="L109" s="664"/>
      <c r="M109" s="664"/>
      <c r="N109" s="664"/>
      <c r="O109" s="664"/>
      <c r="P109" s="664"/>
      <c r="Q109" s="664"/>
      <c r="R109" s="664"/>
      <c r="S109" s="664"/>
      <c r="T109" s="664"/>
      <c r="U109" s="664"/>
      <c r="V109" s="664"/>
      <c r="W109" s="664"/>
      <c r="X109" s="664"/>
    </row>
    <row r="110" spans="3:24" ht="15" x14ac:dyDescent="0.25">
      <c r="D110" s="52"/>
      <c r="E110" s="52"/>
      <c r="F110" s="764"/>
      <c r="G110" s="664"/>
      <c r="J110" s="664"/>
      <c r="K110" s="664"/>
      <c r="L110" s="664"/>
      <c r="M110" s="664"/>
      <c r="N110" s="664"/>
      <c r="O110" s="664"/>
      <c r="P110" s="664"/>
      <c r="Q110" s="664"/>
      <c r="R110" s="664"/>
      <c r="S110" s="664"/>
      <c r="T110" s="664"/>
      <c r="U110" s="664"/>
      <c r="V110" s="664"/>
      <c r="W110" s="664"/>
      <c r="X110" s="664"/>
    </row>
    <row r="111" spans="3:24" ht="15" x14ac:dyDescent="0.25">
      <c r="C111" s="763"/>
      <c r="E111" s="52"/>
      <c r="F111" s="764"/>
      <c r="G111" s="664"/>
      <c r="J111" s="664"/>
      <c r="K111" s="664"/>
      <c r="L111" s="664"/>
      <c r="M111" s="664"/>
      <c r="N111" s="664"/>
      <c r="O111" s="664"/>
      <c r="P111" s="664"/>
      <c r="Q111" s="664"/>
      <c r="R111" s="664"/>
      <c r="S111" s="664"/>
      <c r="T111" s="664"/>
      <c r="U111" s="664"/>
      <c r="V111" s="664"/>
      <c r="W111" s="664"/>
      <c r="X111" s="664"/>
    </row>
    <row r="112" spans="3:24" ht="15" x14ac:dyDescent="0.25">
      <c r="D112" s="52"/>
      <c r="E112" s="52"/>
      <c r="F112" s="764"/>
      <c r="G112" s="664"/>
      <c r="J112" s="664"/>
      <c r="K112" s="664"/>
      <c r="L112" s="664"/>
      <c r="M112" s="664"/>
      <c r="N112" s="664"/>
      <c r="O112" s="664"/>
      <c r="P112" s="664"/>
      <c r="Q112" s="664"/>
      <c r="R112" s="664"/>
      <c r="S112" s="664"/>
      <c r="T112" s="664"/>
      <c r="U112" s="664"/>
      <c r="V112" s="664"/>
      <c r="W112" s="664"/>
      <c r="X112" s="664"/>
    </row>
    <row r="113" spans="3:24" ht="15" x14ac:dyDescent="0.25">
      <c r="C113" s="766"/>
      <c r="D113" s="52"/>
      <c r="E113" s="52"/>
      <c r="F113" s="764"/>
      <c r="G113" s="664"/>
      <c r="J113" s="664"/>
      <c r="K113" s="664"/>
      <c r="L113" s="664"/>
      <c r="M113" s="664"/>
      <c r="N113" s="664"/>
      <c r="O113" s="664"/>
      <c r="P113" s="664"/>
      <c r="Q113" s="664"/>
      <c r="R113" s="664"/>
      <c r="S113" s="664"/>
      <c r="T113" s="664"/>
      <c r="U113" s="664"/>
      <c r="V113" s="664"/>
      <c r="W113" s="664"/>
      <c r="X113" s="664"/>
    </row>
    <row r="114" spans="3:24" ht="15" x14ac:dyDescent="0.25">
      <c r="C114" s="766"/>
      <c r="D114" s="52"/>
      <c r="E114" s="52"/>
      <c r="F114" s="764"/>
      <c r="G114" s="664"/>
      <c r="J114" s="664"/>
      <c r="K114" s="664"/>
      <c r="L114" s="664"/>
      <c r="M114" s="664"/>
      <c r="N114" s="664"/>
      <c r="O114" s="664"/>
      <c r="P114" s="664"/>
      <c r="Q114" s="664"/>
      <c r="R114" s="664"/>
      <c r="S114" s="664"/>
      <c r="T114" s="664"/>
      <c r="U114" s="664"/>
      <c r="V114" s="664"/>
      <c r="W114" s="664"/>
      <c r="X114" s="664"/>
    </row>
    <row r="115" spans="3:24" ht="15" x14ac:dyDescent="0.25">
      <c r="C115" s="766"/>
      <c r="D115" s="52"/>
      <c r="E115" s="52"/>
      <c r="F115" s="764"/>
      <c r="G115" s="664"/>
      <c r="J115" s="664"/>
      <c r="K115" s="664"/>
      <c r="L115" s="664"/>
      <c r="M115" s="664"/>
      <c r="N115" s="664"/>
      <c r="O115" s="664"/>
      <c r="P115" s="664"/>
      <c r="Q115" s="664"/>
      <c r="R115" s="664"/>
      <c r="S115" s="664"/>
      <c r="T115" s="664"/>
      <c r="U115" s="664"/>
      <c r="V115" s="664"/>
      <c r="W115" s="664"/>
      <c r="X115" s="664"/>
    </row>
    <row r="116" spans="3:24" ht="15" x14ac:dyDescent="0.25">
      <c r="C116" s="766"/>
      <c r="D116" s="52"/>
      <c r="E116" s="52"/>
      <c r="F116" s="764"/>
      <c r="G116" s="664"/>
      <c r="J116" s="664"/>
      <c r="K116" s="664"/>
      <c r="L116" s="664"/>
      <c r="M116" s="664"/>
      <c r="N116" s="664"/>
      <c r="O116" s="664"/>
      <c r="P116" s="664"/>
      <c r="Q116" s="664"/>
      <c r="R116" s="664"/>
      <c r="S116" s="664"/>
      <c r="T116" s="664"/>
      <c r="U116" s="664"/>
      <c r="V116" s="664"/>
      <c r="W116" s="664"/>
      <c r="X116" s="664"/>
    </row>
    <row r="117" spans="3:24" ht="15" x14ac:dyDescent="0.25">
      <c r="C117" s="766"/>
      <c r="D117" s="52"/>
      <c r="E117" s="52"/>
      <c r="F117" s="764"/>
      <c r="G117" s="664"/>
      <c r="J117" s="664"/>
      <c r="K117" s="664"/>
      <c r="L117" s="664"/>
      <c r="M117" s="664"/>
      <c r="N117" s="664"/>
      <c r="O117" s="664"/>
      <c r="P117" s="664"/>
      <c r="Q117" s="664"/>
      <c r="R117" s="664"/>
      <c r="S117" s="664"/>
      <c r="T117" s="664"/>
      <c r="U117" s="664"/>
      <c r="V117" s="664"/>
      <c r="W117" s="664"/>
      <c r="X117" s="664"/>
    </row>
    <row r="118" spans="3:24" ht="15" x14ac:dyDescent="0.25">
      <c r="C118" s="766"/>
      <c r="D118" s="52"/>
      <c r="E118" s="52"/>
      <c r="F118" s="764"/>
      <c r="G118" s="664"/>
      <c r="J118" s="664"/>
      <c r="K118" s="664"/>
      <c r="L118" s="664"/>
      <c r="M118" s="664"/>
      <c r="N118" s="664"/>
      <c r="O118" s="664"/>
      <c r="P118" s="664"/>
      <c r="Q118" s="664"/>
      <c r="R118" s="664"/>
      <c r="S118" s="664"/>
      <c r="T118" s="664"/>
      <c r="U118" s="664"/>
      <c r="V118" s="664"/>
      <c r="W118" s="664"/>
      <c r="X118" s="664"/>
    </row>
    <row r="119" spans="3:24" ht="15" x14ac:dyDescent="0.25">
      <c r="C119" s="766"/>
      <c r="D119" s="52"/>
      <c r="E119" s="52"/>
      <c r="F119" s="764"/>
      <c r="G119" s="664"/>
      <c r="J119" s="664"/>
      <c r="K119" s="664"/>
      <c r="L119" s="664"/>
      <c r="M119" s="664"/>
      <c r="N119" s="664"/>
      <c r="O119" s="664"/>
      <c r="P119" s="664"/>
      <c r="Q119" s="664"/>
      <c r="R119" s="664"/>
      <c r="S119" s="664"/>
      <c r="T119" s="664"/>
      <c r="U119" s="664"/>
      <c r="V119" s="664"/>
      <c r="W119" s="664"/>
      <c r="X119" s="664"/>
    </row>
    <row r="120" spans="3:24" ht="15" x14ac:dyDescent="0.25">
      <c r="C120" s="766"/>
      <c r="D120" s="52"/>
      <c r="E120" s="52"/>
      <c r="F120" s="764"/>
      <c r="G120" s="664"/>
      <c r="J120" s="664"/>
      <c r="K120" s="664"/>
      <c r="L120" s="664"/>
      <c r="M120" s="664"/>
      <c r="N120" s="664"/>
      <c r="O120" s="664"/>
      <c r="P120" s="664"/>
      <c r="Q120" s="664"/>
      <c r="R120" s="664"/>
      <c r="S120" s="664"/>
      <c r="T120" s="664"/>
      <c r="U120" s="664"/>
      <c r="V120" s="664"/>
      <c r="W120" s="664"/>
      <c r="X120" s="664"/>
    </row>
    <row r="121" spans="3:24" ht="15" x14ac:dyDescent="0.25">
      <c r="C121" s="766"/>
      <c r="D121" s="52"/>
      <c r="F121" s="764"/>
      <c r="J121" s="664"/>
      <c r="K121" s="664"/>
      <c r="L121" s="664"/>
      <c r="M121" s="664"/>
      <c r="N121" s="664"/>
      <c r="O121" s="664"/>
      <c r="P121" s="664"/>
      <c r="Q121" s="664"/>
      <c r="R121" s="664"/>
      <c r="S121" s="664"/>
      <c r="T121" s="664"/>
      <c r="U121" s="664"/>
      <c r="V121" s="664"/>
      <c r="W121" s="664"/>
      <c r="X121" s="664"/>
    </row>
    <row r="122" spans="3:24" ht="15" x14ac:dyDescent="0.25">
      <c r="C122" s="766"/>
      <c r="D122" s="52"/>
      <c r="E122" s="52"/>
      <c r="F122" s="764"/>
      <c r="G122" s="786"/>
      <c r="J122" s="664"/>
      <c r="K122" s="664"/>
      <c r="L122" s="664"/>
      <c r="M122" s="664"/>
      <c r="N122" s="664"/>
      <c r="O122" s="664"/>
      <c r="P122" s="664"/>
      <c r="Q122" s="664"/>
      <c r="R122" s="664"/>
      <c r="S122" s="664"/>
      <c r="T122" s="664"/>
      <c r="U122" s="664"/>
      <c r="V122" s="664"/>
      <c r="W122" s="664"/>
      <c r="X122" s="664"/>
    </row>
    <row r="123" spans="3:24" ht="15" x14ac:dyDescent="0.25">
      <c r="C123" s="766"/>
      <c r="D123" s="52"/>
      <c r="E123" s="52"/>
      <c r="F123" s="764"/>
      <c r="G123" s="786"/>
      <c r="J123" s="664"/>
      <c r="K123" s="664"/>
      <c r="L123" s="664"/>
      <c r="M123" s="664"/>
      <c r="N123" s="664"/>
      <c r="O123" s="664"/>
      <c r="P123" s="664"/>
      <c r="Q123" s="664"/>
      <c r="R123" s="664"/>
      <c r="S123" s="664"/>
      <c r="T123" s="664"/>
      <c r="U123" s="664"/>
      <c r="V123" s="664"/>
      <c r="W123" s="664"/>
      <c r="X123" s="664"/>
    </row>
    <row r="124" spans="3:24" ht="15" x14ac:dyDescent="0.25">
      <c r="C124" s="766"/>
      <c r="D124" s="52"/>
      <c r="E124" s="52"/>
      <c r="F124" s="764"/>
      <c r="G124" s="786"/>
      <c r="J124" s="664"/>
      <c r="K124" s="664"/>
      <c r="L124" s="664"/>
      <c r="M124" s="664"/>
      <c r="N124" s="664"/>
      <c r="O124" s="664"/>
      <c r="P124" s="664"/>
      <c r="Q124" s="664"/>
      <c r="R124" s="664"/>
      <c r="S124" s="664"/>
      <c r="T124" s="664"/>
      <c r="U124" s="664"/>
      <c r="V124" s="664"/>
      <c r="W124" s="664"/>
      <c r="X124" s="664"/>
    </row>
    <row r="125" spans="3:24" ht="15" x14ac:dyDescent="0.25">
      <c r="C125" s="766"/>
      <c r="D125" s="52"/>
      <c r="E125" s="52"/>
      <c r="F125" s="764"/>
      <c r="G125" s="664"/>
      <c r="J125" s="664"/>
      <c r="K125" s="664"/>
      <c r="L125" s="664"/>
      <c r="M125" s="664"/>
      <c r="N125" s="664"/>
      <c r="O125" s="664"/>
      <c r="P125" s="664"/>
      <c r="Q125" s="664"/>
      <c r="R125" s="664"/>
      <c r="S125" s="664"/>
      <c r="T125" s="664"/>
      <c r="U125" s="664"/>
      <c r="V125" s="664"/>
      <c r="W125" s="664"/>
      <c r="X125" s="664"/>
    </row>
    <row r="126" spans="3:24" ht="15" x14ac:dyDescent="0.25">
      <c r="C126" s="766"/>
      <c r="D126" s="52"/>
      <c r="E126" s="787"/>
      <c r="F126" s="788"/>
      <c r="G126" s="664"/>
      <c r="J126" s="664"/>
      <c r="K126" s="664"/>
      <c r="L126" s="664"/>
      <c r="M126" s="664"/>
      <c r="N126" s="664"/>
      <c r="O126" s="664"/>
      <c r="P126" s="664"/>
      <c r="Q126" s="664"/>
      <c r="R126" s="664"/>
      <c r="S126" s="664"/>
      <c r="T126" s="664"/>
      <c r="U126" s="664"/>
      <c r="V126" s="664"/>
      <c r="W126" s="664"/>
      <c r="X126" s="664"/>
    </row>
    <row r="127" spans="3:24" ht="15" x14ac:dyDescent="0.25">
      <c r="C127" s="766"/>
      <c r="D127" s="52"/>
      <c r="E127" s="787"/>
      <c r="F127" s="788"/>
      <c r="G127" s="664"/>
      <c r="J127" s="664"/>
      <c r="K127" s="664"/>
      <c r="L127" s="664"/>
      <c r="M127" s="664"/>
      <c r="N127" s="664"/>
      <c r="O127" s="664"/>
      <c r="P127" s="664"/>
      <c r="Q127" s="664"/>
      <c r="R127" s="664"/>
      <c r="S127" s="664"/>
      <c r="T127" s="664"/>
      <c r="U127" s="664"/>
      <c r="V127" s="664"/>
      <c r="W127" s="664"/>
      <c r="X127" s="664"/>
    </row>
    <row r="128" spans="3:24" ht="15" x14ac:dyDescent="0.25">
      <c r="C128" s="766"/>
      <c r="D128" s="52"/>
      <c r="E128" s="787"/>
      <c r="F128" s="788"/>
      <c r="G128" s="664"/>
      <c r="J128" s="664"/>
      <c r="K128" s="664"/>
      <c r="L128" s="664"/>
      <c r="M128" s="664"/>
      <c r="N128" s="664"/>
      <c r="O128" s="664"/>
      <c r="P128" s="664"/>
      <c r="Q128" s="664"/>
      <c r="R128" s="664"/>
      <c r="S128" s="664"/>
      <c r="T128" s="664"/>
      <c r="U128" s="664"/>
      <c r="V128" s="664"/>
      <c r="W128" s="664"/>
      <c r="X128" s="664"/>
    </row>
    <row r="129" spans="3:24" ht="15" x14ac:dyDescent="0.25">
      <c r="C129" s="766"/>
      <c r="D129" s="52"/>
      <c r="E129" s="787"/>
      <c r="F129" s="788"/>
      <c r="G129" s="664"/>
      <c r="J129" s="664"/>
      <c r="K129" s="664"/>
      <c r="L129" s="664"/>
      <c r="M129" s="664"/>
      <c r="N129" s="664"/>
      <c r="O129" s="664"/>
      <c r="P129" s="664"/>
      <c r="Q129" s="664"/>
      <c r="R129" s="664"/>
      <c r="S129" s="664"/>
      <c r="T129" s="664"/>
      <c r="U129" s="664"/>
      <c r="V129" s="664"/>
      <c r="W129" s="664"/>
      <c r="X129" s="664"/>
    </row>
    <row r="130" spans="3:24" x14ac:dyDescent="0.2">
      <c r="C130" s="766"/>
      <c r="E130" s="664"/>
      <c r="F130" s="664"/>
      <c r="G130" s="664"/>
      <c r="J130" s="664"/>
      <c r="K130" s="664"/>
      <c r="L130" s="664"/>
      <c r="M130" s="664"/>
      <c r="N130" s="664"/>
      <c r="O130" s="664"/>
      <c r="P130" s="664"/>
      <c r="Q130" s="664"/>
      <c r="R130" s="664"/>
      <c r="S130" s="664"/>
      <c r="T130" s="664"/>
      <c r="U130" s="664"/>
      <c r="V130" s="664"/>
      <c r="W130" s="664"/>
      <c r="X130" s="664"/>
    </row>
    <row r="131" spans="3:24" x14ac:dyDescent="0.2">
      <c r="C131" s="767"/>
      <c r="D131" s="54"/>
      <c r="E131" s="52"/>
      <c r="G131" s="664"/>
      <c r="J131" s="664"/>
      <c r="K131" s="664"/>
      <c r="L131" s="664"/>
      <c r="M131" s="664"/>
      <c r="N131" s="664"/>
      <c r="O131" s="664"/>
      <c r="P131" s="664"/>
      <c r="Q131" s="664"/>
      <c r="R131" s="664"/>
      <c r="S131" s="664"/>
      <c r="T131" s="664"/>
      <c r="U131" s="664"/>
      <c r="V131" s="664"/>
      <c r="W131" s="664"/>
      <c r="X131" s="664"/>
    </row>
    <row r="132" spans="3:24" ht="15" x14ac:dyDescent="0.25">
      <c r="C132" s="767"/>
      <c r="D132" s="52"/>
      <c r="F132" s="788"/>
      <c r="G132" s="664"/>
      <c r="J132" s="664"/>
      <c r="K132" s="664"/>
      <c r="L132" s="664"/>
      <c r="M132" s="664"/>
      <c r="N132" s="664"/>
      <c r="O132" s="664"/>
      <c r="P132" s="664"/>
      <c r="Q132" s="664"/>
      <c r="R132" s="664"/>
      <c r="S132" s="664"/>
      <c r="T132" s="664"/>
      <c r="U132" s="664"/>
      <c r="V132" s="664"/>
      <c r="W132" s="664"/>
      <c r="X132" s="664"/>
    </row>
    <row r="133" spans="3:24" ht="15" x14ac:dyDescent="0.25">
      <c r="C133" s="767"/>
      <c r="D133" s="52"/>
      <c r="E133" s="52"/>
      <c r="F133" s="764"/>
      <c r="G133" s="664"/>
      <c r="J133" s="664"/>
      <c r="K133" s="664"/>
      <c r="L133" s="664"/>
      <c r="M133" s="664"/>
      <c r="N133" s="664"/>
      <c r="O133" s="664"/>
      <c r="P133" s="664"/>
      <c r="Q133" s="664"/>
      <c r="R133" s="664"/>
      <c r="S133" s="664"/>
      <c r="T133" s="664"/>
      <c r="U133" s="664"/>
      <c r="V133" s="664"/>
      <c r="W133" s="664"/>
      <c r="X133" s="664"/>
    </row>
    <row r="134" spans="3:24" ht="15" x14ac:dyDescent="0.25">
      <c r="C134" s="789"/>
      <c r="D134" s="52"/>
      <c r="E134" s="52"/>
      <c r="F134" s="764"/>
      <c r="G134" s="664"/>
      <c r="J134" s="664"/>
      <c r="K134" s="664"/>
      <c r="L134" s="664"/>
      <c r="M134" s="664"/>
      <c r="N134" s="664"/>
      <c r="O134" s="664"/>
      <c r="P134" s="664"/>
      <c r="Q134" s="664"/>
      <c r="R134" s="664"/>
      <c r="S134" s="664"/>
      <c r="T134" s="664"/>
      <c r="U134" s="664"/>
      <c r="V134" s="664"/>
      <c r="W134" s="664"/>
      <c r="X134" s="664"/>
    </row>
    <row r="135" spans="3:24" ht="15" x14ac:dyDescent="0.25">
      <c r="C135" s="767"/>
      <c r="D135" s="52"/>
      <c r="E135" s="52"/>
      <c r="F135" s="764"/>
      <c r="G135" s="664"/>
      <c r="J135" s="664"/>
      <c r="K135" s="664"/>
      <c r="L135" s="664"/>
      <c r="M135" s="664"/>
      <c r="N135" s="664"/>
      <c r="O135" s="664"/>
      <c r="P135" s="664"/>
      <c r="Q135" s="664"/>
      <c r="R135" s="664"/>
      <c r="S135" s="664"/>
      <c r="T135" s="664"/>
      <c r="U135" s="664"/>
      <c r="V135" s="664"/>
      <c r="W135" s="664"/>
      <c r="X135" s="664"/>
    </row>
    <row r="136" spans="3:24" ht="15" x14ac:dyDescent="0.25">
      <c r="C136" s="767"/>
      <c r="D136" s="52"/>
      <c r="E136" s="52"/>
      <c r="F136" s="764"/>
      <c r="G136" s="664"/>
      <c r="J136" s="664"/>
      <c r="K136" s="664"/>
      <c r="L136" s="664"/>
      <c r="M136" s="664"/>
      <c r="N136" s="664"/>
      <c r="O136" s="664"/>
      <c r="P136" s="664"/>
      <c r="Q136" s="664"/>
      <c r="R136" s="664"/>
      <c r="S136" s="664"/>
      <c r="T136" s="664"/>
      <c r="U136" s="664"/>
      <c r="V136" s="664"/>
      <c r="W136" s="664"/>
      <c r="X136" s="664"/>
    </row>
    <row r="137" spans="3:24" ht="15" x14ac:dyDescent="0.25">
      <c r="C137" s="767"/>
      <c r="D137" s="52"/>
      <c r="E137" s="52"/>
      <c r="F137" s="764"/>
      <c r="G137" s="664"/>
      <c r="J137" s="664"/>
      <c r="K137" s="664"/>
      <c r="L137" s="664"/>
      <c r="M137" s="664"/>
      <c r="N137" s="664"/>
      <c r="O137" s="664"/>
      <c r="P137" s="664"/>
      <c r="Q137" s="664"/>
      <c r="R137" s="664"/>
      <c r="S137" s="664"/>
      <c r="T137" s="664"/>
      <c r="U137" s="664"/>
      <c r="V137" s="664"/>
      <c r="W137" s="664"/>
      <c r="X137" s="664"/>
    </row>
    <row r="138" spans="3:24" ht="15" x14ac:dyDescent="0.25">
      <c r="C138" s="767"/>
      <c r="D138" s="52"/>
      <c r="E138" s="52"/>
      <c r="F138" s="764"/>
      <c r="G138" s="664"/>
      <c r="J138" s="664"/>
      <c r="K138" s="664"/>
      <c r="L138" s="664"/>
      <c r="M138" s="664"/>
      <c r="N138" s="664"/>
      <c r="O138" s="664"/>
      <c r="P138" s="664"/>
      <c r="Q138" s="664"/>
      <c r="R138" s="664"/>
      <c r="S138" s="664"/>
      <c r="T138" s="664"/>
      <c r="U138" s="664"/>
      <c r="V138" s="664"/>
      <c r="W138" s="664"/>
      <c r="X138" s="664"/>
    </row>
    <row r="139" spans="3:24" ht="15" x14ac:dyDescent="0.25">
      <c r="C139" s="766"/>
      <c r="D139" s="52"/>
      <c r="E139" s="52"/>
      <c r="F139" s="764"/>
      <c r="G139" s="664"/>
      <c r="J139" s="664"/>
      <c r="K139" s="664"/>
      <c r="L139" s="664"/>
      <c r="M139" s="664"/>
      <c r="N139" s="664"/>
      <c r="O139" s="664"/>
      <c r="P139" s="664"/>
      <c r="Q139" s="664"/>
      <c r="R139" s="664"/>
      <c r="S139" s="664"/>
      <c r="T139" s="664"/>
      <c r="U139" s="664"/>
      <c r="V139" s="664"/>
      <c r="W139" s="664"/>
      <c r="X139" s="664"/>
    </row>
    <row r="140" spans="3:24" ht="15" x14ac:dyDescent="0.25">
      <c r="C140" s="766"/>
      <c r="D140" s="790"/>
      <c r="E140" s="52"/>
      <c r="F140" s="764"/>
      <c r="G140" s="664"/>
      <c r="J140" s="664"/>
      <c r="K140" s="664"/>
      <c r="L140" s="664"/>
      <c r="M140" s="664"/>
      <c r="N140" s="664"/>
      <c r="O140" s="664"/>
      <c r="P140" s="664"/>
      <c r="Q140" s="664"/>
      <c r="R140" s="664"/>
      <c r="S140" s="664"/>
      <c r="T140" s="664"/>
      <c r="U140" s="664"/>
      <c r="V140" s="664"/>
      <c r="W140" s="664"/>
      <c r="X140" s="664"/>
    </row>
    <row r="141" spans="3:24" ht="15" x14ac:dyDescent="0.25">
      <c r="C141" s="54"/>
      <c r="D141" s="52"/>
      <c r="E141" s="52"/>
      <c r="F141" s="764"/>
    </row>
  </sheetData>
  <pageMargins left="0.7" right="0.7" top="0.75" bottom="0.75" header="0.3" footer="0.3"/>
  <pageSetup paperSize="0"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BLResult"/>
  <dimension ref="A1:DB144"/>
  <sheetViews>
    <sheetView tabSelected="1" workbookViewId="0">
      <selection activeCell="A13" sqref="A13"/>
    </sheetView>
  </sheetViews>
  <sheetFormatPr defaultRowHeight="12.75" x14ac:dyDescent="0.2"/>
  <cols>
    <col min="1" max="1" width="31.42578125" style="29" customWidth="1"/>
    <col min="2" max="2" width="15.7109375" style="29" customWidth="1"/>
    <col min="3" max="3" width="18.5703125" style="29" customWidth="1"/>
    <col min="4" max="4" width="15.42578125" style="29" bestFit="1" customWidth="1"/>
    <col min="5" max="5" width="9.140625" style="29"/>
    <col min="6" max="6" width="6.85546875" style="29" bestFit="1" customWidth="1"/>
    <col min="7" max="7" width="20.28515625" style="29" bestFit="1" customWidth="1"/>
    <col min="8" max="8" width="14.42578125" style="29" customWidth="1"/>
    <col min="9" max="9" width="13.7109375" style="29" customWidth="1"/>
    <col min="10" max="10" width="6.28515625" style="29" bestFit="1" customWidth="1"/>
    <col min="11" max="11" width="9.140625" style="29"/>
    <col min="12" max="12" width="17.42578125" style="29" customWidth="1"/>
    <col min="13" max="13" width="10.7109375" style="29" customWidth="1"/>
    <col min="14" max="14" width="8.5703125" style="29" bestFit="1" customWidth="1"/>
    <col min="15" max="15" width="6.42578125" style="29" customWidth="1"/>
    <col min="16" max="16" width="16.7109375" style="29" customWidth="1"/>
    <col min="17" max="17" width="6.140625" style="29" customWidth="1"/>
    <col min="18" max="18" width="17.85546875" style="29" customWidth="1"/>
    <col min="19" max="19" width="3.28515625" style="29" bestFit="1" customWidth="1"/>
    <col min="20" max="20" width="13.42578125" style="29" customWidth="1"/>
    <col min="21" max="24" width="9.140625" style="29"/>
    <col min="25" max="25" width="3.28515625" style="29" bestFit="1" customWidth="1"/>
    <col min="26" max="26" width="6.5703125" style="29" bestFit="1" customWidth="1"/>
    <col min="27" max="27" width="5.42578125" style="29" bestFit="1" customWidth="1"/>
    <col min="28" max="28" width="6.5703125" style="29" bestFit="1" customWidth="1"/>
    <col min="29" max="29" width="49.5703125" style="29" bestFit="1" customWidth="1"/>
    <col min="30" max="30" width="17.42578125" style="29" bestFit="1" customWidth="1"/>
    <col min="31" max="31" width="17.42578125" style="29" customWidth="1"/>
    <col min="32" max="32" width="14.85546875" style="29" customWidth="1"/>
    <col min="33" max="33" width="10.42578125" style="29" customWidth="1"/>
    <col min="34" max="34" width="11.5703125" style="29" customWidth="1"/>
    <col min="35" max="35" width="14.28515625" style="29" customWidth="1"/>
    <col min="36" max="36" width="15.7109375" style="29" customWidth="1"/>
    <col min="37" max="37" width="5" style="29" bestFit="1" customWidth="1"/>
    <col min="38" max="38" width="14.5703125" style="29" customWidth="1"/>
    <col min="39" max="39" width="38.42578125" style="29" customWidth="1"/>
    <col min="40" max="40" width="6.7109375" style="29" customWidth="1"/>
    <col min="41" max="41" width="7.5703125" style="29" customWidth="1"/>
    <col min="42" max="42" width="18.7109375" style="29" customWidth="1"/>
    <col min="43" max="43" width="15.7109375" style="29" customWidth="1"/>
    <col min="44" max="49" width="7.28515625" style="29" bestFit="1" customWidth="1"/>
    <col min="50" max="50" width="14" style="29" customWidth="1"/>
    <col min="51" max="51" width="19.28515625" style="29" customWidth="1"/>
    <col min="52" max="52" width="3.28515625" style="29" bestFit="1" customWidth="1"/>
    <col min="53" max="53" width="15.7109375" style="29" customWidth="1"/>
    <col min="54" max="54" width="3.28515625" style="29" bestFit="1" customWidth="1"/>
    <col min="55" max="55" width="6.5703125" style="29" bestFit="1" customWidth="1"/>
    <col min="56" max="56" width="12.7109375" style="29" customWidth="1"/>
    <col min="57" max="57" width="12.42578125" style="29" customWidth="1"/>
    <col min="58" max="58" width="20.85546875" style="29" customWidth="1"/>
    <col min="59" max="59" width="14" style="29" customWidth="1"/>
    <col min="60" max="60" width="19.28515625" style="29" customWidth="1"/>
    <col min="61" max="61" width="3.28515625" style="29" bestFit="1" customWidth="1"/>
    <col min="62" max="62" width="11.140625" style="29" customWidth="1"/>
    <col min="63" max="63" width="19.140625" style="29" bestFit="1" customWidth="1"/>
    <col min="64" max="64" width="20.7109375" style="29" customWidth="1"/>
    <col min="65" max="65" width="13.7109375" style="29" bestFit="1" customWidth="1"/>
    <col min="66" max="66" width="21.5703125" style="29" bestFit="1" customWidth="1"/>
    <col min="67" max="69" width="13.140625" style="29" customWidth="1"/>
    <col min="70" max="70" width="8.5703125" style="29" bestFit="1" customWidth="1"/>
    <col min="71" max="71" width="6.5703125" style="29" bestFit="1" customWidth="1"/>
    <col min="72" max="72" width="5.42578125" style="29" bestFit="1" customWidth="1"/>
    <col min="73" max="73" width="11.85546875" style="29" customWidth="1"/>
    <col min="74" max="74" width="14.5703125" style="29" bestFit="1" customWidth="1"/>
    <col min="75" max="75" width="10.28515625" style="29" bestFit="1" customWidth="1"/>
    <col min="76" max="77" width="9.140625" style="29"/>
    <col min="78" max="78" width="10.28515625" style="29" customWidth="1"/>
    <col min="79" max="79" width="3.28515625" style="29" bestFit="1" customWidth="1"/>
    <col min="80" max="80" width="9.140625" style="29"/>
    <col min="81" max="84" width="14.7109375" style="29" customWidth="1"/>
    <col min="85" max="87" width="16.7109375" style="29" customWidth="1"/>
    <col min="88" max="88" width="7.5703125" style="29" customWidth="1"/>
    <col min="89" max="89" width="9.140625" style="29"/>
    <col min="90" max="90" width="3.28515625" style="29" bestFit="1" customWidth="1"/>
    <col min="91" max="91" width="7.7109375" style="29" customWidth="1"/>
    <col min="92" max="93" width="9.140625" style="29"/>
    <col min="94" max="94" width="13.42578125" style="29" customWidth="1"/>
    <col min="95" max="96" width="9.140625" style="29"/>
    <col min="97" max="97" width="9.140625" style="29" customWidth="1"/>
    <col min="98" max="98" width="3.28515625" style="29" bestFit="1" customWidth="1"/>
    <col min="99" max="99" width="21.7109375" style="29" customWidth="1"/>
    <col min="100" max="100" width="6.28515625" bestFit="1" customWidth="1"/>
    <col min="101" max="101" width="6.5703125" customWidth="1"/>
    <col min="102" max="102" width="8.5703125" customWidth="1"/>
    <col min="103" max="103" width="15.42578125" bestFit="1" customWidth="1"/>
    <col min="104" max="104" width="16.85546875" bestFit="1" customWidth="1"/>
    <col min="105" max="105" width="26" customWidth="1"/>
    <col min="106" max="106" width="18" customWidth="1"/>
    <col min="107" max="108" width="18" style="29" customWidth="1"/>
    <col min="109" max="109" width="35.140625" style="29" customWidth="1"/>
    <col min="110" max="16384" width="9.140625" style="29"/>
  </cols>
  <sheetData>
    <row r="1" spans="1:106" s="359" customFormat="1" ht="13.5" thickBot="1" x14ac:dyDescent="0.25">
      <c r="A1" s="33" t="s">
        <v>576</v>
      </c>
      <c r="B1" s="39"/>
      <c r="C1" s="39"/>
      <c r="D1" s="39"/>
      <c r="E1" s="39"/>
      <c r="F1" s="39"/>
      <c r="G1" s="39"/>
      <c r="H1" s="39"/>
      <c r="I1" s="39"/>
      <c r="CV1" s="3"/>
      <c r="CW1" s="3"/>
      <c r="CX1" s="3"/>
      <c r="CY1" s="3"/>
      <c r="CZ1" s="3"/>
      <c r="DA1" s="3"/>
      <c r="DB1" s="3"/>
    </row>
    <row r="2" spans="1:106" x14ac:dyDescent="0.2">
      <c r="A2" s="287" t="s">
        <v>1151</v>
      </c>
      <c r="B2" s="288"/>
      <c r="C2" s="753" t="s">
        <v>2670</v>
      </c>
      <c r="D2" s="288"/>
      <c r="E2" s="288"/>
      <c r="F2" s="288"/>
      <c r="G2" s="288"/>
      <c r="H2" s="288"/>
      <c r="I2" s="289"/>
    </row>
    <row r="3" spans="1:106" x14ac:dyDescent="0.2">
      <c r="A3" s="512" t="s">
        <v>209</v>
      </c>
      <c r="B3" s="9">
        <v>6</v>
      </c>
      <c r="C3" s="741" t="s">
        <v>2666</v>
      </c>
      <c r="D3" s="12"/>
      <c r="E3" s="12"/>
      <c r="F3" s="12"/>
      <c r="G3" s="12"/>
      <c r="H3" s="12"/>
      <c r="I3" s="363"/>
    </row>
    <row r="4" spans="1:106" x14ac:dyDescent="0.2">
      <c r="A4" s="362" t="s">
        <v>1149</v>
      </c>
      <c r="B4" s="516" t="s">
        <v>95</v>
      </c>
      <c r="C4" s="63" t="s">
        <v>2671</v>
      </c>
      <c r="D4" s="517"/>
      <c r="E4" s="517"/>
      <c r="F4" s="517"/>
      <c r="G4" s="517"/>
      <c r="H4" s="517"/>
      <c r="I4" s="363"/>
    </row>
    <row r="5" spans="1:106" x14ac:dyDescent="0.2">
      <c r="A5" s="362" t="s">
        <v>718</v>
      </c>
      <c r="B5" s="12" t="str">
        <f>IF(iMHCalcType=1,"mh-estimate",IF(iMHCalcType=2,"mh-retire",IF(iMHCalcType=3,"mh-planner","mh-ppa")))</f>
        <v>mh-estimate</v>
      </c>
      <c r="C5" s="63" t="s">
        <v>719</v>
      </c>
      <c r="D5" s="12"/>
      <c r="E5" s="12"/>
      <c r="F5" s="12"/>
      <c r="G5" s="12"/>
      <c r="H5" s="12"/>
      <c r="I5" s="363"/>
      <c r="AC5" s="319"/>
      <c r="AD5" s="319"/>
      <c r="AE5" s="319"/>
      <c r="AT5" s="319"/>
      <c r="AU5" s="319"/>
      <c r="AV5" s="319"/>
      <c r="AW5" s="319"/>
      <c r="AX5" s="319"/>
      <c r="BE5" s="319"/>
      <c r="BF5" s="319"/>
      <c r="BG5" s="319"/>
      <c r="BN5" s="319"/>
      <c r="BO5" s="319"/>
      <c r="BP5" s="319"/>
      <c r="BQ5" s="319"/>
      <c r="CV5" s="29"/>
      <c r="CW5" s="29"/>
      <c r="CX5" s="29"/>
      <c r="CY5" s="29"/>
      <c r="CZ5" s="29"/>
      <c r="DA5" s="29"/>
      <c r="DB5" s="29"/>
    </row>
    <row r="6" spans="1:106" x14ac:dyDescent="0.2">
      <c r="A6" s="362" t="s">
        <v>720</v>
      </c>
      <c r="B6" s="12" t="s">
        <v>721</v>
      </c>
      <c r="C6" s="63" t="s">
        <v>722</v>
      </c>
      <c r="D6" s="12"/>
      <c r="E6" s="12"/>
      <c r="F6" s="12"/>
      <c r="G6" s="12"/>
      <c r="H6" s="12"/>
      <c r="I6" s="363"/>
      <c r="AC6" s="319"/>
      <c r="AD6" s="319"/>
      <c r="AE6" s="319"/>
      <c r="AT6" s="319"/>
      <c r="AU6" s="319"/>
      <c r="AV6" s="319"/>
      <c r="AW6" s="319"/>
      <c r="AX6" s="319"/>
      <c r="BE6" s="319"/>
      <c r="BF6" s="319"/>
      <c r="BG6" s="319"/>
      <c r="BN6" s="319"/>
      <c r="BO6" s="319"/>
      <c r="BP6" s="319"/>
      <c r="BQ6" s="319"/>
      <c r="CV6" s="29"/>
      <c r="CW6" s="29"/>
      <c r="CX6" s="29"/>
      <c r="CY6" s="29"/>
      <c r="CZ6" s="29"/>
      <c r="DA6" s="29"/>
      <c r="DB6" s="29"/>
    </row>
    <row r="7" spans="1:106" x14ac:dyDescent="0.2">
      <c r="A7" s="362"/>
      <c r="B7" s="12"/>
      <c r="C7" s="517"/>
      <c r="D7" s="12"/>
      <c r="E7" s="12"/>
      <c r="F7" s="12"/>
      <c r="G7" s="12"/>
      <c r="H7" s="12"/>
      <c r="I7" s="363"/>
      <c r="AC7" s="319"/>
      <c r="AD7" s="319"/>
      <c r="AE7" s="319"/>
      <c r="AT7" s="319"/>
      <c r="AU7" s="319"/>
      <c r="AV7" s="319"/>
      <c r="AW7" s="319"/>
      <c r="AX7" s="319"/>
      <c r="BE7" s="319"/>
      <c r="BF7" s="319"/>
      <c r="BG7" s="319"/>
      <c r="BN7" s="319"/>
      <c r="BO7" s="319"/>
      <c r="BP7" s="319"/>
      <c r="BQ7" s="319"/>
      <c r="CV7" s="29"/>
      <c r="CW7" s="29"/>
      <c r="CX7" s="29"/>
      <c r="CY7" s="29"/>
      <c r="CZ7" s="29"/>
      <c r="DA7" s="29"/>
      <c r="DB7" s="29"/>
    </row>
    <row r="8" spans="1:106" x14ac:dyDescent="0.2">
      <c r="A8" s="372"/>
      <c r="B8" s="12"/>
      <c r="C8" s="517"/>
      <c r="D8" s="12"/>
      <c r="E8" s="12"/>
      <c r="F8" s="12"/>
      <c r="G8" s="12"/>
      <c r="H8" s="12"/>
      <c r="I8" s="363"/>
      <c r="AC8" s="319"/>
      <c r="AD8" s="319"/>
      <c r="AE8" s="319"/>
      <c r="AT8" s="319"/>
      <c r="AU8" s="319"/>
      <c r="AV8" s="319"/>
      <c r="AW8" s="319"/>
      <c r="AX8" s="319"/>
      <c r="BE8" s="319"/>
      <c r="BF8" s="319"/>
      <c r="BG8" s="319"/>
      <c r="BN8" s="319"/>
      <c r="BO8" s="319"/>
      <c r="BP8" s="319"/>
      <c r="BQ8" s="319"/>
      <c r="CV8" s="29"/>
      <c r="CW8" s="29"/>
      <c r="CX8" s="29"/>
      <c r="CY8" s="29"/>
      <c r="CZ8" s="29"/>
      <c r="DA8" s="29"/>
      <c r="DB8" s="29"/>
    </row>
    <row r="9" spans="1:106" x14ac:dyDescent="0.2">
      <c r="A9" s="362"/>
      <c r="B9" s="12"/>
      <c r="C9" s="517"/>
      <c r="D9" s="12"/>
      <c r="E9" s="12"/>
      <c r="F9" s="12"/>
      <c r="G9" s="12"/>
      <c r="H9" s="12"/>
      <c r="I9" s="363"/>
      <c r="AC9" s="319"/>
      <c r="AD9" s="319"/>
      <c r="AE9" s="319"/>
      <c r="AT9" s="319"/>
      <c r="AU9" s="319"/>
      <c r="AV9" s="319"/>
      <c r="AW9" s="319"/>
      <c r="AX9" s="319"/>
      <c r="BE9" s="319"/>
      <c r="BF9" s="319"/>
      <c r="BG9" s="319"/>
      <c r="BN9" s="319"/>
      <c r="BO9" s="319"/>
      <c r="BP9" s="319"/>
      <c r="BQ9" s="319"/>
      <c r="CV9" s="29"/>
      <c r="CW9" s="29"/>
      <c r="CX9" s="29"/>
      <c r="CY9" s="29"/>
      <c r="CZ9" s="29"/>
      <c r="DA9" s="29"/>
      <c r="DB9" s="29"/>
    </row>
    <row r="10" spans="1:106" x14ac:dyDescent="0.2">
      <c r="A10" s="817"/>
      <c r="B10" s="12"/>
      <c r="C10" s="517"/>
      <c r="D10" s="12"/>
      <c r="E10" s="12"/>
      <c r="F10" s="12"/>
      <c r="G10" s="12"/>
      <c r="H10" s="12"/>
      <c r="I10" s="363"/>
      <c r="AC10" s="319"/>
      <c r="AD10" s="319"/>
      <c r="AE10" s="319"/>
      <c r="AT10" s="319"/>
      <c r="AU10" s="319"/>
      <c r="AV10" s="319"/>
      <c r="AW10" s="319"/>
      <c r="AX10" s="319"/>
      <c r="BE10" s="319"/>
      <c r="BF10" s="319"/>
      <c r="BG10" s="319"/>
      <c r="BN10" s="319"/>
      <c r="BO10" s="319"/>
      <c r="BP10" s="319"/>
      <c r="BQ10" s="319"/>
      <c r="CV10" s="29"/>
      <c r="CW10" s="29"/>
      <c r="CX10" s="29"/>
      <c r="CY10" s="29"/>
      <c r="CZ10" s="29"/>
      <c r="DA10" s="29"/>
      <c r="DB10" s="29"/>
    </row>
    <row r="11" spans="1:106" x14ac:dyDescent="0.2">
      <c r="A11" s="817"/>
      <c r="B11" s="12"/>
      <c r="C11" s="517"/>
      <c r="D11" s="12"/>
      <c r="E11" s="12"/>
      <c r="F11" s="12"/>
      <c r="G11" s="12"/>
      <c r="H11" s="12"/>
      <c r="I11" s="363"/>
      <c r="AC11" s="319"/>
      <c r="AD11" s="319"/>
      <c r="AE11" s="319"/>
      <c r="AT11" s="319"/>
      <c r="AU11" s="319"/>
      <c r="AV11" s="319"/>
      <c r="AW11" s="319"/>
      <c r="AX11" s="319"/>
      <c r="BE11" s="319"/>
      <c r="BF11" s="319"/>
      <c r="BG11" s="319"/>
      <c r="BN11" s="319"/>
      <c r="BO11" s="319"/>
      <c r="BP11" s="319"/>
      <c r="BQ11" s="319"/>
      <c r="CV11" s="29"/>
      <c r="CW11" s="29"/>
      <c r="CX11" s="29"/>
      <c r="CY11" s="29"/>
      <c r="CZ11" s="29"/>
      <c r="DA11" s="29"/>
      <c r="DB11" s="29"/>
    </row>
    <row r="12" spans="1:106" x14ac:dyDescent="0.2">
      <c r="A12" s="817"/>
      <c r="B12" s="12"/>
      <c r="C12" s="517"/>
      <c r="D12" s="12"/>
      <c r="E12" s="12"/>
      <c r="F12" s="12"/>
      <c r="G12" s="12"/>
      <c r="H12" s="12"/>
      <c r="I12" s="363"/>
      <c r="AC12" s="319"/>
      <c r="AD12" s="319"/>
      <c r="AE12" s="319"/>
      <c r="AT12" s="319"/>
      <c r="AU12" s="319"/>
      <c r="AV12" s="319"/>
      <c r="AW12" s="319"/>
      <c r="AX12" s="319"/>
      <c r="BE12" s="319"/>
      <c r="BF12" s="319"/>
      <c r="BG12" s="319"/>
      <c r="BN12" s="319"/>
      <c r="BO12" s="319"/>
      <c r="BP12" s="319"/>
      <c r="BQ12" s="319"/>
      <c r="CV12" s="29"/>
      <c r="CW12" s="29"/>
      <c r="CX12" s="29"/>
      <c r="CY12" s="29"/>
      <c r="CZ12" s="29"/>
      <c r="DA12" s="29"/>
      <c r="DB12" s="29"/>
    </row>
    <row r="13" spans="1:106" x14ac:dyDescent="0.2">
      <c r="A13" s="362" t="s">
        <v>2677</v>
      </c>
      <c r="B13" s="12"/>
      <c r="C13" s="517"/>
      <c r="D13" s="12"/>
      <c r="E13" s="12"/>
      <c r="F13" s="12"/>
      <c r="G13" s="12"/>
      <c r="H13" s="12"/>
      <c r="I13" s="363"/>
      <c r="AC13" s="319"/>
      <c r="AD13" s="319"/>
      <c r="AE13" s="319"/>
      <c r="AT13" s="319"/>
      <c r="AU13" s="319"/>
      <c r="AV13" s="319"/>
      <c r="AW13" s="319"/>
      <c r="AX13" s="319"/>
      <c r="BE13" s="319"/>
      <c r="BF13" s="319"/>
      <c r="BG13" s="319"/>
      <c r="BN13" s="319"/>
      <c r="BO13" s="319"/>
      <c r="BP13" s="319"/>
      <c r="BQ13" s="319"/>
      <c r="CV13" s="29"/>
      <c r="CW13" s="29"/>
      <c r="CX13" s="29"/>
      <c r="CY13" s="29"/>
      <c r="CZ13" s="29"/>
      <c r="DA13" s="29"/>
      <c r="DB13" s="29"/>
    </row>
    <row r="14" spans="1:106" x14ac:dyDescent="0.2">
      <c r="A14" s="752" t="s">
        <v>2678</v>
      </c>
      <c r="B14" s="12"/>
      <c r="C14" s="517"/>
      <c r="D14" s="12"/>
      <c r="E14" s="12"/>
      <c r="F14" s="12"/>
      <c r="G14" s="12"/>
      <c r="H14" s="12"/>
      <c r="I14" s="363"/>
      <c r="AC14" s="319"/>
      <c r="AD14" s="319"/>
      <c r="AE14" s="319"/>
      <c r="AT14" s="319"/>
      <c r="AU14" s="319"/>
      <c r="AV14" s="319"/>
      <c r="AW14" s="319"/>
      <c r="AX14" s="319"/>
      <c r="BE14" s="319"/>
      <c r="BF14" s="319"/>
      <c r="BG14" s="319"/>
      <c r="BN14" s="319"/>
      <c r="BO14" s="319"/>
      <c r="BP14" s="319"/>
      <c r="BQ14" s="319"/>
      <c r="CV14" s="29"/>
      <c r="CW14" s="29"/>
      <c r="CX14" s="29"/>
      <c r="CY14" s="29"/>
      <c r="CZ14" s="29"/>
      <c r="DA14" s="29"/>
      <c r="DB14" s="29"/>
    </row>
    <row r="15" spans="1:106" x14ac:dyDescent="0.2">
      <c r="A15" s="752" t="s">
        <v>2679</v>
      </c>
      <c r="B15" s="12"/>
      <c r="C15" s="517"/>
      <c r="D15" s="12"/>
      <c r="E15" s="12"/>
      <c r="F15" s="12"/>
      <c r="G15" s="12"/>
      <c r="H15" s="12"/>
      <c r="I15" s="363"/>
      <c r="AC15" s="319"/>
      <c r="AD15" s="319"/>
      <c r="AE15" s="319"/>
      <c r="AT15" s="319"/>
      <c r="AU15" s="319"/>
      <c r="AV15" s="319"/>
      <c r="AW15" s="319"/>
      <c r="AX15" s="319"/>
      <c r="BE15" s="319"/>
      <c r="BF15" s="319"/>
      <c r="BG15" s="319"/>
      <c r="BN15" s="319"/>
      <c r="BO15" s="319"/>
      <c r="BP15" s="319"/>
      <c r="BQ15" s="319"/>
      <c r="CV15" s="29"/>
      <c r="CW15" s="29"/>
      <c r="CX15" s="29"/>
      <c r="CY15" s="29"/>
      <c r="CZ15" s="29"/>
      <c r="DA15" s="29"/>
      <c r="DB15" s="29"/>
    </row>
    <row r="16" spans="1:106" x14ac:dyDescent="0.2">
      <c r="A16" s="362"/>
      <c r="B16" s="12"/>
      <c r="C16" s="517"/>
      <c r="D16" s="12"/>
      <c r="E16" s="12"/>
      <c r="F16" s="12"/>
      <c r="G16" s="12"/>
      <c r="H16" s="12"/>
      <c r="I16" s="363"/>
      <c r="AC16" s="319"/>
      <c r="AD16" s="319"/>
      <c r="AE16" s="319"/>
      <c r="AT16" s="319"/>
      <c r="AU16" s="319"/>
      <c r="AV16" s="319"/>
      <c r="AW16" s="319"/>
      <c r="AX16" s="319"/>
      <c r="BE16" s="319"/>
      <c r="BF16" s="319"/>
      <c r="BG16" s="319"/>
      <c r="BN16" s="319"/>
      <c r="BO16" s="319"/>
      <c r="BP16" s="319"/>
      <c r="BQ16" s="319"/>
      <c r="CV16" s="29"/>
      <c r="CW16" s="29"/>
      <c r="CX16" s="29"/>
      <c r="CY16" s="29"/>
      <c r="CZ16" s="29"/>
      <c r="DA16" s="29"/>
      <c r="DB16" s="29"/>
    </row>
    <row r="17" spans="1:106" x14ac:dyDescent="0.2">
      <c r="A17" s="372" t="s">
        <v>2680</v>
      </c>
      <c r="B17" s="12"/>
      <c r="C17" s="517"/>
      <c r="D17" s="12"/>
      <c r="E17" s="12"/>
      <c r="F17" s="12"/>
      <c r="G17" s="12"/>
      <c r="H17" s="12"/>
      <c r="I17" s="363"/>
      <c r="AC17" s="319"/>
      <c r="AD17" s="319"/>
      <c r="AE17" s="319"/>
      <c r="AT17" s="319"/>
      <c r="AU17" s="319"/>
      <c r="AV17" s="319"/>
      <c r="AW17" s="319"/>
      <c r="AX17" s="319"/>
      <c r="BE17" s="319"/>
      <c r="BF17" s="319"/>
      <c r="BG17" s="319"/>
      <c r="BN17" s="319"/>
      <c r="BO17" s="319"/>
      <c r="BP17" s="319"/>
      <c r="BQ17" s="319"/>
      <c r="CV17" s="29"/>
      <c r="CW17" s="29"/>
      <c r="CX17" s="29"/>
      <c r="CY17" s="29"/>
      <c r="CZ17" s="29"/>
      <c r="DA17" s="29"/>
      <c r="DB17" s="29"/>
    </row>
    <row r="18" spans="1:106" x14ac:dyDescent="0.2">
      <c r="A18" s="752" t="s">
        <v>2695</v>
      </c>
      <c r="B18" s="12"/>
      <c r="C18" s="517"/>
      <c r="D18" s="12"/>
      <c r="E18" s="12"/>
      <c r="F18" s="12"/>
      <c r="G18" s="12"/>
      <c r="H18" s="12"/>
      <c r="I18" s="363"/>
      <c r="AC18" s="319"/>
      <c r="AD18" s="319"/>
      <c r="AE18" s="319"/>
      <c r="AT18" s="319"/>
      <c r="AU18" s="319"/>
      <c r="AV18" s="319"/>
      <c r="AW18" s="319"/>
      <c r="AX18" s="319"/>
      <c r="BE18" s="319"/>
      <c r="BF18" s="319"/>
      <c r="BG18" s="319"/>
      <c r="BN18" s="319"/>
      <c r="BO18" s="319"/>
      <c r="BP18" s="319"/>
      <c r="BQ18" s="319"/>
      <c r="CV18" s="29"/>
      <c r="CW18" s="29"/>
      <c r="CX18" s="29"/>
      <c r="CY18" s="29"/>
      <c r="CZ18" s="29"/>
      <c r="DA18" s="29"/>
      <c r="DB18" s="29"/>
    </row>
    <row r="19" spans="1:106" s="757" customFormat="1" x14ac:dyDescent="0.2">
      <c r="A19" s="754" t="s">
        <v>2696</v>
      </c>
      <c r="B19" s="92"/>
      <c r="C19" s="755"/>
      <c r="D19" s="92"/>
      <c r="E19" s="92"/>
      <c r="F19" s="92"/>
      <c r="G19" s="92"/>
      <c r="H19" s="92"/>
      <c r="I19" s="756"/>
      <c r="AC19" s="758"/>
      <c r="AD19" s="758"/>
      <c r="AE19" s="758"/>
      <c r="AT19" s="758"/>
      <c r="AU19" s="758"/>
      <c r="AV19" s="758"/>
      <c r="AW19" s="758"/>
      <c r="AX19" s="758"/>
      <c r="BE19" s="758"/>
      <c r="BF19" s="758"/>
      <c r="BG19" s="758"/>
      <c r="BN19" s="758"/>
      <c r="BO19" s="758"/>
      <c r="BP19" s="758"/>
      <c r="BQ19" s="758"/>
    </row>
    <row r="20" spans="1:106" s="757" customFormat="1" x14ac:dyDescent="0.2">
      <c r="A20" s="754" t="s">
        <v>2697</v>
      </c>
      <c r="B20" s="92"/>
      <c r="C20" s="755"/>
      <c r="D20" s="92"/>
      <c r="E20" s="92"/>
      <c r="F20" s="92"/>
      <c r="G20" s="92"/>
      <c r="H20" s="92"/>
      <c r="I20" s="756"/>
      <c r="AC20" s="758"/>
      <c r="AD20" s="758"/>
      <c r="AE20" s="758"/>
      <c r="AT20" s="758"/>
      <c r="AU20" s="758"/>
      <c r="AV20" s="758"/>
      <c r="AW20" s="758"/>
      <c r="AX20" s="758"/>
      <c r="BE20" s="758"/>
      <c r="BF20" s="758"/>
      <c r="BG20" s="758"/>
      <c r="BN20" s="758"/>
      <c r="BO20" s="758"/>
      <c r="BP20" s="758"/>
      <c r="BQ20" s="758"/>
    </row>
    <row r="21" spans="1:106" s="757" customFormat="1" x14ac:dyDescent="0.2">
      <c r="A21" s="816" t="s">
        <v>2698</v>
      </c>
      <c r="B21" s="92"/>
      <c r="C21" s="755"/>
      <c r="D21" s="92"/>
      <c r="E21" s="92"/>
      <c r="F21" s="92"/>
      <c r="G21" s="92"/>
      <c r="H21" s="92"/>
      <c r="I21" s="756"/>
      <c r="AC21" s="758"/>
      <c r="AD21" s="758"/>
      <c r="AE21" s="758"/>
      <c r="AT21" s="758"/>
      <c r="AU21" s="758"/>
      <c r="AV21" s="758"/>
      <c r="AW21" s="758"/>
      <c r="AX21" s="758"/>
      <c r="BE21" s="758"/>
      <c r="BF21" s="758"/>
      <c r="BG21" s="758"/>
      <c r="BN21" s="758"/>
      <c r="BO21" s="758"/>
      <c r="BP21" s="758"/>
      <c r="BQ21" s="758"/>
    </row>
    <row r="22" spans="1:106" x14ac:dyDescent="0.2">
      <c r="A22" s="752" t="s">
        <v>2723</v>
      </c>
      <c r="B22" s="12"/>
      <c r="C22" s="517"/>
      <c r="D22" s="12"/>
      <c r="E22" s="12"/>
      <c r="F22" s="12"/>
      <c r="G22" s="12"/>
      <c r="H22" s="12"/>
      <c r="I22" s="363"/>
      <c r="AC22" s="319"/>
      <c r="AD22" s="319"/>
      <c r="AE22" s="319"/>
      <c r="AT22" s="319"/>
      <c r="AU22" s="319"/>
      <c r="AV22" s="319"/>
      <c r="AW22" s="319"/>
      <c r="AX22" s="319"/>
      <c r="BE22" s="319"/>
      <c r="BF22" s="319"/>
      <c r="BG22" s="319"/>
      <c r="BN22" s="319"/>
      <c r="BO22" s="319"/>
      <c r="BP22" s="319"/>
      <c r="BQ22" s="319"/>
      <c r="CV22" s="29"/>
      <c r="CW22" s="29"/>
      <c r="CX22" s="29"/>
      <c r="CY22" s="29"/>
      <c r="CZ22" s="29"/>
      <c r="DA22" s="29"/>
      <c r="DB22" s="29"/>
    </row>
    <row r="23" spans="1:106" x14ac:dyDescent="0.2">
      <c r="A23" s="752" t="s">
        <v>2724</v>
      </c>
      <c r="B23" s="12"/>
      <c r="C23" s="517"/>
      <c r="D23" s="12"/>
      <c r="E23" s="12"/>
      <c r="F23" s="12"/>
      <c r="G23" s="12"/>
      <c r="H23" s="12"/>
      <c r="I23" s="363"/>
      <c r="AC23" s="319"/>
      <c r="AD23" s="319"/>
      <c r="AE23" s="319"/>
      <c r="AT23" s="319"/>
      <c r="AU23" s="319"/>
      <c r="AV23" s="319"/>
      <c r="AW23" s="319"/>
      <c r="AX23" s="319"/>
      <c r="BE23" s="319"/>
      <c r="BF23" s="319"/>
      <c r="BG23" s="319"/>
      <c r="BN23" s="319"/>
      <c r="BO23" s="319"/>
      <c r="BP23" s="319"/>
      <c r="BQ23" s="319"/>
      <c r="CV23" s="29"/>
      <c r="CW23" s="29"/>
      <c r="CX23" s="29"/>
      <c r="CY23" s="29"/>
      <c r="CZ23" s="29"/>
      <c r="DA23" s="29"/>
      <c r="DB23" s="29"/>
    </row>
    <row r="24" spans="1:106" x14ac:dyDescent="0.2">
      <c r="A24" s="752" t="s">
        <v>2725</v>
      </c>
      <c r="B24" s="12"/>
      <c r="C24" s="517"/>
      <c r="D24" s="12"/>
      <c r="E24" s="12"/>
      <c r="F24" s="12"/>
      <c r="G24" s="12"/>
      <c r="H24" s="12"/>
      <c r="I24" s="363"/>
      <c r="AC24" s="319"/>
      <c r="AD24" s="319"/>
      <c r="AE24" s="319"/>
      <c r="AT24" s="319"/>
      <c r="AU24" s="319"/>
      <c r="AV24" s="319"/>
      <c r="AW24" s="319"/>
      <c r="AX24" s="319"/>
      <c r="BE24" s="319"/>
      <c r="BF24" s="319"/>
      <c r="BG24" s="319"/>
      <c r="BN24" s="319"/>
      <c r="BO24" s="319"/>
      <c r="BP24" s="319"/>
      <c r="BQ24" s="319"/>
      <c r="CV24" s="29"/>
      <c r="CW24" s="29"/>
      <c r="CX24" s="29"/>
      <c r="CY24" s="29"/>
      <c r="CZ24" s="29"/>
      <c r="DA24" s="29"/>
      <c r="DB24" s="29"/>
    </row>
    <row r="25" spans="1:106" x14ac:dyDescent="0.2">
      <c r="A25" s="752" t="s">
        <v>2686</v>
      </c>
      <c r="B25" s="12"/>
      <c r="C25" s="517"/>
      <c r="D25" s="12"/>
      <c r="E25" s="12"/>
      <c r="F25" s="12"/>
      <c r="G25" s="12"/>
      <c r="H25" s="12"/>
      <c r="I25" s="363"/>
      <c r="AC25" s="319"/>
      <c r="AD25" s="319"/>
      <c r="AE25" s="319"/>
      <c r="AT25" s="319"/>
      <c r="AU25" s="319"/>
      <c r="AV25" s="319"/>
      <c r="AW25" s="319"/>
      <c r="AX25" s="319"/>
      <c r="BE25" s="319"/>
      <c r="BF25" s="319"/>
      <c r="BG25" s="319"/>
      <c r="BN25" s="319"/>
      <c r="BO25" s="319"/>
      <c r="BP25" s="319"/>
      <c r="BQ25" s="319"/>
      <c r="CV25" s="29"/>
      <c r="CW25" s="29"/>
      <c r="CX25" s="29"/>
      <c r="CY25" s="29"/>
      <c r="CZ25" s="29"/>
      <c r="DA25" s="29"/>
      <c r="DB25" s="29"/>
    </row>
    <row r="26" spans="1:106" x14ac:dyDescent="0.2">
      <c r="A26" s="754" t="s">
        <v>2681</v>
      </c>
      <c r="B26" s="12"/>
      <c r="C26" s="517"/>
      <c r="D26" s="12"/>
      <c r="E26" s="12"/>
      <c r="F26" s="12"/>
      <c r="G26" s="12"/>
      <c r="H26" s="12"/>
      <c r="I26" s="363"/>
      <c r="AC26" s="319"/>
      <c r="AD26" s="319"/>
      <c r="AE26" s="319"/>
      <c r="AT26" s="319"/>
      <c r="AU26" s="319"/>
      <c r="AV26" s="319"/>
      <c r="AW26" s="319"/>
      <c r="AX26" s="319"/>
      <c r="BE26" s="319"/>
      <c r="BF26" s="319"/>
      <c r="BG26" s="319"/>
      <c r="BN26" s="319"/>
      <c r="BO26" s="319"/>
      <c r="BP26" s="319"/>
      <c r="BQ26" s="319"/>
      <c r="CV26" s="29"/>
      <c r="CW26" s="29"/>
      <c r="CX26" s="29"/>
      <c r="CY26" s="29"/>
      <c r="CZ26" s="29"/>
      <c r="DA26" s="29"/>
      <c r="DB26" s="29"/>
    </row>
    <row r="27" spans="1:106" x14ac:dyDescent="0.2">
      <c r="A27" s="754" t="s">
        <v>2682</v>
      </c>
      <c r="B27" s="12"/>
      <c r="C27" s="517"/>
      <c r="D27" s="12"/>
      <c r="E27" s="12"/>
      <c r="F27" s="12"/>
      <c r="G27" s="12"/>
      <c r="H27" s="12"/>
      <c r="I27" s="363"/>
      <c r="AC27" s="319"/>
      <c r="AD27" s="319"/>
      <c r="AE27" s="319"/>
      <c r="AT27" s="319"/>
      <c r="AU27" s="319"/>
      <c r="AV27" s="319"/>
      <c r="AW27" s="319"/>
      <c r="AX27" s="319"/>
      <c r="BE27" s="319"/>
      <c r="BF27" s="319"/>
      <c r="BG27" s="319"/>
      <c r="BN27" s="319"/>
      <c r="BO27" s="319"/>
      <c r="BP27" s="319"/>
      <c r="BQ27" s="319"/>
      <c r="CV27" s="29"/>
      <c r="CW27" s="29"/>
      <c r="CX27" s="29"/>
      <c r="CY27" s="29"/>
      <c r="CZ27" s="29"/>
      <c r="DA27" s="29"/>
      <c r="DB27" s="29"/>
    </row>
    <row r="28" spans="1:106" x14ac:dyDescent="0.2">
      <c r="A28" s="754" t="s">
        <v>2683</v>
      </c>
      <c r="B28" s="12"/>
      <c r="C28" s="517"/>
      <c r="D28" s="12"/>
      <c r="E28" s="12"/>
      <c r="F28" s="12"/>
      <c r="G28" s="12"/>
      <c r="H28" s="12"/>
      <c r="I28" s="363"/>
      <c r="AC28" s="319"/>
      <c r="AD28" s="319"/>
      <c r="AE28" s="319"/>
      <c r="AT28" s="319"/>
      <c r="AU28" s="319"/>
      <c r="AV28" s="319"/>
      <c r="AW28" s="319"/>
      <c r="AX28" s="319"/>
      <c r="BE28" s="319"/>
      <c r="BF28" s="319"/>
      <c r="BG28" s="319"/>
      <c r="BN28" s="319"/>
      <c r="BO28" s="319"/>
      <c r="BP28" s="319"/>
      <c r="BQ28" s="319"/>
      <c r="CV28" s="29"/>
      <c r="CW28" s="29"/>
      <c r="CX28" s="29"/>
      <c r="CY28" s="29"/>
      <c r="CZ28" s="29"/>
      <c r="DA28" s="29"/>
      <c r="DB28" s="29"/>
    </row>
    <row r="29" spans="1:106" x14ac:dyDescent="0.2">
      <c r="A29" s="754" t="s">
        <v>2684</v>
      </c>
      <c r="B29" s="12"/>
      <c r="C29" s="517"/>
      <c r="D29" s="12"/>
      <c r="E29" s="12"/>
      <c r="F29" s="12"/>
      <c r="G29" s="12"/>
      <c r="H29" s="12"/>
      <c r="I29" s="363"/>
      <c r="AC29" s="319"/>
      <c r="AD29" s="319"/>
      <c r="AE29" s="319"/>
      <c r="AT29" s="319"/>
      <c r="AU29" s="319"/>
      <c r="AV29" s="319"/>
      <c r="AW29" s="319"/>
      <c r="AX29" s="319"/>
      <c r="BE29" s="319"/>
      <c r="BF29" s="319"/>
      <c r="BG29" s="319"/>
      <c r="BN29" s="319"/>
      <c r="BO29" s="319"/>
      <c r="BP29" s="319"/>
      <c r="BQ29" s="319"/>
      <c r="CV29" s="29"/>
      <c r="CW29" s="29"/>
      <c r="CX29" s="29"/>
      <c r="CY29" s="29"/>
      <c r="CZ29" s="29"/>
      <c r="DA29" s="29"/>
      <c r="DB29" s="29"/>
    </row>
    <row r="30" spans="1:106" x14ac:dyDescent="0.2">
      <c r="A30" s="754" t="s">
        <v>2685</v>
      </c>
      <c r="B30" s="12"/>
      <c r="C30" s="517"/>
      <c r="D30" s="12"/>
      <c r="E30" s="12"/>
      <c r="F30" s="12"/>
      <c r="G30" s="12"/>
      <c r="H30" s="12"/>
      <c r="I30" s="363"/>
      <c r="AC30" s="319"/>
      <c r="AD30" s="319"/>
      <c r="AE30" s="319"/>
      <c r="AT30" s="319"/>
      <c r="AU30" s="319"/>
      <c r="AV30" s="319"/>
      <c r="AW30" s="319"/>
      <c r="AX30" s="319"/>
      <c r="BE30" s="319"/>
      <c r="BF30" s="319"/>
      <c r="BG30" s="319"/>
      <c r="BN30" s="319"/>
      <c r="BO30" s="319"/>
      <c r="BP30" s="319"/>
      <c r="BQ30" s="319"/>
      <c r="CV30" s="29"/>
      <c r="CW30" s="29"/>
      <c r="CX30" s="29"/>
      <c r="CY30" s="29"/>
      <c r="CZ30" s="29"/>
      <c r="DA30" s="29"/>
      <c r="DB30" s="29"/>
    </row>
    <row r="31" spans="1:106" x14ac:dyDescent="0.2">
      <c r="A31" s="752" t="s">
        <v>2687</v>
      </c>
      <c r="B31" s="12"/>
      <c r="C31" s="517"/>
      <c r="D31" s="12"/>
      <c r="E31" s="12"/>
      <c r="F31" s="12"/>
      <c r="G31" s="12"/>
      <c r="H31" s="12"/>
      <c r="I31" s="363"/>
      <c r="AC31" s="319"/>
      <c r="AD31" s="319"/>
      <c r="AE31" s="319"/>
      <c r="AT31" s="319"/>
      <c r="AU31" s="319"/>
      <c r="AV31" s="319"/>
      <c r="AW31" s="319"/>
      <c r="AX31" s="319"/>
      <c r="BE31" s="319"/>
      <c r="BF31" s="319"/>
      <c r="BG31" s="319"/>
      <c r="BN31" s="319"/>
      <c r="BO31" s="319"/>
      <c r="BP31" s="319"/>
      <c r="BQ31" s="319"/>
      <c r="CV31" s="29"/>
      <c r="CW31" s="29"/>
      <c r="CX31" s="29"/>
      <c r="CY31" s="29"/>
      <c r="CZ31" s="29"/>
      <c r="DA31" s="29"/>
      <c r="DB31" s="29"/>
    </row>
    <row r="32" spans="1:106" x14ac:dyDescent="0.2">
      <c r="A32" s="754" t="s">
        <v>2688</v>
      </c>
      <c r="B32" s="12"/>
      <c r="C32" s="517"/>
      <c r="D32" s="12"/>
      <c r="E32" s="12"/>
      <c r="F32" s="12"/>
      <c r="G32" s="12"/>
      <c r="H32" s="12"/>
      <c r="I32" s="363"/>
      <c r="AC32" s="319"/>
      <c r="AD32" s="319"/>
      <c r="AE32" s="319"/>
      <c r="AT32" s="319"/>
      <c r="AU32" s="319"/>
      <c r="AV32" s="319"/>
      <c r="AW32" s="319"/>
      <c r="AX32" s="319"/>
      <c r="BE32" s="319"/>
      <c r="BF32" s="319"/>
      <c r="BG32" s="319"/>
      <c r="BN32" s="319"/>
      <c r="BO32" s="319"/>
      <c r="BP32" s="319"/>
      <c r="BQ32" s="319"/>
      <c r="CV32" s="29"/>
      <c r="CW32" s="29"/>
      <c r="CX32" s="29"/>
      <c r="CY32" s="29"/>
      <c r="CZ32" s="29"/>
      <c r="DA32" s="29"/>
      <c r="DB32" s="29"/>
    </row>
    <row r="33" spans="1:106" x14ac:dyDescent="0.2">
      <c r="A33" s="754" t="s">
        <v>2689</v>
      </c>
      <c r="B33" s="12"/>
      <c r="C33" s="517"/>
      <c r="D33" s="12"/>
      <c r="E33" s="12"/>
      <c r="F33" s="12"/>
      <c r="G33" s="12"/>
      <c r="H33" s="12"/>
      <c r="I33" s="363"/>
      <c r="AC33" s="319"/>
      <c r="AD33" s="319"/>
      <c r="AE33" s="319"/>
      <c r="AT33" s="319"/>
      <c r="AU33" s="319"/>
      <c r="AV33" s="319"/>
      <c r="AW33" s="319"/>
      <c r="AX33" s="319"/>
      <c r="BE33" s="319"/>
      <c r="BF33" s="319"/>
      <c r="BG33" s="319"/>
      <c r="BN33" s="319"/>
      <c r="BO33" s="319"/>
      <c r="BP33" s="319"/>
      <c r="BQ33" s="319"/>
      <c r="CV33" s="29"/>
      <c r="CW33" s="29"/>
      <c r="CX33" s="29"/>
      <c r="CY33" s="29"/>
      <c r="CZ33" s="29"/>
      <c r="DA33" s="29"/>
      <c r="DB33" s="29"/>
    </row>
    <row r="34" spans="1:106" x14ac:dyDescent="0.2">
      <c r="A34" s="754" t="s">
        <v>2690</v>
      </c>
      <c r="B34" s="12"/>
      <c r="C34" s="517"/>
      <c r="D34" s="12"/>
      <c r="E34" s="12"/>
      <c r="F34" s="12"/>
      <c r="G34" s="12"/>
      <c r="H34" s="12"/>
      <c r="I34" s="363"/>
      <c r="AC34" s="319"/>
      <c r="AD34" s="319"/>
      <c r="AE34" s="319"/>
      <c r="AT34" s="319"/>
      <c r="AU34" s="319"/>
      <c r="AV34" s="319"/>
      <c r="AW34" s="319"/>
      <c r="AX34" s="319"/>
      <c r="BE34" s="319"/>
      <c r="BF34" s="319"/>
      <c r="BG34" s="319"/>
      <c r="BN34" s="319"/>
      <c r="BO34" s="319"/>
      <c r="BP34" s="319"/>
      <c r="BQ34" s="319"/>
      <c r="CV34" s="29"/>
      <c r="CW34" s="29"/>
      <c r="CX34" s="29"/>
      <c r="CY34" s="29"/>
      <c r="CZ34" s="29"/>
      <c r="DA34" s="29"/>
      <c r="DB34" s="29"/>
    </row>
    <row r="35" spans="1:106" x14ac:dyDescent="0.2">
      <c r="A35" s="754" t="s">
        <v>2694</v>
      </c>
      <c r="B35" s="12"/>
      <c r="C35" s="517"/>
      <c r="D35" s="12"/>
      <c r="E35" s="12"/>
      <c r="F35" s="12"/>
      <c r="G35" s="12"/>
      <c r="H35" s="12"/>
      <c r="I35" s="363"/>
      <c r="AC35" s="319"/>
      <c r="AD35" s="319"/>
      <c r="AE35" s="319"/>
      <c r="AT35" s="319"/>
      <c r="AU35" s="319"/>
      <c r="AV35" s="319"/>
      <c r="AW35" s="319"/>
      <c r="AX35" s="319"/>
      <c r="BE35" s="319"/>
      <c r="BF35" s="319"/>
      <c r="BG35" s="319"/>
      <c r="BN35" s="319"/>
      <c r="BO35" s="319"/>
      <c r="BP35" s="319"/>
      <c r="BQ35" s="319"/>
      <c r="CV35" s="29"/>
      <c r="CW35" s="29"/>
      <c r="CX35" s="29"/>
      <c r="CY35" s="29"/>
      <c r="CZ35" s="29"/>
      <c r="DA35" s="29"/>
      <c r="DB35" s="29"/>
    </row>
    <row r="36" spans="1:106" x14ac:dyDescent="0.2">
      <c r="A36" s="754" t="s">
        <v>2691</v>
      </c>
      <c r="B36" s="12"/>
      <c r="C36" s="517"/>
      <c r="D36" s="12"/>
      <c r="E36" s="12"/>
      <c r="F36" s="12"/>
      <c r="G36" s="12"/>
      <c r="H36" s="12"/>
      <c r="I36" s="363"/>
      <c r="AC36" s="319"/>
      <c r="AD36" s="319"/>
      <c r="AE36" s="319"/>
      <c r="AT36" s="319"/>
      <c r="AU36" s="319"/>
      <c r="AV36" s="319"/>
      <c r="AW36" s="319"/>
      <c r="AX36" s="319"/>
      <c r="BE36" s="319"/>
      <c r="BF36" s="319"/>
      <c r="BG36" s="319"/>
      <c r="BN36" s="319"/>
      <c r="BO36" s="319"/>
      <c r="BP36" s="319"/>
      <c r="BQ36" s="319"/>
      <c r="CV36" s="29"/>
      <c r="CW36" s="29"/>
      <c r="CX36" s="29"/>
      <c r="CY36" s="29"/>
      <c r="CZ36" s="29"/>
      <c r="DA36" s="29"/>
      <c r="DB36" s="29"/>
    </row>
    <row r="37" spans="1:106" x14ac:dyDescent="0.2">
      <c r="A37" s="754" t="s">
        <v>2692</v>
      </c>
      <c r="B37" s="12"/>
      <c r="C37" s="517"/>
      <c r="D37" s="12"/>
      <c r="E37" s="12"/>
      <c r="F37" s="12"/>
      <c r="G37" s="12"/>
      <c r="H37" s="12"/>
      <c r="I37" s="363"/>
      <c r="AC37" s="319"/>
      <c r="AD37" s="319"/>
      <c r="AE37" s="319"/>
      <c r="AT37" s="319"/>
      <c r="AU37" s="319"/>
      <c r="AV37" s="319"/>
      <c r="AW37" s="319"/>
      <c r="AX37" s="319"/>
      <c r="BE37" s="319"/>
      <c r="BF37" s="319"/>
      <c r="BG37" s="319"/>
      <c r="BN37" s="319"/>
      <c r="BO37" s="319"/>
      <c r="BP37" s="319"/>
      <c r="BQ37" s="319"/>
      <c r="CV37" s="29"/>
      <c r="CW37" s="29"/>
      <c r="CX37" s="29"/>
      <c r="CY37" s="29"/>
      <c r="CZ37" s="29"/>
      <c r="DA37" s="29"/>
      <c r="DB37" s="29"/>
    </row>
    <row r="38" spans="1:106" x14ac:dyDescent="0.2">
      <c r="A38" s="754" t="s">
        <v>2693</v>
      </c>
      <c r="B38" s="12"/>
      <c r="C38" s="517"/>
      <c r="D38" s="12"/>
      <c r="E38" s="12"/>
      <c r="F38" s="12"/>
      <c r="G38" s="12"/>
      <c r="H38" s="12"/>
      <c r="I38" s="363"/>
      <c r="AC38" s="319"/>
      <c r="AD38" s="319"/>
      <c r="AE38" s="319"/>
      <c r="AT38" s="319"/>
      <c r="AU38" s="319"/>
      <c r="AV38" s="319"/>
      <c r="AW38" s="319"/>
      <c r="AX38" s="319"/>
      <c r="BE38" s="319"/>
      <c r="BF38" s="319"/>
      <c r="BG38" s="319"/>
      <c r="BN38" s="319"/>
      <c r="BO38" s="319"/>
      <c r="BP38" s="319"/>
      <c r="BQ38" s="319"/>
      <c r="CV38" s="29"/>
      <c r="CW38" s="29"/>
      <c r="CX38" s="29"/>
      <c r="CY38" s="29"/>
      <c r="CZ38" s="29"/>
      <c r="DA38" s="29"/>
      <c r="DB38" s="29"/>
    </row>
    <row r="39" spans="1:106" x14ac:dyDescent="0.2">
      <c r="A39" s="752" t="s">
        <v>2715</v>
      </c>
      <c r="B39" s="12"/>
      <c r="C39" s="517"/>
      <c r="D39" s="12"/>
      <c r="E39" s="12"/>
      <c r="F39" s="12"/>
      <c r="G39" s="12"/>
      <c r="H39" s="12"/>
      <c r="I39" s="363"/>
      <c r="AC39" s="319"/>
      <c r="AD39" s="319"/>
      <c r="AE39" s="319"/>
      <c r="AT39" s="319"/>
      <c r="AU39" s="319"/>
      <c r="AV39" s="319"/>
      <c r="AW39" s="319"/>
      <c r="AX39" s="319"/>
      <c r="BE39" s="319"/>
      <c r="BF39" s="319"/>
      <c r="BG39" s="319"/>
      <c r="BN39" s="319"/>
      <c r="BO39" s="319"/>
      <c r="BP39" s="319"/>
      <c r="BQ39" s="319"/>
      <c r="CV39" s="29"/>
      <c r="CW39" s="29"/>
      <c r="CX39" s="29"/>
      <c r="CY39" s="29"/>
      <c r="CZ39" s="29"/>
      <c r="DA39" s="29"/>
      <c r="DB39" s="29"/>
    </row>
    <row r="40" spans="1:106" x14ac:dyDescent="0.2">
      <c r="A40" s="754" t="s">
        <v>2716</v>
      </c>
      <c r="B40" s="12"/>
      <c r="C40" s="517"/>
      <c r="D40" s="12"/>
      <c r="E40" s="12"/>
      <c r="F40" s="12"/>
      <c r="G40" s="12"/>
      <c r="H40" s="12"/>
      <c r="I40" s="363"/>
      <c r="AC40" s="319"/>
      <c r="AD40" s="319"/>
      <c r="AE40" s="319"/>
      <c r="AT40" s="319"/>
      <c r="AU40" s="319"/>
      <c r="AV40" s="319"/>
      <c r="AW40" s="319"/>
      <c r="AX40" s="319"/>
      <c r="BE40" s="319"/>
      <c r="BF40" s="319"/>
      <c r="BG40" s="319"/>
      <c r="BN40" s="319"/>
      <c r="BO40" s="319"/>
      <c r="BP40" s="319"/>
      <c r="BQ40" s="319"/>
      <c r="CV40" s="29"/>
      <c r="CW40" s="29"/>
      <c r="CX40" s="29"/>
      <c r="CY40" s="29"/>
      <c r="CZ40" s="29"/>
      <c r="DA40" s="29"/>
      <c r="DB40" s="29"/>
    </row>
    <row r="41" spans="1:106" x14ac:dyDescent="0.2">
      <c r="A41" s="754" t="s">
        <v>2717</v>
      </c>
      <c r="B41" s="12"/>
      <c r="C41" s="517"/>
      <c r="D41" s="12"/>
      <c r="E41" s="12"/>
      <c r="F41" s="12"/>
      <c r="G41" s="12"/>
      <c r="H41" s="12"/>
      <c r="I41" s="363"/>
      <c r="AC41" s="319"/>
      <c r="AD41" s="319"/>
      <c r="AE41" s="319"/>
      <c r="AT41" s="319"/>
      <c r="AU41" s="319"/>
      <c r="AV41" s="319"/>
      <c r="AW41" s="319"/>
      <c r="AX41" s="319"/>
      <c r="BE41" s="319"/>
      <c r="BF41" s="319"/>
      <c r="BG41" s="319"/>
      <c r="BN41" s="319"/>
      <c r="BO41" s="319"/>
      <c r="BP41" s="319"/>
      <c r="BQ41" s="319"/>
      <c r="CV41" s="29"/>
      <c r="CW41" s="29"/>
      <c r="CX41" s="29"/>
      <c r="CY41" s="29"/>
      <c r="CZ41" s="29"/>
      <c r="DA41" s="29"/>
      <c r="DB41" s="29"/>
    </row>
    <row r="42" spans="1:106" x14ac:dyDescent="0.2">
      <c r="A42" s="754" t="s">
        <v>2718</v>
      </c>
      <c r="B42" s="12"/>
      <c r="C42" s="517"/>
      <c r="D42" s="12"/>
      <c r="E42" s="12"/>
      <c r="F42" s="12"/>
      <c r="G42" s="12"/>
      <c r="H42" s="12"/>
      <c r="I42" s="363"/>
      <c r="AC42" s="319"/>
      <c r="AD42" s="319"/>
      <c r="AE42" s="319"/>
      <c r="AT42" s="319"/>
      <c r="AU42" s="319"/>
      <c r="AV42" s="319"/>
      <c r="AW42" s="319"/>
      <c r="AX42" s="319"/>
      <c r="BE42" s="319"/>
      <c r="BF42" s="319"/>
      <c r="BG42" s="319"/>
      <c r="BN42" s="319"/>
      <c r="BO42" s="319"/>
      <c r="BP42" s="319"/>
      <c r="BQ42" s="319"/>
      <c r="CV42" s="29"/>
      <c r="CW42" s="29"/>
      <c r="CX42" s="29"/>
      <c r="CY42" s="29"/>
      <c r="CZ42" s="29"/>
      <c r="DA42" s="29"/>
      <c r="DB42" s="29"/>
    </row>
    <row r="43" spans="1:106" x14ac:dyDescent="0.2">
      <c r="A43" s="754" t="s">
        <v>2719</v>
      </c>
      <c r="B43" s="12"/>
      <c r="C43" s="517"/>
      <c r="D43" s="12"/>
      <c r="E43" s="12"/>
      <c r="F43" s="12"/>
      <c r="G43" s="12"/>
      <c r="H43" s="12"/>
      <c r="I43" s="363"/>
      <c r="AC43" s="319"/>
      <c r="AD43" s="319"/>
      <c r="AE43" s="319"/>
      <c r="AT43" s="319"/>
      <c r="AU43" s="319"/>
      <c r="AV43" s="319"/>
      <c r="AW43" s="319"/>
      <c r="AX43" s="319"/>
      <c r="BE43" s="319"/>
      <c r="BF43" s="319"/>
      <c r="BG43" s="319"/>
      <c r="BN43" s="319"/>
      <c r="BO43" s="319"/>
      <c r="BP43" s="319"/>
      <c r="BQ43" s="319"/>
      <c r="CV43" s="29"/>
      <c r="CW43" s="29"/>
      <c r="CX43" s="29"/>
      <c r="CY43" s="29"/>
      <c r="CZ43" s="29"/>
      <c r="DA43" s="29"/>
      <c r="DB43" s="29"/>
    </row>
    <row r="44" spans="1:106" x14ac:dyDescent="0.2">
      <c r="A44" s="754" t="s">
        <v>2720</v>
      </c>
      <c r="B44" s="12"/>
      <c r="C44" s="517"/>
      <c r="D44" s="12"/>
      <c r="E44" s="12"/>
      <c r="F44" s="12"/>
      <c r="G44" s="12"/>
      <c r="H44" s="12"/>
      <c r="I44" s="363"/>
      <c r="AC44" s="319"/>
      <c r="AD44" s="319"/>
      <c r="AE44" s="319"/>
      <c r="AT44" s="319"/>
      <c r="AU44" s="319"/>
      <c r="AV44" s="319"/>
      <c r="AW44" s="319"/>
      <c r="AX44" s="319"/>
      <c r="BE44" s="319"/>
      <c r="BF44" s="319"/>
      <c r="BG44" s="319"/>
      <c r="BN44" s="319"/>
      <c r="BO44" s="319"/>
      <c r="BP44" s="319"/>
      <c r="BQ44" s="319"/>
      <c r="CV44" s="29"/>
      <c r="CW44" s="29"/>
      <c r="CX44" s="29"/>
      <c r="CY44" s="29"/>
      <c r="CZ44" s="29"/>
      <c r="DA44" s="29"/>
      <c r="DB44" s="29"/>
    </row>
    <row r="45" spans="1:106" x14ac:dyDescent="0.2">
      <c r="A45" s="754" t="s">
        <v>2719</v>
      </c>
      <c r="B45" s="12"/>
      <c r="C45" s="517"/>
      <c r="D45" s="12"/>
      <c r="E45" s="12"/>
      <c r="F45" s="12"/>
      <c r="G45" s="12"/>
      <c r="H45" s="12"/>
      <c r="I45" s="363"/>
      <c r="AC45" s="319"/>
      <c r="AD45" s="319"/>
      <c r="AE45" s="319"/>
      <c r="AT45" s="319"/>
      <c r="AU45" s="319"/>
      <c r="AV45" s="319"/>
      <c r="AW45" s="319"/>
      <c r="AX45" s="319"/>
      <c r="BE45" s="319"/>
      <c r="BF45" s="319"/>
      <c r="BG45" s="319"/>
      <c r="BN45" s="319"/>
      <c r="BO45" s="319"/>
      <c r="BP45" s="319"/>
      <c r="BQ45" s="319"/>
      <c r="CV45" s="29"/>
      <c r="CW45" s="29"/>
      <c r="CX45" s="29"/>
      <c r="CY45" s="29"/>
      <c r="CZ45" s="29"/>
      <c r="DA45" s="29"/>
      <c r="DB45" s="29"/>
    </row>
    <row r="46" spans="1:106" x14ac:dyDescent="0.2">
      <c r="A46" s="754" t="s">
        <v>2721</v>
      </c>
      <c r="B46" s="12"/>
      <c r="C46" s="517"/>
      <c r="D46" s="12"/>
      <c r="E46" s="12"/>
      <c r="F46" s="12"/>
      <c r="G46" s="12"/>
      <c r="H46" s="12"/>
      <c r="I46" s="363"/>
      <c r="AC46" s="319"/>
      <c r="AD46" s="319"/>
      <c r="AE46" s="319"/>
      <c r="AT46" s="319"/>
      <c r="AU46" s="319"/>
      <c r="AV46" s="319"/>
      <c r="AW46" s="319"/>
      <c r="AX46" s="319"/>
      <c r="BE46" s="319"/>
      <c r="BF46" s="319"/>
      <c r="BG46" s="319"/>
      <c r="BN46" s="319"/>
      <c r="BO46" s="319"/>
      <c r="BP46" s="319"/>
      <c r="BQ46" s="319"/>
      <c r="CV46" s="29"/>
      <c r="CW46" s="29"/>
      <c r="CX46" s="29"/>
      <c r="CY46" s="29"/>
      <c r="CZ46" s="29"/>
      <c r="DA46" s="29"/>
      <c r="DB46" s="29"/>
    </row>
    <row r="47" spans="1:106" x14ac:dyDescent="0.2">
      <c r="A47" s="754" t="s">
        <v>2722</v>
      </c>
      <c r="B47" s="12"/>
      <c r="C47" s="517"/>
      <c r="D47" s="12"/>
      <c r="E47" s="12"/>
      <c r="F47" s="12"/>
      <c r="G47" s="12"/>
      <c r="H47" s="12"/>
      <c r="I47" s="363"/>
      <c r="AC47" s="319"/>
      <c r="AD47" s="319"/>
      <c r="AE47" s="319"/>
      <c r="AT47" s="319"/>
      <c r="AU47" s="319"/>
      <c r="AV47" s="319"/>
      <c r="AW47" s="319"/>
      <c r="AX47" s="319"/>
      <c r="BE47" s="319"/>
      <c r="BF47" s="319"/>
      <c r="BG47" s="319"/>
      <c r="BN47" s="319"/>
      <c r="BO47" s="319"/>
      <c r="BP47" s="319"/>
      <c r="BQ47" s="319"/>
      <c r="CV47" s="29"/>
      <c r="CW47" s="29"/>
      <c r="CX47" s="29"/>
      <c r="CY47" s="29"/>
      <c r="CZ47" s="29"/>
      <c r="DA47" s="29"/>
      <c r="DB47" s="29"/>
    </row>
    <row r="48" spans="1:106" x14ac:dyDescent="0.2">
      <c r="A48" s="752" t="s">
        <v>2699</v>
      </c>
      <c r="B48" s="12"/>
      <c r="C48" s="517"/>
      <c r="D48" s="12"/>
      <c r="E48" s="12"/>
      <c r="F48" s="12"/>
      <c r="G48" s="12"/>
      <c r="H48" s="12"/>
      <c r="I48" s="363"/>
      <c r="AC48" s="319"/>
      <c r="AD48" s="319"/>
      <c r="AE48" s="319"/>
      <c r="AT48" s="319"/>
      <c r="AU48" s="319"/>
      <c r="AV48" s="319"/>
      <c r="AW48" s="319"/>
      <c r="AX48" s="319"/>
      <c r="BE48" s="319"/>
      <c r="BF48" s="319"/>
      <c r="BG48" s="319"/>
      <c r="BN48" s="319"/>
      <c r="BO48" s="319"/>
      <c r="BP48" s="319"/>
      <c r="BQ48" s="319"/>
      <c r="CV48" s="29"/>
      <c r="CW48" s="29"/>
      <c r="CX48" s="29"/>
      <c r="CY48" s="29"/>
      <c r="CZ48" s="29"/>
      <c r="DA48" s="29"/>
      <c r="DB48" s="29"/>
    </row>
    <row r="49" spans="1:106" x14ac:dyDescent="0.2">
      <c r="A49" s="754" t="s">
        <v>2704</v>
      </c>
      <c r="B49" s="12"/>
      <c r="C49" s="517"/>
      <c r="D49" s="12"/>
      <c r="E49" s="12"/>
      <c r="F49" s="12"/>
      <c r="G49" s="12"/>
      <c r="H49" s="12"/>
      <c r="I49" s="363"/>
      <c r="AC49" s="319"/>
      <c r="AD49" s="319"/>
      <c r="AE49" s="319"/>
      <c r="AT49" s="319"/>
      <c r="AU49" s="319"/>
      <c r="AV49" s="319"/>
      <c r="AW49" s="319"/>
      <c r="AX49" s="319"/>
      <c r="BE49" s="319"/>
      <c r="BF49" s="319"/>
      <c r="BG49" s="319"/>
      <c r="BN49" s="319"/>
      <c r="BO49" s="319"/>
      <c r="BP49" s="319"/>
      <c r="BQ49" s="319"/>
      <c r="CV49" s="29"/>
      <c r="CW49" s="29"/>
      <c r="CX49" s="29"/>
      <c r="CY49" s="29"/>
      <c r="CZ49" s="29"/>
      <c r="DA49" s="29"/>
      <c r="DB49" s="29"/>
    </row>
    <row r="50" spans="1:106" x14ac:dyDescent="0.2">
      <c r="A50" s="754" t="s">
        <v>2703</v>
      </c>
      <c r="B50" s="12"/>
      <c r="C50" s="517"/>
      <c r="D50" s="12"/>
      <c r="E50" s="12"/>
      <c r="F50" s="12"/>
      <c r="G50" s="12"/>
      <c r="H50" s="12"/>
      <c r="I50" s="363"/>
      <c r="M50" s="29" t="s">
        <v>2714</v>
      </c>
      <c r="AC50" s="319"/>
      <c r="AD50" s="319"/>
      <c r="AE50" s="319"/>
      <c r="AT50" s="319"/>
      <c r="AU50" s="319"/>
      <c r="AV50" s="319"/>
      <c r="AW50" s="319"/>
      <c r="AX50" s="319"/>
      <c r="BE50" s="319"/>
      <c r="BF50" s="319"/>
      <c r="BG50" s="319"/>
      <c r="BN50" s="319"/>
      <c r="BO50" s="319"/>
      <c r="BP50" s="319"/>
      <c r="BQ50" s="319"/>
      <c r="CV50" s="29"/>
      <c r="CW50" s="29"/>
      <c r="CX50" s="29"/>
      <c r="CY50" s="29"/>
      <c r="CZ50" s="29"/>
      <c r="DA50" s="29"/>
      <c r="DB50" s="29"/>
    </row>
    <row r="51" spans="1:106" x14ac:dyDescent="0.2">
      <c r="A51" s="759" t="s">
        <v>2700</v>
      </c>
      <c r="B51" s="12"/>
      <c r="C51" s="517"/>
      <c r="D51" s="12"/>
      <c r="E51" s="12"/>
      <c r="F51" s="12"/>
      <c r="G51" s="12"/>
      <c r="H51" s="12"/>
      <c r="I51" s="363"/>
      <c r="L51" s="29" t="s">
        <v>2712</v>
      </c>
      <c r="M51" s="29" t="s">
        <v>2713</v>
      </c>
      <c r="AC51" s="319"/>
      <c r="AD51" s="319"/>
      <c r="AE51" s="319"/>
      <c r="AT51" s="319"/>
      <c r="AU51" s="319"/>
      <c r="AV51" s="319"/>
      <c r="AW51" s="319"/>
      <c r="AX51" s="319"/>
      <c r="BE51" s="319"/>
      <c r="BF51" s="319"/>
      <c r="BG51" s="319"/>
      <c r="BN51" s="319"/>
      <c r="BO51" s="319"/>
      <c r="BP51" s="319"/>
      <c r="BQ51" s="319"/>
      <c r="CV51" s="29"/>
      <c r="CW51" s="29"/>
      <c r="CX51" s="29"/>
      <c r="CY51" s="29"/>
      <c r="CZ51" s="29"/>
      <c r="DA51" s="29"/>
      <c r="DB51" s="29"/>
    </row>
    <row r="52" spans="1:106" x14ac:dyDescent="0.2">
      <c r="A52" s="754" t="s">
        <v>2702</v>
      </c>
      <c r="B52" s="12"/>
      <c r="C52" s="517"/>
      <c r="D52" s="12"/>
      <c r="E52" s="12"/>
      <c r="F52" s="12"/>
      <c r="G52" s="12"/>
      <c r="H52" s="12"/>
      <c r="I52" s="363"/>
      <c r="L52" s="29" t="s">
        <v>2712</v>
      </c>
      <c r="M52" s="29" t="s">
        <v>845</v>
      </c>
      <c r="N52" s="29" t="s">
        <v>2709</v>
      </c>
      <c r="AC52" s="319"/>
      <c r="AD52" s="319"/>
      <c r="AE52" s="319"/>
      <c r="AT52" s="319"/>
      <c r="AU52" s="319"/>
      <c r="AV52" s="319"/>
      <c r="AW52" s="319"/>
      <c r="AX52" s="319"/>
      <c r="BE52" s="319"/>
      <c r="BF52" s="319"/>
      <c r="BG52" s="319"/>
      <c r="BN52" s="319"/>
      <c r="BO52" s="319"/>
      <c r="BP52" s="319"/>
      <c r="BQ52" s="319"/>
      <c r="CV52" s="29"/>
      <c r="CW52" s="29"/>
      <c r="CX52" s="29"/>
      <c r="CY52" s="29"/>
      <c r="CZ52" s="29"/>
      <c r="DA52" s="29"/>
      <c r="DB52" s="29"/>
    </row>
    <row r="53" spans="1:106" x14ac:dyDescent="0.2">
      <c r="A53" s="754" t="s">
        <v>2708</v>
      </c>
      <c r="B53" s="12"/>
      <c r="C53" s="517"/>
      <c r="D53" s="12"/>
      <c r="E53" s="12"/>
      <c r="F53" s="12"/>
      <c r="G53" s="12"/>
      <c r="H53" s="12"/>
      <c r="I53" s="363"/>
      <c r="N53" s="29" t="s">
        <v>2710</v>
      </c>
      <c r="AC53" s="319"/>
      <c r="AD53" s="319"/>
      <c r="AE53" s="319"/>
      <c r="AT53" s="319"/>
      <c r="AU53" s="319"/>
      <c r="AV53" s="319"/>
      <c r="AW53" s="319"/>
      <c r="AX53" s="319"/>
      <c r="BE53" s="319"/>
      <c r="BF53" s="319"/>
      <c r="BG53" s="319"/>
      <c r="BN53" s="319"/>
      <c r="BO53" s="319"/>
      <c r="BP53" s="319"/>
      <c r="BQ53" s="319"/>
      <c r="CV53" s="29"/>
      <c r="CW53" s="29"/>
      <c r="CX53" s="29"/>
      <c r="CY53" s="29"/>
      <c r="CZ53" s="29"/>
      <c r="DA53" s="29"/>
      <c r="DB53" s="29"/>
    </row>
    <row r="54" spans="1:106" x14ac:dyDescent="0.2">
      <c r="A54" s="759" t="s">
        <v>2707</v>
      </c>
      <c r="B54" s="12"/>
      <c r="C54" s="517"/>
      <c r="D54" s="12"/>
      <c r="E54" s="12"/>
      <c r="F54" s="12"/>
      <c r="G54" s="12"/>
      <c r="H54" s="12"/>
      <c r="I54" s="363"/>
      <c r="N54" s="29" t="s">
        <v>2711</v>
      </c>
      <c r="AC54" s="319"/>
      <c r="AD54" s="319"/>
      <c r="AE54" s="319"/>
      <c r="AT54" s="319"/>
      <c r="AU54" s="319"/>
      <c r="AV54" s="319"/>
      <c r="AW54" s="319"/>
      <c r="AX54" s="319"/>
      <c r="BE54" s="319"/>
      <c r="BF54" s="319"/>
      <c r="BG54" s="319"/>
      <c r="BN54" s="319"/>
      <c r="BO54" s="319"/>
      <c r="BP54" s="319"/>
      <c r="BQ54" s="319"/>
      <c r="CV54" s="29"/>
      <c r="CW54" s="29"/>
      <c r="CX54" s="29"/>
      <c r="CY54" s="29"/>
      <c r="CZ54" s="29"/>
      <c r="DA54" s="29"/>
      <c r="DB54" s="29"/>
    </row>
    <row r="55" spans="1:106" x14ac:dyDescent="0.2">
      <c r="A55" s="759" t="s">
        <v>2706</v>
      </c>
      <c r="B55" s="12"/>
      <c r="C55" s="517"/>
      <c r="D55" s="12"/>
      <c r="E55" s="12"/>
      <c r="F55" s="12"/>
      <c r="G55" s="12"/>
      <c r="H55" s="12"/>
      <c r="I55" s="363"/>
      <c r="AC55" s="319"/>
      <c r="AD55" s="319"/>
      <c r="AE55" s="319"/>
      <c r="AT55" s="319"/>
      <c r="AU55" s="319"/>
      <c r="AV55" s="319"/>
      <c r="AW55" s="319"/>
      <c r="AX55" s="319"/>
      <c r="BE55" s="319"/>
      <c r="BF55" s="319"/>
      <c r="BG55" s="319"/>
      <c r="BN55" s="319"/>
      <c r="BO55" s="319"/>
      <c r="BP55" s="319"/>
      <c r="BQ55" s="319"/>
      <c r="CV55" s="29"/>
      <c r="CW55" s="29"/>
      <c r="CX55" s="29"/>
      <c r="CY55" s="29"/>
      <c r="CZ55" s="29"/>
      <c r="DA55" s="29"/>
      <c r="DB55" s="29"/>
    </row>
    <row r="56" spans="1:106" x14ac:dyDescent="0.2">
      <c r="A56" s="754" t="s">
        <v>2705</v>
      </c>
      <c r="B56" s="12"/>
      <c r="C56" s="517"/>
      <c r="D56" s="12"/>
      <c r="E56" s="12"/>
      <c r="F56" s="12"/>
      <c r="G56" s="12"/>
      <c r="H56" s="12"/>
      <c r="I56" s="363"/>
      <c r="AC56" s="319"/>
      <c r="AD56" s="319"/>
      <c r="AE56" s="319"/>
      <c r="AT56" s="319"/>
      <c r="AU56" s="319"/>
      <c r="AV56" s="319"/>
      <c r="AW56" s="319"/>
      <c r="AX56" s="319"/>
      <c r="BE56" s="319"/>
      <c r="BF56" s="319"/>
      <c r="BG56" s="319"/>
      <c r="BN56" s="319"/>
      <c r="BO56" s="319"/>
      <c r="BP56" s="319"/>
      <c r="BQ56" s="319"/>
      <c r="CV56" s="29"/>
      <c r="CW56" s="29"/>
      <c r="CX56" s="29"/>
      <c r="CY56" s="29"/>
      <c r="CZ56" s="29"/>
      <c r="DA56" s="29"/>
      <c r="DB56" s="29"/>
    </row>
    <row r="57" spans="1:106" x14ac:dyDescent="0.2">
      <c r="A57" s="754" t="s">
        <v>2701</v>
      </c>
      <c r="B57" s="12"/>
      <c r="C57" s="517"/>
      <c r="D57" s="12"/>
      <c r="E57" s="12"/>
      <c r="F57" s="12"/>
      <c r="G57" s="12"/>
      <c r="H57" s="12"/>
      <c r="I57" s="363"/>
      <c r="AC57" s="319"/>
      <c r="AD57" s="319"/>
      <c r="AE57" s="319"/>
      <c r="AT57" s="319"/>
      <c r="AU57" s="319"/>
      <c r="AV57" s="319"/>
      <c r="AW57" s="319"/>
      <c r="AX57" s="319"/>
      <c r="BE57" s="319"/>
      <c r="BF57" s="319"/>
      <c r="BG57" s="319"/>
      <c r="BN57" s="319"/>
      <c r="BO57" s="319"/>
      <c r="BP57" s="319"/>
      <c r="BQ57" s="319"/>
      <c r="CV57" s="29"/>
      <c r="CW57" s="29"/>
      <c r="CX57" s="29"/>
      <c r="CY57" s="29"/>
      <c r="CZ57" s="29"/>
      <c r="DA57" s="29"/>
      <c r="DB57" s="29"/>
    </row>
    <row r="58" spans="1:106" x14ac:dyDescent="0.2">
      <c r="A58" s="754" t="s">
        <v>2701</v>
      </c>
      <c r="B58" s="12"/>
      <c r="C58" s="517"/>
      <c r="D58" s="12"/>
      <c r="E58" s="12"/>
      <c r="F58" s="12"/>
      <c r="G58" s="12"/>
      <c r="H58" s="12"/>
      <c r="I58" s="363"/>
      <c r="AC58" s="319"/>
      <c r="AD58" s="319"/>
      <c r="AE58" s="319"/>
      <c r="AT58" s="319"/>
      <c r="AU58" s="319"/>
      <c r="AV58" s="319"/>
      <c r="AW58" s="319"/>
      <c r="AX58" s="319"/>
      <c r="BE58" s="319"/>
      <c r="BF58" s="319"/>
      <c r="BG58" s="319"/>
      <c r="BN58" s="319"/>
      <c r="BO58" s="319"/>
      <c r="BP58" s="319"/>
      <c r="BQ58" s="319"/>
      <c r="CV58" s="29"/>
      <c r="CW58" s="29"/>
      <c r="CX58" s="29"/>
      <c r="CY58" s="29"/>
      <c r="CZ58" s="29"/>
      <c r="DA58" s="29"/>
      <c r="DB58" s="29"/>
    </row>
    <row r="59" spans="1:106" x14ac:dyDescent="0.2">
      <c r="A59" s="754" t="s">
        <v>2701</v>
      </c>
      <c r="B59" s="12"/>
      <c r="C59" s="517"/>
      <c r="D59" s="12"/>
      <c r="E59" s="12"/>
      <c r="F59" s="12"/>
      <c r="G59" s="12"/>
      <c r="H59" s="12"/>
      <c r="I59" s="363"/>
      <c r="AC59" s="319"/>
      <c r="AD59" s="319"/>
      <c r="AE59" s="319"/>
      <c r="AT59" s="319"/>
      <c r="AU59" s="319"/>
      <c r="AV59" s="319"/>
      <c r="AW59" s="319"/>
      <c r="AX59" s="319"/>
      <c r="BE59" s="319"/>
      <c r="BF59" s="319"/>
      <c r="BG59" s="319"/>
      <c r="BN59" s="319"/>
      <c r="BO59" s="319"/>
      <c r="BP59" s="319"/>
      <c r="BQ59" s="319"/>
      <c r="CV59" s="29"/>
      <c r="CW59" s="29"/>
      <c r="CX59" s="29"/>
      <c r="CY59" s="29"/>
      <c r="CZ59" s="29"/>
      <c r="DA59" s="29"/>
      <c r="DB59" s="29"/>
    </row>
    <row r="60" spans="1:106" ht="13.5" thickBot="1" x14ac:dyDescent="0.25">
      <c r="A60" s="290"/>
      <c r="B60" s="291"/>
      <c r="C60" s="518"/>
      <c r="D60" s="291"/>
      <c r="E60" s="291"/>
      <c r="F60" s="291"/>
      <c r="G60" s="291"/>
      <c r="H60" s="291"/>
      <c r="I60" s="292"/>
      <c r="AC60" s="319"/>
      <c r="AD60" s="319"/>
      <c r="AE60" s="319"/>
      <c r="AT60" s="319"/>
      <c r="AU60" s="319"/>
      <c r="AV60" s="319"/>
      <c r="AW60" s="319"/>
      <c r="AX60" s="319"/>
      <c r="BE60" s="319"/>
      <c r="BF60" s="319"/>
      <c r="BG60" s="319"/>
      <c r="BN60" s="319"/>
      <c r="BO60" s="319"/>
      <c r="BP60" s="319"/>
      <c r="BQ60" s="319"/>
      <c r="CV60" s="29"/>
      <c r="CW60" s="29"/>
      <c r="CX60" s="29"/>
      <c r="CY60" s="29"/>
      <c r="CZ60" s="29"/>
      <c r="DA60" s="29"/>
      <c r="DB60" s="29"/>
    </row>
    <row r="61" spans="1:106" x14ac:dyDescent="0.2">
      <c r="C61" s="318"/>
      <c r="AC61" s="319"/>
      <c r="AD61" s="319"/>
      <c r="AE61" s="319"/>
      <c r="AT61" s="319"/>
      <c r="AU61" s="319"/>
      <c r="AV61" s="319"/>
      <c r="AW61" s="319"/>
      <c r="AX61" s="319"/>
      <c r="BE61" s="319"/>
      <c r="BF61" s="319"/>
      <c r="BG61" s="319"/>
      <c r="BN61" s="319"/>
      <c r="BO61" s="319"/>
      <c r="BP61" s="319"/>
      <c r="BQ61" s="319"/>
      <c r="CV61" s="29"/>
      <c r="CW61" s="29"/>
      <c r="CX61" s="29"/>
      <c r="CY61" s="29"/>
      <c r="CZ61" s="29"/>
      <c r="DA61" s="29"/>
      <c r="DB61" s="29"/>
    </row>
    <row r="62" spans="1:106" s="359" customFormat="1" x14ac:dyDescent="0.2">
      <c r="A62" s="27" t="s">
        <v>578</v>
      </c>
      <c r="CV62" s="3"/>
      <c r="CW62" s="3"/>
      <c r="CX62" s="3"/>
      <c r="CY62" s="3"/>
      <c r="CZ62" s="3"/>
      <c r="DA62" s="3"/>
      <c r="DB62" s="3"/>
    </row>
    <row r="63" spans="1:106" hidden="1" x14ac:dyDescent="0.2">
      <c r="B63" s="318" t="s">
        <v>96</v>
      </c>
      <c r="CV63" s="320"/>
      <c r="CW63" s="320"/>
      <c r="CX63" s="320"/>
      <c r="CY63" s="320"/>
      <c r="CZ63" s="320"/>
      <c r="DA63" s="320"/>
      <c r="DB63" s="320"/>
    </row>
    <row r="64" spans="1:106" hidden="1" x14ac:dyDescent="0.2">
      <c r="CV64" s="61"/>
      <c r="CW64" s="61"/>
      <c r="CX64" s="61"/>
      <c r="CY64" s="61"/>
      <c r="CZ64" s="61"/>
      <c r="DA64" s="61"/>
      <c r="DB64" s="61"/>
    </row>
    <row r="65" spans="1:106" hidden="1" x14ac:dyDescent="0.2">
      <c r="CV65" s="61"/>
      <c r="CW65" s="61"/>
      <c r="CX65" s="61"/>
      <c r="CY65" s="61"/>
      <c r="CZ65" s="61"/>
      <c r="DA65" s="61"/>
      <c r="DB65" s="61"/>
    </row>
    <row r="66" spans="1:106" s="359" customFormat="1" ht="13.5" thickBot="1" x14ac:dyDescent="0.25">
      <c r="A66" s="33" t="s">
        <v>1072</v>
      </c>
      <c r="B66" s="39"/>
      <c r="D66" s="39"/>
      <c r="E66" s="39"/>
      <c r="F66" s="39"/>
      <c r="G66" s="39"/>
      <c r="H66" s="39"/>
      <c r="I66" s="39"/>
      <c r="K66" s="39"/>
      <c r="L66" s="39"/>
      <c r="M66" s="39"/>
      <c r="N66" s="39"/>
      <c r="O66" s="39"/>
      <c r="P66" s="39"/>
      <c r="Q66" s="39"/>
      <c r="R66" s="39"/>
      <c r="S66" s="39"/>
      <c r="U66" s="39"/>
      <c r="V66" s="39"/>
      <c r="W66" s="39"/>
      <c r="X66" s="39"/>
      <c r="Y66" s="39"/>
      <c r="Z66" s="39"/>
      <c r="AA66" s="39"/>
      <c r="AC66" s="39"/>
      <c r="AD66" s="39"/>
      <c r="AE66" s="39"/>
      <c r="AF66" s="39"/>
      <c r="AG66" s="39"/>
      <c r="AH66" s="39"/>
      <c r="AI66" s="39"/>
      <c r="AJ66" s="39"/>
      <c r="AK66" s="39"/>
      <c r="AL66" s="39"/>
      <c r="AM66" s="39"/>
      <c r="AN66" s="39"/>
      <c r="AO66" s="39"/>
      <c r="AP66" s="39"/>
      <c r="AQ66" s="39"/>
      <c r="AR66" s="39"/>
      <c r="AT66" s="39"/>
      <c r="AU66" s="39"/>
      <c r="AV66" s="39"/>
      <c r="AW66" s="39"/>
      <c r="AX66" s="39"/>
      <c r="AY66" s="39"/>
      <c r="AZ66" s="39"/>
      <c r="BA66" s="39"/>
      <c r="BB66" s="39"/>
      <c r="BD66" s="39"/>
      <c r="BE66" s="39"/>
      <c r="BF66" s="39"/>
      <c r="BG66" s="39"/>
      <c r="BH66" s="39"/>
      <c r="BI66" s="39"/>
      <c r="BJ66" s="39"/>
      <c r="BK66" s="39"/>
      <c r="BL66" s="39"/>
      <c r="BN66" s="39"/>
      <c r="BO66" s="39"/>
      <c r="BP66" s="39"/>
      <c r="BQ66" s="39"/>
      <c r="BR66" s="39"/>
      <c r="BS66" s="39"/>
      <c r="BT66" s="39"/>
      <c r="BU66" s="39"/>
      <c r="BW66" s="39"/>
      <c r="BX66" s="39"/>
      <c r="BY66" s="39"/>
      <c r="BZ66" s="39"/>
      <c r="CA66" s="39"/>
      <c r="CB66" s="39"/>
      <c r="CC66" s="39"/>
      <c r="CE66" s="39"/>
      <c r="CF66" s="39"/>
      <c r="CG66" s="39"/>
      <c r="CI66" s="39"/>
      <c r="CJ66" s="39"/>
      <c r="CK66" s="39"/>
      <c r="CL66" s="39"/>
      <c r="CM66" s="39"/>
      <c r="CN66" s="39"/>
      <c r="CO66" s="39"/>
      <c r="CP66" s="39"/>
      <c r="CR66" s="39"/>
      <c r="CS66" s="39"/>
      <c r="CT66" s="39"/>
      <c r="CV66" s="40"/>
      <c r="CW66" s="40"/>
      <c r="CX66" s="40"/>
      <c r="CY66" s="3"/>
      <c r="CZ66" s="40"/>
      <c r="DA66" s="40"/>
      <c r="DB66" s="40"/>
    </row>
    <row r="67" spans="1:106" x14ac:dyDescent="0.2">
      <c r="A67" s="407" t="s">
        <v>1970</v>
      </c>
      <c r="B67" s="408"/>
      <c r="C67" s="408"/>
      <c r="D67" s="409"/>
      <c r="F67" s="407" t="s">
        <v>2729</v>
      </c>
      <c r="G67" s="408"/>
      <c r="H67" s="409"/>
      <c r="J67" s="407" t="s">
        <v>1842</v>
      </c>
      <c r="K67" s="408"/>
      <c r="L67" s="409"/>
      <c r="M67"/>
      <c r="N67" s="407" t="s">
        <v>1975</v>
      </c>
      <c r="O67" s="408"/>
      <c r="P67" s="409"/>
      <c r="Q67"/>
      <c r="R67" s="407" t="s">
        <v>830</v>
      </c>
      <c r="S67" s="408"/>
      <c r="T67" s="408"/>
      <c r="U67" s="408"/>
      <c r="V67" s="409"/>
      <c r="X67" s="407" t="s">
        <v>831</v>
      </c>
      <c r="Y67" s="408"/>
      <c r="Z67" s="408"/>
      <c r="AA67" s="408"/>
      <c r="AB67" s="408"/>
      <c r="AC67" s="408"/>
      <c r="AD67" s="408"/>
      <c r="AE67" s="408"/>
      <c r="AF67" s="409"/>
      <c r="AH67" s="407" t="s">
        <v>2730</v>
      </c>
      <c r="AI67" s="408"/>
      <c r="AJ67" s="409"/>
      <c r="AL67" s="407" t="s">
        <v>2951</v>
      </c>
      <c r="AM67" s="409"/>
      <c r="AO67" s="407" t="s">
        <v>2952</v>
      </c>
      <c r="AP67" s="408"/>
      <c r="AQ67" s="408"/>
      <c r="AR67" s="408"/>
      <c r="AS67" s="408"/>
      <c r="AT67" s="408"/>
      <c r="AU67" s="408"/>
      <c r="AV67" s="408"/>
      <c r="AW67" s="409"/>
      <c r="AY67" s="407" t="s">
        <v>832</v>
      </c>
      <c r="AZ67" s="408"/>
      <c r="BA67" s="408"/>
      <c r="BB67" s="408"/>
      <c r="BC67" s="408"/>
      <c r="BD67" s="408"/>
      <c r="BE67" s="408"/>
      <c r="BF67" s="409"/>
      <c r="BH67" s="407" t="s">
        <v>833</v>
      </c>
      <c r="BI67" s="408"/>
      <c r="BJ67" s="408"/>
      <c r="BK67" s="408"/>
      <c r="BL67" s="408"/>
      <c r="BM67" s="408"/>
      <c r="BN67" s="408"/>
      <c r="BO67" s="409"/>
      <c r="BQ67" s="407" t="s">
        <v>834</v>
      </c>
      <c r="BR67" s="408"/>
      <c r="BS67" s="408"/>
      <c r="BT67" s="408"/>
      <c r="BU67" s="408"/>
      <c r="BV67" s="408"/>
      <c r="BW67" s="408"/>
      <c r="BX67" s="409"/>
      <c r="BZ67" s="407" t="s">
        <v>835</v>
      </c>
      <c r="CA67" s="408"/>
      <c r="CB67" s="408"/>
      <c r="CC67" s="408"/>
      <c r="CD67" s="408"/>
      <c r="CE67" s="408"/>
      <c r="CF67" s="408"/>
      <c r="CG67" s="409"/>
      <c r="CI67" s="407" t="s">
        <v>836</v>
      </c>
      <c r="CJ67" s="408"/>
      <c r="CK67" s="408"/>
      <c r="CL67" s="408"/>
      <c r="CM67" s="408"/>
      <c r="CN67" s="408"/>
      <c r="CO67" s="409"/>
      <c r="CQ67" s="407" t="s">
        <v>837</v>
      </c>
      <c r="CR67" s="408"/>
      <c r="CS67" s="409"/>
      <c r="CU67" s="407" t="s">
        <v>838</v>
      </c>
      <c r="CV67" s="408"/>
      <c r="CW67" s="408"/>
      <c r="CX67" s="408"/>
      <c r="CY67" s="408"/>
      <c r="CZ67" s="408"/>
      <c r="DA67" s="408"/>
      <c r="DB67" s="409"/>
    </row>
    <row r="68" spans="1:106" ht="13.5" thickBot="1" x14ac:dyDescent="0.25">
      <c r="A68" s="410" t="s">
        <v>1079</v>
      </c>
      <c r="B68" s="411" t="s">
        <v>1977</v>
      </c>
      <c r="C68" s="411" t="s">
        <v>1976</v>
      </c>
      <c r="D68" s="412" t="s">
        <v>2151</v>
      </c>
      <c r="F68" s="410" t="s">
        <v>1977</v>
      </c>
      <c r="G68" s="411" t="s">
        <v>1986</v>
      </c>
      <c r="H68" s="412" t="s">
        <v>1976</v>
      </c>
      <c r="J68" s="410" t="s">
        <v>1977</v>
      </c>
      <c r="K68" s="411" t="s">
        <v>1079</v>
      </c>
      <c r="L68" s="412" t="s">
        <v>1980</v>
      </c>
      <c r="M68"/>
      <c r="N68" s="410" t="s">
        <v>1977</v>
      </c>
      <c r="O68" s="411" t="s">
        <v>1079</v>
      </c>
      <c r="P68" s="412" t="s">
        <v>1980</v>
      </c>
      <c r="Q68"/>
      <c r="R68" s="410" t="s">
        <v>839</v>
      </c>
      <c r="S68" s="411" t="s">
        <v>1977</v>
      </c>
      <c r="T68" s="411" t="s">
        <v>1986</v>
      </c>
      <c r="U68" s="411" t="s">
        <v>1988</v>
      </c>
      <c r="V68" s="412" t="s">
        <v>841</v>
      </c>
      <c r="X68" s="410" t="s">
        <v>839</v>
      </c>
      <c r="Y68" s="411" t="s">
        <v>1977</v>
      </c>
      <c r="Z68" s="411" t="s">
        <v>842</v>
      </c>
      <c r="AA68" s="411" t="s">
        <v>1986</v>
      </c>
      <c r="AB68" s="411" t="s">
        <v>1980</v>
      </c>
      <c r="AC68" s="411" t="s">
        <v>1770</v>
      </c>
      <c r="AD68" s="411" t="s">
        <v>1988</v>
      </c>
      <c r="AE68" s="411" t="s">
        <v>3016</v>
      </c>
      <c r="AF68" s="412" t="s">
        <v>1979</v>
      </c>
      <c r="AH68" s="410" t="s">
        <v>1079</v>
      </c>
      <c r="AI68" s="411" t="s">
        <v>2731</v>
      </c>
      <c r="AJ68" s="412" t="s">
        <v>1976</v>
      </c>
      <c r="AL68" s="410" t="s">
        <v>2731</v>
      </c>
      <c r="AM68" s="412" t="s">
        <v>1976</v>
      </c>
      <c r="AO68" s="410" t="s">
        <v>1977</v>
      </c>
      <c r="AP68" s="411" t="s">
        <v>2732</v>
      </c>
      <c r="AQ68" s="411" t="s">
        <v>2733</v>
      </c>
      <c r="AR68" s="411" t="s">
        <v>2734</v>
      </c>
      <c r="AS68" s="411" t="s">
        <v>2735</v>
      </c>
      <c r="AT68" s="411" t="s">
        <v>2736</v>
      </c>
      <c r="AU68" s="411" t="s">
        <v>2738</v>
      </c>
      <c r="AV68" s="411" t="s">
        <v>2739</v>
      </c>
      <c r="AW68" s="412" t="s">
        <v>2737</v>
      </c>
      <c r="AY68" s="410" t="s">
        <v>1079</v>
      </c>
      <c r="AZ68" s="411" t="s">
        <v>1977</v>
      </c>
      <c r="BA68" s="411" t="s">
        <v>1978</v>
      </c>
      <c r="BB68" s="411" t="s">
        <v>1979</v>
      </c>
      <c r="BC68" s="411" t="s">
        <v>1981</v>
      </c>
      <c r="BD68" s="411" t="s">
        <v>3024</v>
      </c>
      <c r="BE68" s="411" t="s">
        <v>1982</v>
      </c>
      <c r="BF68" s="412" t="s">
        <v>1983</v>
      </c>
      <c r="BH68" s="410" t="s">
        <v>1079</v>
      </c>
      <c r="BI68" s="411" t="s">
        <v>1977</v>
      </c>
      <c r="BJ68" s="411" t="s">
        <v>1978</v>
      </c>
      <c r="BK68" s="411" t="s">
        <v>1982</v>
      </c>
      <c r="BL68" s="411" t="s">
        <v>843</v>
      </c>
      <c r="BM68" s="411" t="s">
        <v>1983</v>
      </c>
      <c r="BN68" s="411" t="s">
        <v>394</v>
      </c>
      <c r="BO68" s="412" t="s">
        <v>395</v>
      </c>
      <c r="BQ68" s="410" t="s">
        <v>1079</v>
      </c>
      <c r="BR68" s="411" t="s">
        <v>1977</v>
      </c>
      <c r="BS68" s="411" t="s">
        <v>1978</v>
      </c>
      <c r="BT68" s="411" t="s">
        <v>1982</v>
      </c>
      <c r="BU68" s="411" t="s">
        <v>1983</v>
      </c>
      <c r="BV68" s="411" t="s">
        <v>394</v>
      </c>
      <c r="BW68" s="411" t="s">
        <v>395</v>
      </c>
      <c r="BX68" s="412" t="s">
        <v>844</v>
      </c>
      <c r="BZ68" s="410" t="s">
        <v>1079</v>
      </c>
      <c r="CA68" s="411" t="s">
        <v>1977</v>
      </c>
      <c r="CB68" s="411" t="s">
        <v>1978</v>
      </c>
      <c r="CC68" s="411" t="s">
        <v>1979</v>
      </c>
      <c r="CD68" s="411" t="s">
        <v>1982</v>
      </c>
      <c r="CE68" s="411" t="s">
        <v>1983</v>
      </c>
      <c r="CF68" s="411" t="s">
        <v>394</v>
      </c>
      <c r="CG68" s="412" t="s">
        <v>395</v>
      </c>
      <c r="CI68" s="410" t="s">
        <v>1079</v>
      </c>
      <c r="CJ68" s="411" t="s">
        <v>1977</v>
      </c>
      <c r="CK68" s="411" t="s">
        <v>1978</v>
      </c>
      <c r="CL68" s="411" t="s">
        <v>1982</v>
      </c>
      <c r="CM68" s="411" t="s">
        <v>1983</v>
      </c>
      <c r="CN68" s="411" t="s">
        <v>394</v>
      </c>
      <c r="CO68" s="412" t="s">
        <v>845</v>
      </c>
      <c r="CQ68" s="410" t="s">
        <v>1079</v>
      </c>
      <c r="CR68" s="411" t="s">
        <v>1977</v>
      </c>
      <c r="CS68" s="412" t="s">
        <v>1980</v>
      </c>
      <c r="CU68" s="410" t="s">
        <v>1079</v>
      </c>
      <c r="CV68" s="411" t="s">
        <v>1977</v>
      </c>
      <c r="CW68" s="411" t="s">
        <v>1979</v>
      </c>
      <c r="CX68" s="411" t="s">
        <v>1997</v>
      </c>
      <c r="CY68" s="411" t="s">
        <v>846</v>
      </c>
      <c r="CZ68" s="411" t="s">
        <v>385</v>
      </c>
      <c r="DA68" s="411" t="s">
        <v>847</v>
      </c>
      <c r="DB68" s="412" t="s">
        <v>848</v>
      </c>
    </row>
    <row r="69" spans="1:106" x14ac:dyDescent="0.2">
      <c r="A69" s="469" t="s">
        <v>155</v>
      </c>
      <c r="B69" s="95">
        <v>1</v>
      </c>
      <c r="C69" s="367">
        <f>IF(iMHCalcType=1,1,0)</f>
        <v>1</v>
      </c>
      <c r="D69" s="470"/>
      <c r="F69" s="478">
        <v>0</v>
      </c>
      <c r="G69" s="474" t="s">
        <v>146</v>
      </c>
      <c r="H69" s="475">
        <f>Version</f>
        <v>1</v>
      </c>
      <c r="J69" s="345">
        <v>0</v>
      </c>
      <c r="K69" s="97" t="s">
        <v>1994</v>
      </c>
      <c r="L69" s="415" t="s">
        <v>1999</v>
      </c>
      <c r="M69" s="29" t="s">
        <v>727</v>
      </c>
      <c r="N69" s="345">
        <v>0</v>
      </c>
      <c r="O69" s="97" t="s">
        <v>1994</v>
      </c>
      <c r="P69" s="475" t="s">
        <v>2000</v>
      </c>
      <c r="Q69" s="31" t="s">
        <v>727</v>
      </c>
      <c r="R69" s="473">
        <v>1</v>
      </c>
      <c r="S69" s="474">
        <f>IF(iMHCalcType=1,1,0)</f>
        <v>1</v>
      </c>
      <c r="T69" s="474" t="str">
        <f>"&lt;&lt;i&gt;&gt;Estimated&lt;&lt;/i&gt;&gt; Benefit Payable from the Retirement Plan"</f>
        <v>&lt;&lt;i&gt;&gt;Estimated&lt;&lt;/i&gt;&gt; Benefit Payable from the Retirement Plan</v>
      </c>
      <c r="U69" s="474" t="s">
        <v>2232</v>
      </c>
      <c r="V69" s="475">
        <f>IF(iMHCalcType=1,1,0)</f>
        <v>1</v>
      </c>
      <c r="X69" s="476" t="s">
        <v>1280</v>
      </c>
      <c r="Y69" s="367">
        <f>IF(SUM(J70:J70)&gt;0,1,0)</f>
        <v>0</v>
      </c>
      <c r="Z69" s="367"/>
      <c r="AA69" s="367" t="s">
        <v>2153</v>
      </c>
      <c r="AB69" s="31" t="s">
        <v>2312</v>
      </c>
      <c r="AC69" s="367"/>
      <c r="AD69" s="367" t="s">
        <v>39</v>
      </c>
      <c r="AE69" s="367"/>
      <c r="AF69" s="470"/>
      <c r="AH69" s="469"/>
      <c r="AI69" s="367"/>
      <c r="AJ69" s="482"/>
      <c r="AL69" s="469" t="s">
        <v>2953</v>
      </c>
      <c r="AM69" s="482" t="s">
        <v>3014</v>
      </c>
      <c r="AO69" s="469">
        <v>1</v>
      </c>
      <c r="AP69" s="367" t="s">
        <v>2740</v>
      </c>
      <c r="AQ69" s="367"/>
      <c r="AR69" s="367"/>
      <c r="AS69" s="367"/>
      <c r="AT69" s="367"/>
      <c r="AU69" s="367"/>
      <c r="AV69" s="367"/>
      <c r="AW69" s="470"/>
      <c r="AY69" s="478" t="s">
        <v>1977</v>
      </c>
      <c r="AZ69" s="474">
        <v>1</v>
      </c>
      <c r="BA69" s="474">
        <v>1</v>
      </c>
      <c r="BB69" s="474">
        <v>1</v>
      </c>
      <c r="BC69" s="474">
        <v>1</v>
      </c>
      <c r="BD69" s="474">
        <v>0</v>
      </c>
      <c r="BE69" s="474">
        <v>1</v>
      </c>
      <c r="BF69" s="475">
        <v>1</v>
      </c>
      <c r="BH69" s="478" t="s">
        <v>1977</v>
      </c>
      <c r="BI69" s="474">
        <v>1</v>
      </c>
      <c r="BJ69" s="474">
        <v>1</v>
      </c>
      <c r="BK69" s="474">
        <v>1</v>
      </c>
      <c r="BL69" s="474">
        <v>1</v>
      </c>
      <c r="BM69" s="474">
        <v>1</v>
      </c>
      <c r="BN69" s="474">
        <v>1</v>
      </c>
      <c r="BO69" s="475">
        <v>1</v>
      </c>
      <c r="BQ69" s="478" t="s">
        <v>1977</v>
      </c>
      <c r="BR69" s="474">
        <v>1</v>
      </c>
      <c r="BS69" s="474">
        <v>1</v>
      </c>
      <c r="BT69" s="474">
        <v>1</v>
      </c>
      <c r="BU69" s="474">
        <v>1</v>
      </c>
      <c r="BV69" s="474">
        <v>1</v>
      </c>
      <c r="BW69" s="474" t="e">
        <f>IF(BW73,0,1)</f>
        <v>#REF!</v>
      </c>
      <c r="BX69" s="475">
        <v>1</v>
      </c>
      <c r="BZ69" s="478" t="s">
        <v>1977</v>
      </c>
      <c r="CA69" s="474">
        <v>1</v>
      </c>
      <c r="CB69" s="474">
        <v>1</v>
      </c>
      <c r="CC69" s="474">
        <v>1</v>
      </c>
      <c r="CD69" s="474">
        <v>1</v>
      </c>
      <c r="CE69" s="474">
        <v>1</v>
      </c>
      <c r="CF69" s="474">
        <v>1</v>
      </c>
      <c r="CG69" s="475">
        <v>1</v>
      </c>
      <c r="CI69" s="478" t="s">
        <v>1977</v>
      </c>
      <c r="CJ69" s="474">
        <v>1</v>
      </c>
      <c r="CK69" s="474">
        <v>1</v>
      </c>
      <c r="CL69" s="474">
        <v>1</v>
      </c>
      <c r="CM69" s="474">
        <v>1</v>
      </c>
      <c r="CN69" s="474">
        <v>1</v>
      </c>
      <c r="CO69" s="475">
        <v>1</v>
      </c>
      <c r="CQ69" s="478" t="s">
        <v>141</v>
      </c>
      <c r="CR69" s="474">
        <v>1</v>
      </c>
      <c r="CS69" s="475" t="str">
        <f>"These projections illustrate your estimated benefits under the benefit plans provided by " &amp; company.name &amp;". These estimates are based on your personal data and the assumptions that you enter."</f>
        <v>These projections illustrate your estimated benefits under the benefit plans provided by Company Name. These estimates are based on your personal data and the assumptions that you enter.</v>
      </c>
      <c r="CT69" s="29" t="s">
        <v>727</v>
      </c>
      <c r="CU69" s="478" t="s">
        <v>142</v>
      </c>
      <c r="CV69" s="474">
        <v>0</v>
      </c>
      <c r="CW69" s="474"/>
      <c r="CX69" s="474"/>
      <c r="CY69" s="474" t="s">
        <v>143</v>
      </c>
      <c r="CZ69" s="474" t="s">
        <v>144</v>
      </c>
      <c r="DA69" s="474" t="s">
        <v>2676</v>
      </c>
      <c r="DB69" s="475" t="s">
        <v>145</v>
      </c>
    </row>
    <row r="70" spans="1:106" ht="13.5" customHeight="1" x14ac:dyDescent="0.2">
      <c r="A70" s="469" t="s">
        <v>1996</v>
      </c>
      <c r="B70" s="95">
        <v>1</v>
      </c>
      <c r="C70" s="367" t="str">
        <f>iJobToken</f>
        <v/>
      </c>
      <c r="D70" s="470" t="str">
        <f>iJobToken</f>
        <v/>
      </c>
      <c r="F70" s="469"/>
      <c r="G70" s="367"/>
      <c r="H70" s="470"/>
      <c r="J70" s="345"/>
      <c r="K70" s="97"/>
      <c r="L70" s="464"/>
      <c r="M70"/>
      <c r="N70" s="345"/>
      <c r="O70" s="97"/>
      <c r="P70" s="464"/>
      <c r="Q70"/>
      <c r="R70" s="476">
        <f>IF(S69=-1,1,2)</f>
        <v>2</v>
      </c>
      <c r="S70" s="367">
        <f>IF(OR(iMHCalcType=2,iMHCalcType=3),1,0)</f>
        <v>0</v>
      </c>
      <c r="T70" s="367" t="str">
        <f>IF(iMHCalcType&lt;3,"Retirement Income At "&amp;TEXT(iDateBenComm,"mmmm d, yyyy"),"Are You Saving Enough For Retirement?")</f>
        <v>Retirement Income At December 1, 2006</v>
      </c>
      <c r="U70" s="367" t="s">
        <v>2232</v>
      </c>
      <c r="V70" s="470">
        <f>IF(OR(iMHCalcType=2,iMHCalcType=3),1,0)</f>
        <v>0</v>
      </c>
      <c r="X70" s="476" t="s">
        <v>1280</v>
      </c>
      <c r="Y70" s="367">
        <f>IF(SUM(N70:N70)&gt;0,1,0)</f>
        <v>0</v>
      </c>
      <c r="Z70" s="367"/>
      <c r="AA70" s="367" t="s">
        <v>2308</v>
      </c>
      <c r="AB70" s="31"/>
      <c r="AC70" s="367"/>
      <c r="AD70" s="367" t="s">
        <v>38</v>
      </c>
      <c r="AE70" s="367"/>
      <c r="AF70" s="470"/>
      <c r="AH70" s="469"/>
      <c r="AI70" s="367"/>
      <c r="AJ70" s="482"/>
      <c r="AL70" s="469" t="s">
        <v>2954</v>
      </c>
      <c r="AM70" s="482" t="str">
        <f>IF(iCurrentUICulture="en-US","&lt;&lt;b&gt;&gt;Age {x}&lt;&lt;/b&gt;&gt;{seriesDetail}&lt;&lt;br/&gt;&gt;","&lt;&lt;b&gt;&gt;{x} ans&lt;&lt;/b&gt;&gt;{seriesDetail}&lt;&lt;br/&gt;&gt;")</f>
        <v>&lt;&lt;b&gt;&gt;Age {x}&lt;&lt;/b&gt;&gt;{seriesDetail}&lt;&lt;br/&gt;&gt;</v>
      </c>
      <c r="AO70" s="469">
        <v>1</v>
      </c>
      <c r="AP70" s="367" t="s">
        <v>2741</v>
      </c>
      <c r="AQ70" s="367"/>
      <c r="AR70" s="367"/>
      <c r="AS70" s="367"/>
      <c r="AT70" s="479"/>
      <c r="AU70" s="367"/>
      <c r="AV70" s="479"/>
      <c r="AW70" s="480"/>
      <c r="AY70" s="469" t="s">
        <v>1979</v>
      </c>
      <c r="AZ70" s="367">
        <v>1</v>
      </c>
      <c r="BA70" s="367"/>
      <c r="BB70" s="367"/>
      <c r="BC70" s="367"/>
      <c r="BD70" s="367" t="s">
        <v>3022</v>
      </c>
      <c r="BE70" s="367" t="s">
        <v>3023</v>
      </c>
      <c r="BF70" s="470" t="s">
        <v>3023</v>
      </c>
      <c r="BH70" s="469" t="s">
        <v>3020</v>
      </c>
      <c r="BI70" s="367">
        <v>1</v>
      </c>
      <c r="BJ70" s="367"/>
      <c r="BK70" s="367">
        <v>200</v>
      </c>
      <c r="BL70" s="367">
        <v>400</v>
      </c>
      <c r="BM70" s="31">
        <v>90</v>
      </c>
      <c r="BN70" s="31">
        <v>125</v>
      </c>
      <c r="BO70" s="470">
        <v>125</v>
      </c>
      <c r="BQ70" s="469" t="s">
        <v>1979</v>
      </c>
      <c r="BR70" s="367"/>
      <c r="BS70" s="367"/>
      <c r="BT70" s="367" t="s">
        <v>148</v>
      </c>
      <c r="BU70" s="367" t="s">
        <v>148</v>
      </c>
      <c r="BV70" s="367" t="s">
        <v>148</v>
      </c>
      <c r="BW70" s="367" t="s">
        <v>148</v>
      </c>
      <c r="BX70" s="470" t="s">
        <v>148</v>
      </c>
      <c r="BZ70" s="469" t="s">
        <v>1979</v>
      </c>
      <c r="CA70" s="367">
        <v>1</v>
      </c>
      <c r="CB70" s="367"/>
      <c r="CC70" s="367"/>
      <c r="CD70" s="367" t="s">
        <v>149</v>
      </c>
      <c r="CE70" s="367"/>
      <c r="CF70" s="367"/>
      <c r="CG70" s="470"/>
      <c r="CI70" s="469" t="s">
        <v>845</v>
      </c>
      <c r="CJ70" s="367">
        <v>1</v>
      </c>
      <c r="CK70" s="367"/>
      <c r="CL70" s="367" t="s">
        <v>840</v>
      </c>
      <c r="CM70" s="367"/>
      <c r="CN70" s="367"/>
      <c r="CO70" s="470" t="s">
        <v>1716</v>
      </c>
      <c r="CQ70" s="469" t="s">
        <v>150</v>
      </c>
      <c r="CR70" s="367">
        <v>1</v>
      </c>
      <c r="CS70" s="470" t="s">
        <v>151</v>
      </c>
      <c r="CT70" s="29" t="s">
        <v>727</v>
      </c>
      <c r="CU70" s="469" t="s">
        <v>152</v>
      </c>
      <c r="CV70" s="367">
        <v>0</v>
      </c>
      <c r="CW70" s="367"/>
      <c r="CX70" s="367"/>
      <c r="CY70" s="367" t="s">
        <v>153</v>
      </c>
      <c r="CZ70" s="367" t="s">
        <v>730</v>
      </c>
      <c r="DA70" s="367" t="s">
        <v>154</v>
      </c>
      <c r="DB70" s="470" t="s">
        <v>145</v>
      </c>
    </row>
    <row r="71" spans="1:106" ht="13.5" thickBot="1" x14ac:dyDescent="0.25">
      <c r="A71" s="469" t="s">
        <v>2152</v>
      </c>
      <c r="B71" s="95">
        <v>1</v>
      </c>
      <c r="C71" s="367">
        <v>0</v>
      </c>
      <c r="D71" s="470"/>
      <c r="F71" s="471"/>
      <c r="G71" s="236"/>
      <c r="H71" s="472"/>
      <c r="J71" s="435"/>
      <c r="K71" s="436"/>
      <c r="L71" s="465"/>
      <c r="M71"/>
      <c r="N71" s="435"/>
      <c r="O71" s="436"/>
      <c r="P71" s="465"/>
      <c r="Q71"/>
      <c r="R71" s="476">
        <f>R70+1</f>
        <v>3</v>
      </c>
      <c r="S71" s="367">
        <f>IF(AND(Y69=0,iMHCalcType=2),1,0)</f>
        <v>0</v>
      </c>
      <c r="T71" s="367" t="s">
        <v>156</v>
      </c>
      <c r="U71" s="367" t="s">
        <v>2232</v>
      </c>
      <c r="V71" s="470">
        <v>0</v>
      </c>
      <c r="X71" s="476">
        <v>1</v>
      </c>
      <c r="Y71" s="367">
        <f>IF(AND(Y69=0,iMHCalcType=1),1,0)</f>
        <v>1</v>
      </c>
      <c r="Z71" s="367"/>
      <c r="AA71" s="367" t="s">
        <v>600</v>
      </c>
      <c r="AB71" s="31" t="s">
        <v>139</v>
      </c>
      <c r="AC71" s="367" t="s">
        <v>833</v>
      </c>
      <c r="AD71" s="367" t="s">
        <v>140</v>
      </c>
      <c r="AE71" s="31"/>
      <c r="AF71" s="470" t="s">
        <v>3023</v>
      </c>
      <c r="AH71" s="469"/>
      <c r="AI71" s="367"/>
      <c r="AJ71" s="482"/>
      <c r="AL71" s="469"/>
      <c r="AM71" s="482"/>
      <c r="AO71" s="469">
        <v>1</v>
      </c>
      <c r="AP71" s="367" t="s">
        <v>2742</v>
      </c>
      <c r="AQ71" s="367"/>
      <c r="AR71" s="367"/>
      <c r="AS71" s="367"/>
      <c r="AT71" s="479"/>
      <c r="AU71" s="367"/>
      <c r="AV71" s="479"/>
      <c r="AW71" s="481"/>
      <c r="AY71" s="469" t="s">
        <v>1997</v>
      </c>
      <c r="AZ71" s="367">
        <v>1</v>
      </c>
      <c r="BA71" s="367"/>
      <c r="BB71" s="367"/>
      <c r="BC71" s="367"/>
      <c r="BD71" s="367"/>
      <c r="BE71" s="367"/>
      <c r="BF71" s="470"/>
      <c r="BH71" s="469" t="s">
        <v>1991</v>
      </c>
      <c r="BI71" s="367">
        <v>1</v>
      </c>
      <c r="BJ71" s="367" t="s">
        <v>1991</v>
      </c>
      <c r="BK71" s="367" t="s">
        <v>1724</v>
      </c>
      <c r="BL71" s="367" t="s">
        <v>1151</v>
      </c>
      <c r="BM71" s="367" t="s">
        <v>1725</v>
      </c>
      <c r="BN71" s="367" t="s">
        <v>1035</v>
      </c>
      <c r="BO71" s="470" t="s">
        <v>1255</v>
      </c>
      <c r="BQ71" s="469" t="s">
        <v>1991</v>
      </c>
      <c r="BR71" s="367">
        <v>1</v>
      </c>
      <c r="BS71" s="367" t="s">
        <v>1991</v>
      </c>
      <c r="BT71" s="367" t="s">
        <v>160</v>
      </c>
      <c r="BU71" s="367" t="s">
        <v>161</v>
      </c>
      <c r="BV71" s="367" t="s">
        <v>1709</v>
      </c>
      <c r="BW71" s="367" t="s">
        <v>1710</v>
      </c>
      <c r="BX71" s="470" t="s">
        <v>1711</v>
      </c>
      <c r="BZ71" s="469" t="s">
        <v>1991</v>
      </c>
      <c r="CA71" s="367">
        <v>1</v>
      </c>
      <c r="CB71" s="367" t="s">
        <v>1991</v>
      </c>
      <c r="CC71" s="367"/>
      <c r="CD71" s="367" t="s">
        <v>1712</v>
      </c>
      <c r="CE71" s="367" t="s">
        <v>1713</v>
      </c>
      <c r="CF71" s="367" t="s">
        <v>1714</v>
      </c>
      <c r="CG71" s="470" t="s">
        <v>1715</v>
      </c>
      <c r="CI71" s="469" t="s">
        <v>1991</v>
      </c>
      <c r="CJ71" s="367">
        <v>1</v>
      </c>
      <c r="CK71" s="367" t="s">
        <v>1991</v>
      </c>
      <c r="CL71" s="367" t="s">
        <v>1721</v>
      </c>
      <c r="CM71" s="367" t="s">
        <v>1231</v>
      </c>
      <c r="CN71" s="367" t="s">
        <v>1232</v>
      </c>
      <c r="CO71" s="470"/>
      <c r="CQ71" s="469" t="s">
        <v>1717</v>
      </c>
      <c r="CR71" s="367">
        <v>1</v>
      </c>
      <c r="CS71" s="470" t="s">
        <v>1718</v>
      </c>
      <c r="CT71" s="29" t="s">
        <v>727</v>
      </c>
      <c r="CU71" s="469"/>
      <c r="CV71" s="367"/>
      <c r="CW71" s="367"/>
      <c r="CX71" s="367"/>
      <c r="CY71" s="367"/>
      <c r="CZ71" s="367"/>
      <c r="DA71" s="367"/>
      <c r="DB71" s="470"/>
    </row>
    <row r="72" spans="1:106" ht="13.5" thickBot="1" x14ac:dyDescent="0.25">
      <c r="A72" s="410" t="s">
        <v>35</v>
      </c>
      <c r="B72" s="411"/>
      <c r="C72" s="411"/>
      <c r="D72" s="412"/>
      <c r="J72"/>
      <c r="K72"/>
      <c r="L72"/>
      <c r="M72"/>
      <c r="Q72"/>
      <c r="R72" s="476">
        <f>R71+1</f>
        <v>4</v>
      </c>
      <c r="S72" s="367">
        <f>IF(AND(Y69=0,iMHCalcType=2),1,0)</f>
        <v>0</v>
      </c>
      <c r="T72" s="367" t="s">
        <v>1719</v>
      </c>
      <c r="U72" s="31" t="s">
        <v>2232</v>
      </c>
      <c r="V72" s="470">
        <v>0</v>
      </c>
      <c r="X72" s="476">
        <v>1</v>
      </c>
      <c r="Y72" s="367">
        <f>Y71</f>
        <v>1</v>
      </c>
      <c r="Z72" s="367"/>
      <c r="AA72" s="367" t="str">
        <f>AA71</f>
        <v>Payment Options</v>
      </c>
      <c r="AB72" s="367" t="str">
        <f>AB71</f>
        <v>Based upon the assumptions that you entered we have &lt;&lt;b&gt;&gt;estimated&lt;&lt;/b&gt;&gt; the benefit payable to you from the Retirement Plan.  The table below outlines the benefit payable in the various optional forms offered by the plan</v>
      </c>
      <c r="AC72" s="367" t="str">
        <f>AC71</f>
        <v>payment-options</v>
      </c>
      <c r="AD72" s="367" t="str">
        <f>AD71</f>
        <v>table</v>
      </c>
      <c r="AE72" s="31"/>
      <c r="AF72" s="470" t="s">
        <v>3025</v>
      </c>
      <c r="AH72" s="469"/>
      <c r="AI72" s="367"/>
      <c r="AJ72" s="480"/>
      <c r="AL72" s="469"/>
      <c r="AM72" s="480"/>
      <c r="AO72" s="469">
        <v>1</v>
      </c>
      <c r="AP72" s="367" t="s">
        <v>2743</v>
      </c>
      <c r="AQ72" s="367"/>
      <c r="AR72" s="367"/>
      <c r="AS72" s="367"/>
      <c r="AT72" s="479"/>
      <c r="AU72" s="367"/>
      <c r="AV72" s="479"/>
      <c r="AW72" s="481"/>
      <c r="AY72" s="469" t="s">
        <v>3017</v>
      </c>
      <c r="AZ72" s="31">
        <v>0</v>
      </c>
      <c r="BA72" s="367"/>
      <c r="BB72" s="367"/>
      <c r="BC72" s="367"/>
      <c r="BD72" s="367">
        <v>12</v>
      </c>
      <c r="BE72" s="367">
        <v>6</v>
      </c>
      <c r="BF72" s="470">
        <v>6</v>
      </c>
      <c r="BH72" s="469" t="s">
        <v>159</v>
      </c>
      <c r="BI72" s="367">
        <v>1</v>
      </c>
      <c r="BJ72" s="367"/>
      <c r="BK72" s="31" t="str">
        <f>RBLBenCalc!AK34</f>
        <v>Lump Sum</v>
      </c>
      <c r="BL72" s="367" t="str">
        <f>"This option will pay a single lump sum payment of "&amp;TEXT(BN72,"$#,##0.00")&amp;" on "&amp;TEXT(iDateBenComm,"mmmm d, yyyy")&amp;" in lieu of monthly payments.  This payment will represent a complete settlement of your plan benefits and no other payments will be due."</f>
        <v>This option will pay a single lump sum payment of $443,367.79 on December 1, 2006 in lieu of monthly payments.  This payment will represent a complete settlement of your plan benefits and no other payments will be due.</v>
      </c>
      <c r="BM72" s="483" t="str">
        <f>RBLBenCalc!AM34</f>
        <v>n/a</v>
      </c>
      <c r="BN72" s="484">
        <f>RBLBenCalc!AN34</f>
        <v>443367.79</v>
      </c>
      <c r="BO72" s="485" t="str">
        <f>RBLBenCalc!AO34</f>
        <v>n/a</v>
      </c>
      <c r="BQ72" s="469" t="str">
        <f>BH72</f>
        <v>ls</v>
      </c>
      <c r="BR72" s="367">
        <v>1</v>
      </c>
      <c r="BS72" s="367"/>
      <c r="BT72" s="367" t="str">
        <f>BK72</f>
        <v>Lump Sum</v>
      </c>
      <c r="BU72" s="370" t="str">
        <f>IF($BN$72&lt;=5000,BN72,"n/a")</f>
        <v>n/a</v>
      </c>
      <c r="BV72" s="371" t="e">
        <f>CE73</f>
        <v>#REF!</v>
      </c>
      <c r="BW72" s="371" t="s">
        <v>1730</v>
      </c>
      <c r="BX72" s="487" t="e">
        <f>SUM(BU72:BW72)</f>
        <v>#REF!</v>
      </c>
      <c r="BZ72" s="469" t="s">
        <v>1720</v>
      </c>
      <c r="CA72" s="367">
        <f>IF(CF72=0,0,1)</f>
        <v>1</v>
      </c>
      <c r="CB72" s="367"/>
      <c r="CC72" s="367"/>
      <c r="CD72" s="367" t="s">
        <v>161</v>
      </c>
      <c r="CE72" s="488" t="s">
        <v>1730</v>
      </c>
      <c r="CF72" s="488">
        <f>1000</f>
        <v>1000</v>
      </c>
      <c r="CG72" s="489" t="e">
        <f>ROUND(CF72/$CF$76,2)</f>
        <v>#REF!</v>
      </c>
      <c r="CI72" s="469" t="s">
        <v>1237</v>
      </c>
      <c r="CJ72" s="367">
        <v>1</v>
      </c>
      <c r="CK72" s="367"/>
      <c r="CL72" s="367" t="s">
        <v>1238</v>
      </c>
      <c r="CM72" s="490">
        <v>55591</v>
      </c>
      <c r="CN72" s="490">
        <v>47365</v>
      </c>
      <c r="CO72" s="487"/>
      <c r="CQ72" s="469" t="s">
        <v>1233</v>
      </c>
      <c r="CR72" s="367">
        <v>1</v>
      </c>
      <c r="CS72" s="470" t="str">
        <f>"Although " &amp; company.name &amp; " expects to continue the plans described on this site indefinitely, " &amp; company.name &amp; " reserves the right to amend, modify or discontinue the plans at any time. Any inconsistency between the terms of this document or any verbal representation and the plan documents will be governed by the plan documents."</f>
        <v>Although Company Name expects to continue the plans described on this site indefinitely, Company Name reserves the right to amend, modify or discontinue the plans at any time. Any inconsistency between the terms of this document or any verbal representation and the plan documents will be governed by the plan documents.</v>
      </c>
      <c r="CT72" s="29" t="s">
        <v>727</v>
      </c>
      <c r="CU72" s="471"/>
      <c r="CV72" s="236"/>
      <c r="CW72" s="236"/>
      <c r="CX72" s="236"/>
      <c r="CY72" s="236"/>
      <c r="CZ72" s="236"/>
      <c r="DA72" s="236"/>
      <c r="DB72" s="472"/>
    </row>
    <row r="73" spans="1:106" ht="13.5" customHeight="1" x14ac:dyDescent="0.2">
      <c r="A73" s="571" t="s">
        <v>2157</v>
      </c>
      <c r="B73" s="95">
        <v>1</v>
      </c>
      <c r="C73" s="492" t="str">
        <f>IF(iMHCalcType=1,"Estimate Results",IF(iMHCalcType=2,"Total Retirement Results",IF(iMHCalcType=3,"Planning Results",IF(iMHCalcType=4,"Statement Results","Modeling Results"))))</f>
        <v>Estimate Results</v>
      </c>
      <c r="D73" s="507"/>
      <c r="E73" s="29" t="s">
        <v>727</v>
      </c>
      <c r="J73"/>
      <c r="K73"/>
      <c r="L73"/>
      <c r="M73"/>
      <c r="N73"/>
      <c r="O73"/>
      <c r="P73"/>
      <c r="Q73"/>
      <c r="R73" s="476"/>
      <c r="S73" s="367"/>
      <c r="T73" s="367"/>
      <c r="U73" s="367"/>
      <c r="V73" s="470"/>
      <c r="X73" s="476">
        <v>1</v>
      </c>
      <c r="Y73" s="367">
        <f>IF(AND(Y69=0,iMHCalcType&lt;3),0,1)</f>
        <v>0</v>
      </c>
      <c r="Z73" s="367"/>
      <c r="AA73" s="367"/>
      <c r="AB73" s="31" t="e">
        <f>RBLProjection!G10</f>
        <v>#REF!</v>
      </c>
      <c r="AC73" s="367"/>
      <c r="AD73" s="367" t="s">
        <v>147</v>
      </c>
      <c r="AE73" s="367"/>
      <c r="AF73" s="470"/>
      <c r="AH73" s="469"/>
      <c r="AI73" s="367"/>
      <c r="AJ73" s="470"/>
      <c r="AL73" s="469"/>
      <c r="AM73" s="470"/>
      <c r="AO73" s="469">
        <v>1</v>
      </c>
      <c r="AP73" s="367">
        <v>1</v>
      </c>
      <c r="AQ73" s="367"/>
      <c r="AR73" s="367"/>
      <c r="AS73" s="367"/>
      <c r="AT73" s="479"/>
      <c r="AU73" s="367"/>
      <c r="AV73" s="479"/>
      <c r="AW73" s="482"/>
      <c r="AY73" s="469" t="s">
        <v>3018</v>
      </c>
      <c r="AZ73" s="31">
        <v>0</v>
      </c>
      <c r="BA73" s="367"/>
      <c r="BB73" s="367"/>
      <c r="BC73" s="367"/>
      <c r="BD73" s="367"/>
      <c r="BE73" s="367"/>
      <c r="BF73" s="470"/>
      <c r="BH73" s="469" t="s">
        <v>325</v>
      </c>
      <c r="BI73" s="367">
        <v>1</v>
      </c>
      <c r="BJ73" s="367"/>
      <c r="BK73" s="31" t="str">
        <f>RBLBenCalc!AK35</f>
        <v>Lifetime Annuity</v>
      </c>
      <c r="BL73" s="367" t="str">
        <f>"This option will pay "&amp;TEXT(BN73,"$#,##0.00")&amp;" monthly commencing "&amp;TEXT(iDateBenComm,"mmmm d, yyyy")&amp;" and continue for as long as you live.  Payments will cease upon your death.  No payments will be made to any spouse or beneficiary."</f>
        <v>This option will pay $1,000.00 monthly commencing December 1, 2006 and continue for as long as you live.  Payments will cease upon your death.  No payments will be made to any spouse or beneficiary.</v>
      </c>
      <c r="BM73" s="43">
        <f>RBLBenCalc!AM35</f>
        <v>1</v>
      </c>
      <c r="BN73" s="484">
        <f>RBLBenCalc!AN35</f>
        <v>1000</v>
      </c>
      <c r="BO73" s="485" t="str">
        <f>RBLBenCalc!AO35</f>
        <v>n/a</v>
      </c>
      <c r="BQ73" s="469" t="str">
        <f>BH73</f>
        <v>lo</v>
      </c>
      <c r="BR73" s="367">
        <v>1</v>
      </c>
      <c r="BS73" s="367"/>
      <c r="BT73" s="367" t="str">
        <f>BK73</f>
        <v>Lifetime Annuity</v>
      </c>
      <c r="BU73" s="371">
        <f>IF($BN$72&gt;5000,BN73,"n/a")</f>
        <v>1000</v>
      </c>
      <c r="BV73" s="371" t="e">
        <f>CF73</f>
        <v>#REF!</v>
      </c>
      <c r="BW73" s="371" t="e">
        <f>CF74</f>
        <v>#REF!</v>
      </c>
      <c r="BX73" s="487" t="e">
        <f>SUM(BU73:BW73)</f>
        <v>#REF!</v>
      </c>
      <c r="BZ73" s="469" t="s">
        <v>1236</v>
      </c>
      <c r="CA73" s="367" t="e">
        <f>IF(CF73=0,0,1)</f>
        <v>#REF!</v>
      </c>
      <c r="CB73" s="367"/>
      <c r="CC73" s="367"/>
      <c r="CD73" s="367" t="s">
        <v>545</v>
      </c>
      <c r="CE73" s="488" t="e">
        <f>RBLProjection!#REF!+RBLProjection!#REF!</f>
        <v>#REF!</v>
      </c>
      <c r="CF73" s="488" t="e">
        <f>ROUND((RBLProjection!#REF!+RBLProjection!#REF!)/12,0)</f>
        <v>#REF!</v>
      </c>
      <c r="CG73" s="489" t="e">
        <f>ROUND(CF73/$CF$76,2)</f>
        <v>#REF!</v>
      </c>
      <c r="CI73" s="469" t="s">
        <v>1242</v>
      </c>
      <c r="CJ73" s="367">
        <v>1</v>
      </c>
      <c r="CK73" s="367"/>
      <c r="CL73" s="367" t="s">
        <v>1243</v>
      </c>
      <c r="CM73" s="490">
        <v>0</v>
      </c>
      <c r="CN73" s="490">
        <v>0</v>
      </c>
      <c r="CO73" s="487"/>
      <c r="CQ73" s="469"/>
      <c r="CR73" s="367"/>
      <c r="CS73" s="470"/>
      <c r="CV73" s="29"/>
      <c r="CW73" s="29"/>
      <c r="CX73" s="29"/>
      <c r="CY73" s="29"/>
      <c r="CZ73" s="29"/>
      <c r="DA73" s="29"/>
      <c r="DB73" s="29"/>
    </row>
    <row r="74" spans="1:106" ht="13.5" thickBot="1" x14ac:dyDescent="0.25">
      <c r="A74" s="571" t="s">
        <v>2156</v>
      </c>
      <c r="B74" s="572">
        <v>1</v>
      </c>
      <c r="C74" s="573" t="str">
        <f>"Using the &lt;&lt;a href=""javascript:ToggleInputs(true);""&gt;&gt;assumptions you entered&lt;&lt;/a&gt;&gt;, the following " &amp; IF(iMHCalcType=1,"estimate results were",IF(iMHCalcType=4,"statement was", "modeling results were")) &amp; " generated." &amp; IF(SUM(S69:S74)&gt;1,"  Click each link to view the results.","")</f>
        <v>Using the &lt;&lt;a href="javascript:ToggleInputs(true);"&gt;&gt;assumptions you entered&lt;&lt;/a&gt;&gt;, the following estimate results were generated.</v>
      </c>
      <c r="D74" s="574" t="str">
        <f>"Using the assumptions you entered, the following " &amp; IF(iMHCalcType=1,"estimate results were",IF(iMHCalcType=4,"statement was", "modeling results were")) &amp; " generated." &amp; IF(SUM(S69:S74)&gt;1,"  Click each link to view the results.","")</f>
        <v>Using the assumptions you entered, the following estimate results were generated.</v>
      </c>
      <c r="E74" s="29" t="s">
        <v>727</v>
      </c>
      <c r="J74"/>
      <c r="K74"/>
      <c r="L74"/>
      <c r="M74"/>
      <c r="N74"/>
      <c r="O74"/>
      <c r="P74"/>
      <c r="Q74"/>
      <c r="R74" s="477"/>
      <c r="S74" s="236"/>
      <c r="T74" s="236"/>
      <c r="U74" s="236"/>
      <c r="V74" s="472"/>
      <c r="X74" s="476">
        <v>1</v>
      </c>
      <c r="Y74" s="367">
        <f>IF(AND(Y69=0,iMHCalcType&lt;2),0,1)</f>
        <v>0</v>
      </c>
      <c r="Z74" s="367"/>
      <c r="AA74" s="367"/>
      <c r="AB74" s="367"/>
      <c r="AC74" s="367" t="s">
        <v>157</v>
      </c>
      <c r="AD74" s="367" t="s">
        <v>158</v>
      </c>
      <c r="AE74" s="367"/>
      <c r="AF74" s="470"/>
      <c r="AH74" s="471"/>
      <c r="AI74" s="236"/>
      <c r="AJ74" s="472"/>
      <c r="AL74" s="471"/>
      <c r="AM74" s="472"/>
      <c r="AO74" s="469">
        <v>1</v>
      </c>
      <c r="AP74" s="367">
        <v>1</v>
      </c>
      <c r="AQ74" s="367"/>
      <c r="AR74" s="367"/>
      <c r="AS74" s="367"/>
      <c r="AT74" s="479"/>
      <c r="AU74" s="367"/>
      <c r="AV74" s="479"/>
      <c r="AW74" s="482"/>
      <c r="AY74" s="469" t="s">
        <v>3021</v>
      </c>
      <c r="AZ74" s="31">
        <v>0</v>
      </c>
      <c r="BA74" s="367"/>
      <c r="BB74" s="367"/>
      <c r="BC74" s="367"/>
      <c r="BD74" s="367"/>
      <c r="BE74" s="31"/>
      <c r="BF74" s="470"/>
      <c r="BH74" s="469" t="s">
        <v>1235</v>
      </c>
      <c r="BI74" s="367">
        <v>1</v>
      </c>
      <c r="BJ74" s="367"/>
      <c r="BK74" s="31" t="str">
        <f>RBLBenCalc!AK36</f>
        <v>100% Joint &amp; Survivor</v>
      </c>
      <c r="BL74" s="367" t="str">
        <f>"This option will pay "&amp;TEXT(BN74,"$#,##0.00")&amp;" monthly commencing "&amp;TEXT(iDateBenComm,"mmmm d, yyyy")&amp;" and continue for as long as you live.  Should your spouse survive you, monthly payments of "&amp;TEXT(BO74,"$#,##0.00")&amp;" will continue to be paid to your spouse for his/her remaining lifetime."</f>
        <v>This option will pay $800.00 monthly commencing December 1, 2006 and continue for as long as you live.  Should your spouse survive you, monthly payments of $800.00 will continue to be paid to your spouse for his/her remaining lifetime.</v>
      </c>
      <c r="BM74" s="43">
        <f>RBLBenCalc!AM36</f>
        <v>0.8</v>
      </c>
      <c r="BN74" s="484">
        <f>RBLBenCalc!AN36</f>
        <v>800</v>
      </c>
      <c r="BO74" s="486">
        <f>RBLBenCalc!AO36</f>
        <v>800</v>
      </c>
      <c r="BQ74" s="469" t="str">
        <f>BH74</f>
        <v>ca100</v>
      </c>
      <c r="BR74" s="367">
        <v>1</v>
      </c>
      <c r="BS74" s="367"/>
      <c r="BT74" s="367" t="str">
        <f>BK74</f>
        <v>100% Joint &amp; Survivor</v>
      </c>
      <c r="BU74" s="371">
        <f>IF($BN$72&gt;5000,BN74,"n/a")</f>
        <v>800</v>
      </c>
      <c r="BV74" s="371" t="s">
        <v>1730</v>
      </c>
      <c r="BW74" s="371" t="s">
        <v>1730</v>
      </c>
      <c r="BX74" s="487">
        <f>SUM(BU74:BW74)</f>
        <v>800</v>
      </c>
      <c r="BZ74" s="469" t="s">
        <v>1241</v>
      </c>
      <c r="CA74" s="367" t="e">
        <f>IF(CF74=0,0,1)</f>
        <v>#REF!</v>
      </c>
      <c r="CB74" s="367"/>
      <c r="CC74" s="367"/>
      <c r="CD74" s="367" t="s">
        <v>1710</v>
      </c>
      <c r="CE74" s="488" t="s">
        <v>1730</v>
      </c>
      <c r="CF74" s="488" t="e">
        <f>ROUND(RBLProjection!#REF!/12,0)</f>
        <v>#REF!</v>
      </c>
      <c r="CG74" s="489" t="e">
        <f>ROUND(CF74/$CF$76,2)</f>
        <v>#REF!</v>
      </c>
      <c r="CI74" s="469" t="s">
        <v>1251</v>
      </c>
      <c r="CJ74" s="367">
        <v>1</v>
      </c>
      <c r="CK74" s="367"/>
      <c r="CL74" s="367" t="s">
        <v>1252</v>
      </c>
      <c r="CM74" s="490">
        <v>0</v>
      </c>
      <c r="CN74" s="490">
        <v>12617</v>
      </c>
      <c r="CO74" s="470" t="s">
        <v>1242</v>
      </c>
      <c r="CQ74" s="471"/>
      <c r="CR74" s="236"/>
      <c r="CS74" s="472"/>
      <c r="CV74" s="29"/>
      <c r="CW74" s="29"/>
      <c r="CX74" s="29"/>
      <c r="CY74" s="29"/>
      <c r="CZ74" s="29"/>
      <c r="DA74" s="29"/>
      <c r="DB74" s="29"/>
    </row>
    <row r="75" spans="1:106" ht="13.5" customHeight="1" x14ac:dyDescent="0.2">
      <c r="A75" s="571" t="s">
        <v>2154</v>
      </c>
      <c r="B75" s="95">
        <v>0</v>
      </c>
      <c r="C75" s="575"/>
      <c r="D75" s="576"/>
      <c r="E75" s="29" t="s">
        <v>727</v>
      </c>
      <c r="J75"/>
      <c r="K75"/>
      <c r="L75"/>
      <c r="M75"/>
      <c r="N75"/>
      <c r="O75"/>
      <c r="P75"/>
      <c r="Q75"/>
      <c r="X75" s="476">
        <v>1</v>
      </c>
      <c r="Y75" s="367">
        <f>IF(AND(Y69=0,iMHCalcType&lt;3),0,1)</f>
        <v>0</v>
      </c>
      <c r="Z75" s="367"/>
      <c r="AA75" s="367"/>
      <c r="AB75" s="367"/>
      <c r="AC75" s="367" t="s">
        <v>835</v>
      </c>
      <c r="AD75" s="367" t="s">
        <v>140</v>
      </c>
      <c r="AE75" s="367"/>
      <c r="AF75" s="470"/>
      <c r="AO75" s="469"/>
      <c r="AP75" s="367"/>
      <c r="AQ75" s="367"/>
      <c r="AR75" s="367"/>
      <c r="AS75" s="367"/>
      <c r="AT75" s="367"/>
      <c r="AU75" s="367"/>
      <c r="AV75" s="367"/>
      <c r="AW75" s="470"/>
      <c r="AY75" s="469" t="s">
        <v>3019</v>
      </c>
      <c r="AZ75" s="31">
        <v>0</v>
      </c>
      <c r="BA75" s="367"/>
      <c r="BB75" s="367"/>
      <c r="BC75" s="367"/>
      <c r="BD75" s="367"/>
      <c r="BE75" s="31"/>
      <c r="BF75" s="470"/>
      <c r="BH75" s="469" t="s">
        <v>1240</v>
      </c>
      <c r="BI75" s="367">
        <v>1</v>
      </c>
      <c r="BJ75" s="367"/>
      <c r="BK75" s="31" t="str">
        <f>RBLBenCalc!AK37</f>
        <v>75% Joint &amp; Survivor</v>
      </c>
      <c r="BL75" s="367" t="str">
        <f>"This option will pay "&amp;TEXT(BN75,"$#,##0.00")&amp;" monthly commencing "&amp;TEXT(iDateBenComm,"mmmm d, yyyy")&amp;" and continue for as long as you live.  Should your spouse survive you, monthly payments of "&amp;TEXT(BO75,"$#,##0.00")&amp;" will continue to be paid to your spouse for his/her remaining lifetime."</f>
        <v>This option will pay $850.00 monthly commencing December 1, 2006 and continue for as long as you live.  Should your spouse survive you, monthly payments of $637.50 will continue to be paid to your spouse for his/her remaining lifetime.</v>
      </c>
      <c r="BM75" s="43">
        <f>RBLBenCalc!AM37</f>
        <v>0.85</v>
      </c>
      <c r="BN75" s="484">
        <f>RBLBenCalc!AN37</f>
        <v>850</v>
      </c>
      <c r="BO75" s="486">
        <f>RBLBenCalc!AO37</f>
        <v>637.5</v>
      </c>
      <c r="BQ75" s="469" t="str">
        <f>BH75</f>
        <v>ca75</v>
      </c>
      <c r="BR75" s="367">
        <v>1</v>
      </c>
      <c r="BS75" s="367"/>
      <c r="BT75" s="367" t="str">
        <f>BK75</f>
        <v>75% Joint &amp; Survivor</v>
      </c>
      <c r="BU75" s="371">
        <f>IF($BN$72&gt;5000,BN75,"n/a")</f>
        <v>850</v>
      </c>
      <c r="BV75" s="371" t="s">
        <v>1730</v>
      </c>
      <c r="BW75" s="371" t="s">
        <v>1730</v>
      </c>
      <c r="BX75" s="487">
        <f>SUM(BU75:BW75)</f>
        <v>850</v>
      </c>
      <c r="BZ75" s="469" t="s">
        <v>1248</v>
      </c>
      <c r="CA75" s="367">
        <v>1</v>
      </c>
      <c r="CB75" s="367"/>
      <c r="CC75" s="367" t="s">
        <v>1249</v>
      </c>
      <c r="CD75" s="367" t="s">
        <v>1250</v>
      </c>
      <c r="CE75" s="488" t="s">
        <v>1730</v>
      </c>
      <c r="CF75" s="488" t="e">
        <f>SUM(CF72:CF74)</f>
        <v>#REF!</v>
      </c>
      <c r="CG75" s="489" t="e">
        <f>ROUND(CF75/$CF$76,2)</f>
        <v>#REF!</v>
      </c>
      <c r="CI75" s="469" t="s">
        <v>56</v>
      </c>
      <c r="CJ75" s="367">
        <v>1</v>
      </c>
      <c r="CK75" s="367"/>
      <c r="CL75" s="367" t="s">
        <v>57</v>
      </c>
      <c r="CM75" s="490">
        <v>7570</v>
      </c>
      <c r="CN75" s="490">
        <v>7570</v>
      </c>
      <c r="CO75" s="470" t="s">
        <v>1242</v>
      </c>
      <c r="CV75" s="29"/>
      <c r="CW75" s="29"/>
      <c r="CX75" s="29"/>
      <c r="CY75" s="29"/>
      <c r="CZ75" s="29"/>
      <c r="DA75" s="29"/>
      <c r="DB75" s="29"/>
    </row>
    <row r="76" spans="1:106" ht="13.5" thickBot="1" x14ac:dyDescent="0.25">
      <c r="A76" s="571" t="s">
        <v>2155</v>
      </c>
      <c r="B76" s="95">
        <v>1</v>
      </c>
      <c r="C76" s="575" t="str">
        <f>IF(iMHCalcType=2,"&lt;&lt;b&gt;&gt;Are you saving enough for retirement?&lt;&lt;/b&gt;&gt; After you review your results, &lt;&lt;a href=""btr:postback(lnkPlanner)""&gt;&gt;click here&lt;&lt;/a&gt;&gt; to find out.",IF(iMHCalcType=3,"&lt;&lt;a href=""btr:postback(lnkModeler)""&gt;&gt;Click here&lt;&lt;/a&gt;&gt; to recalculate Total Retirement.",""))</f>
        <v/>
      </c>
      <c r="D76" s="576"/>
      <c r="E76" s="29" t="s">
        <v>727</v>
      </c>
      <c r="J76"/>
      <c r="K76"/>
      <c r="L76"/>
      <c r="M76"/>
      <c r="N76"/>
      <c r="O76"/>
      <c r="P76"/>
      <c r="Q76"/>
      <c r="X76" s="476">
        <v>1</v>
      </c>
      <c r="Y76" s="367">
        <f>IF(AND(Y69=0,iMHCalcType=2),1,0)</f>
        <v>0</v>
      </c>
      <c r="Z76" s="367"/>
      <c r="AA76" s="367" t="str">
        <f>"Optional Benefits payable at "&amp;TEXT(iDateBenComm,"mmmm d, yyyy")</f>
        <v>Optional Benefits payable at December 1, 2006</v>
      </c>
      <c r="AB76" s="367" t="str">
        <f>"Based on a date of termination of "&amp;TEXT(iDateTerm,"mmmm d, yyyy")&amp;" and a date of retirement of "&amp;TEXT(iDateBenComm,"mmmm d, yyyy")&amp;" you have the following benefit options:"</f>
        <v>Based on a date of termination of August 1, 2006 and a date of retirement of December 1, 2006 you have the following benefit options:</v>
      </c>
      <c r="AC76" s="367" t="s">
        <v>834</v>
      </c>
      <c r="AD76" s="367" t="s">
        <v>140</v>
      </c>
      <c r="AE76" s="367"/>
      <c r="AF76" s="470"/>
      <c r="AO76" s="471"/>
      <c r="AP76" s="236"/>
      <c r="AQ76" s="236"/>
      <c r="AR76" s="236"/>
      <c r="AS76" s="236"/>
      <c r="AT76" s="236"/>
      <c r="AU76" s="236"/>
      <c r="AV76" s="236"/>
      <c r="AW76" s="472"/>
      <c r="AY76" s="469" t="s">
        <v>3020</v>
      </c>
      <c r="AZ76" s="31">
        <v>0</v>
      </c>
      <c r="BA76" s="367"/>
      <c r="BB76" s="367"/>
      <c r="BC76" s="367"/>
      <c r="BD76" s="367"/>
      <c r="BE76" s="31">
        <v>300</v>
      </c>
      <c r="BF76" s="470">
        <v>100</v>
      </c>
      <c r="BH76" s="469" t="s">
        <v>1247</v>
      </c>
      <c r="BI76" s="367">
        <v>1</v>
      </c>
      <c r="BJ76" s="367"/>
      <c r="BK76" s="31" t="str">
        <f>RBLBenCalc!AK38</f>
        <v>50% Joint &amp; Survivor</v>
      </c>
      <c r="BL76" s="367" t="str">
        <f>"This option will pay "&amp;TEXT(BN76,"$#,##0.00")&amp;" monthly commencing "&amp;TEXT(iDateBenComm,"mmmm d, yyyy")&amp;" and continue for as long as you live.  Should your spouse survive you, monthly payments of "&amp;TEXT(BO76,"$#,##0.00")&amp;" will continue to be paid to your spouse for his/her remaining lifetime."</f>
        <v>This option will pay $900.00 monthly commencing December 1, 2006 and continue for as long as you live.  Should your spouse survive you, monthly payments of $450.00 will continue to be paid to your spouse for his/her remaining lifetime.</v>
      </c>
      <c r="BM76" s="43">
        <f>RBLBenCalc!AM38</f>
        <v>0.9</v>
      </c>
      <c r="BN76" s="484">
        <f>RBLBenCalc!AN38</f>
        <v>900</v>
      </c>
      <c r="BO76" s="486">
        <f>RBLBenCalc!AO38</f>
        <v>450</v>
      </c>
      <c r="BQ76" s="469" t="str">
        <f>BH76</f>
        <v>ca50</v>
      </c>
      <c r="BR76" s="367">
        <v>1</v>
      </c>
      <c r="BS76" s="367"/>
      <c r="BT76" s="367" t="str">
        <f>BK76</f>
        <v>50% Joint &amp; Survivor</v>
      </c>
      <c r="BU76" s="371">
        <f>IF($BN$72&gt;5000,BN76,"n/a")</f>
        <v>900</v>
      </c>
      <c r="BV76" s="371" t="s">
        <v>1730</v>
      </c>
      <c r="BW76" s="371" t="s">
        <v>1730</v>
      </c>
      <c r="BX76" s="487">
        <f>SUM(BU76:BW76)</f>
        <v>900</v>
      </c>
      <c r="BZ76" s="469" t="s">
        <v>54</v>
      </c>
      <c r="CA76" s="367">
        <v>1</v>
      </c>
      <c r="CB76" s="367"/>
      <c r="CC76" s="367"/>
      <c r="CD76" s="367" t="s">
        <v>55</v>
      </c>
      <c r="CE76" s="488"/>
      <c r="CF76" s="488" t="e">
        <f>ROUND(RBLProjection!#REF!/12,0)</f>
        <v>#REF!</v>
      </c>
      <c r="CG76" s="489" t="e">
        <f>ROUND(CF76/$CF$76,2)</f>
        <v>#REF!</v>
      </c>
      <c r="CI76" s="469" t="s">
        <v>60</v>
      </c>
      <c r="CJ76" s="367">
        <v>1</v>
      </c>
      <c r="CK76" s="367"/>
      <c r="CL76" s="367" t="s">
        <v>61</v>
      </c>
      <c r="CM76" s="490">
        <v>7570</v>
      </c>
      <c r="CN76" s="490">
        <v>20187</v>
      </c>
      <c r="CO76" s="470" t="s">
        <v>1242</v>
      </c>
      <c r="CV76" s="29"/>
      <c r="CW76" s="29"/>
      <c r="CX76" s="29"/>
      <c r="CY76" s="29"/>
      <c r="CZ76" s="29"/>
      <c r="DA76" s="29"/>
      <c r="DB76" s="29"/>
    </row>
    <row r="77" spans="1:106" x14ac:dyDescent="0.2">
      <c r="A77" s="571" t="s">
        <v>2158</v>
      </c>
      <c r="B77" s="95">
        <v>1</v>
      </c>
      <c r="C77" s="575" t="s">
        <v>2159</v>
      </c>
      <c r="D77" s="576"/>
      <c r="E77" s="31" t="s">
        <v>727</v>
      </c>
      <c r="J77"/>
      <c r="K77"/>
      <c r="L77"/>
      <c r="M77"/>
      <c r="N77"/>
      <c r="O77"/>
      <c r="P77"/>
      <c r="Q77"/>
      <c r="X77" s="476">
        <v>2</v>
      </c>
      <c r="Y77" s="367">
        <f>IF(AND(Y69=0,iMHCalcType=2),1,0)</f>
        <v>0</v>
      </c>
      <c r="Z77" s="367"/>
      <c r="AA77" s="367"/>
      <c r="AB77" s="367" t="str">
        <f>IF(iMHCalcType&lt;3,"The chart and tables below reflect the assumptions you entered. Specifically a date of termination of "&amp;TEXT(iDateTerm,"mmmm d, yyyy")&amp;" and a date of retirement of "&amp;TEXT(iDateBenComm,"mmmm d, yyyy")&amp;F5,"The chart and table below show the results of the scenario and assumptions you entered")</f>
        <v>The chart and tables below reflect the assumptions you entered. Specifically a date of termination of August 1, 2006 and a date of retirement of December 1, 2006</v>
      </c>
      <c r="AC77" s="367" t="s">
        <v>1239</v>
      </c>
      <c r="AD77" s="367" t="s">
        <v>158</v>
      </c>
      <c r="AE77" s="367"/>
      <c r="AF77" s="470"/>
      <c r="AO77" s="29" t="s">
        <v>2744</v>
      </c>
      <c r="AY77" s="469" t="s">
        <v>1991</v>
      </c>
      <c r="AZ77" s="367">
        <v>1</v>
      </c>
      <c r="BA77" s="367" t="s">
        <v>1991</v>
      </c>
      <c r="BB77" s="367"/>
      <c r="BC77" s="367"/>
      <c r="BD77" s="367"/>
      <c r="BE77" s="367" t="s">
        <v>544</v>
      </c>
      <c r="BF77" s="470"/>
      <c r="BH77" s="469"/>
      <c r="BI77" s="367"/>
      <c r="BJ77" s="367"/>
      <c r="BK77" s="367"/>
      <c r="BL77" s="367"/>
      <c r="BM77" s="367"/>
      <c r="BN77" s="367"/>
      <c r="BO77" s="470"/>
      <c r="BQ77" s="469"/>
      <c r="BR77" s="367"/>
      <c r="BS77" s="367"/>
      <c r="BT77" s="367"/>
      <c r="BU77" s="367"/>
      <c r="BV77" s="367"/>
      <c r="BW77" s="367"/>
      <c r="BX77" s="470"/>
      <c r="BZ77" s="469"/>
      <c r="CA77" s="367"/>
      <c r="CB77" s="367"/>
      <c r="CC77" s="367"/>
      <c r="CD77" s="367"/>
      <c r="CE77" s="367"/>
      <c r="CF77" s="367"/>
      <c r="CG77" s="470"/>
      <c r="CI77" s="469" t="s">
        <v>63</v>
      </c>
      <c r="CJ77" s="367">
        <v>1</v>
      </c>
      <c r="CK77" s="367"/>
      <c r="CL77" s="367" t="s">
        <v>1710</v>
      </c>
      <c r="CM77" s="490">
        <v>21600</v>
      </c>
      <c r="CN77" s="490">
        <v>21600</v>
      </c>
      <c r="CO77" s="470"/>
      <c r="CV77" s="29"/>
      <c r="CW77" s="29"/>
      <c r="CX77" s="29"/>
      <c r="CY77" s="29"/>
      <c r="CZ77" s="29"/>
      <c r="DA77" s="29"/>
      <c r="DB77" s="29"/>
    </row>
    <row r="78" spans="1:106" ht="13.5" thickBot="1" x14ac:dyDescent="0.25">
      <c r="A78" s="469"/>
      <c r="B78" s="95"/>
      <c r="C78" s="367"/>
      <c r="D78" s="470"/>
      <c r="E78" s="29" t="s">
        <v>727</v>
      </c>
      <c r="J78"/>
      <c r="K78"/>
      <c r="L78"/>
      <c r="M78"/>
      <c r="N78"/>
      <c r="O78"/>
      <c r="P78"/>
      <c r="Q78"/>
      <c r="X78" s="476">
        <v>3</v>
      </c>
      <c r="Y78" s="367">
        <f>IF(AND(Y69=0,iMHCalcType=2),1,0)</f>
        <v>0</v>
      </c>
      <c r="Z78" s="367">
        <v>0</v>
      </c>
      <c r="AA78" s="367" t="s">
        <v>1244</v>
      </c>
      <c r="AB78" s="367" t="s">
        <v>2675</v>
      </c>
      <c r="AC78" s="367" t="s">
        <v>1245</v>
      </c>
      <c r="AD78" s="367" t="s">
        <v>158</v>
      </c>
      <c r="AE78" s="367"/>
      <c r="AF78" s="470"/>
      <c r="AY78" s="469" t="s">
        <v>1234</v>
      </c>
      <c r="AZ78" s="367">
        <v>1</v>
      </c>
      <c r="BA78" s="367"/>
      <c r="BB78" s="367"/>
      <c r="BC78" s="367"/>
      <c r="BD78" s="367"/>
      <c r="BE78" s="479" t="e">
        <f>RBLInput!#REF!</f>
        <v>#REF!</v>
      </c>
      <c r="BF78" s="480">
        <f>RBLInput!D22</f>
        <v>0</v>
      </c>
      <c r="BH78" s="471"/>
      <c r="BI78" s="236"/>
      <c r="BJ78" s="236"/>
      <c r="BK78" s="236"/>
      <c r="BL78" s="236"/>
      <c r="BM78" s="236"/>
      <c r="BN78" s="236"/>
      <c r="BO78" s="472"/>
      <c r="BQ78" s="471"/>
      <c r="BR78" s="236"/>
      <c r="BS78" s="236"/>
      <c r="BT78" s="236"/>
      <c r="BU78" s="236"/>
      <c r="BV78" s="236"/>
      <c r="BW78" s="236"/>
      <c r="BX78" s="472"/>
      <c r="BZ78" s="471"/>
      <c r="CA78" s="236"/>
      <c r="CB78" s="236"/>
      <c r="CC78" s="236"/>
      <c r="CD78" s="236"/>
      <c r="CE78" s="236"/>
      <c r="CF78" s="236"/>
      <c r="CG78" s="472"/>
      <c r="CI78" s="469" t="s">
        <v>65</v>
      </c>
      <c r="CJ78" s="367">
        <v>1</v>
      </c>
      <c r="CK78" s="367"/>
      <c r="CL78" s="367" t="s">
        <v>66</v>
      </c>
      <c r="CM78" s="490">
        <v>0</v>
      </c>
      <c r="CN78" s="490">
        <v>0</v>
      </c>
      <c r="CO78" s="470"/>
      <c r="CV78" s="29"/>
      <c r="CW78" s="29"/>
      <c r="CX78" s="29"/>
      <c r="CY78" s="29"/>
      <c r="CZ78" s="29"/>
      <c r="DA78" s="29"/>
      <c r="DB78" s="29"/>
    </row>
    <row r="79" spans="1:106" x14ac:dyDescent="0.2">
      <c r="A79" s="469"/>
      <c r="B79" s="95"/>
      <c r="C79" s="367"/>
      <c r="D79" s="470"/>
      <c r="E79" s="29" t="s">
        <v>727</v>
      </c>
      <c r="J79"/>
      <c r="K79"/>
      <c r="L79"/>
      <c r="M79"/>
      <c r="N79"/>
      <c r="O79"/>
      <c r="P79"/>
      <c r="Q79"/>
      <c r="X79" s="476" t="s">
        <v>1280</v>
      </c>
      <c r="Y79" s="367">
        <f>IF(Y$69=0,1,0)</f>
        <v>1</v>
      </c>
      <c r="Z79" s="367"/>
      <c r="AA79" s="367" t="s">
        <v>51</v>
      </c>
      <c r="AB79" s="367"/>
      <c r="AC79" s="367" t="s">
        <v>837</v>
      </c>
      <c r="AD79" s="367" t="s">
        <v>52</v>
      </c>
      <c r="AE79" s="367"/>
      <c r="AF79" s="470"/>
      <c r="AY79" s="469" t="s">
        <v>389</v>
      </c>
      <c r="AZ79" s="367">
        <v>1</v>
      </c>
      <c r="BA79" s="367"/>
      <c r="BB79" s="367"/>
      <c r="BC79" s="367"/>
      <c r="BD79" s="367"/>
      <c r="BE79" s="479" t="e">
        <f>RBLInput!#REF!</f>
        <v>#REF!</v>
      </c>
      <c r="BF79" s="481">
        <f>RBLInput!D11</f>
        <v>38930</v>
      </c>
      <c r="CI79" s="469" t="s">
        <v>67</v>
      </c>
      <c r="CJ79" s="367">
        <v>1</v>
      </c>
      <c r="CK79" s="367"/>
      <c r="CL79" s="367" t="s">
        <v>1250</v>
      </c>
      <c r="CM79" s="490">
        <v>84761</v>
      </c>
      <c r="CN79" s="490">
        <v>89152</v>
      </c>
      <c r="CO79" s="470"/>
      <c r="CV79" s="29"/>
      <c r="CW79" s="29"/>
      <c r="CX79" s="29"/>
      <c r="CY79" s="29"/>
      <c r="CZ79" s="29"/>
      <c r="DA79" s="29"/>
      <c r="DB79" s="29"/>
    </row>
    <row r="80" spans="1:106" x14ac:dyDescent="0.2">
      <c r="A80" s="469"/>
      <c r="B80" s="95"/>
      <c r="C80" s="367"/>
      <c r="D80" s="470"/>
      <c r="J80"/>
      <c r="K80"/>
      <c r="L80"/>
      <c r="M80"/>
      <c r="N80"/>
      <c r="O80"/>
      <c r="P80"/>
      <c r="Q80"/>
      <c r="X80" s="476" t="s">
        <v>1280</v>
      </c>
      <c r="Y80" s="367">
        <f>IF(Y$69=0,1,0)</f>
        <v>1</v>
      </c>
      <c r="Z80" s="367"/>
      <c r="AA80" s="367" t="s">
        <v>58</v>
      </c>
      <c r="AB80" s="367"/>
      <c r="AC80" s="367" t="s">
        <v>832</v>
      </c>
      <c r="AD80" s="367" t="s">
        <v>140</v>
      </c>
      <c r="AE80" s="367"/>
      <c r="AF80" s="470"/>
      <c r="AY80" s="469" t="s">
        <v>1246</v>
      </c>
      <c r="AZ80" s="367">
        <v>1</v>
      </c>
      <c r="BA80" s="367"/>
      <c r="BB80" s="367"/>
      <c r="BC80" s="367"/>
      <c r="BD80" s="367"/>
      <c r="BE80" s="479" t="e">
        <f>RBLInput!#REF!</f>
        <v>#REF!</v>
      </c>
      <c r="BF80" s="481">
        <f>RBLInput!D12</f>
        <v>39052</v>
      </c>
      <c r="CI80" s="469"/>
      <c r="CJ80" s="367"/>
      <c r="CK80" s="367"/>
      <c r="CL80" s="367"/>
      <c r="CM80" s="367"/>
      <c r="CN80" s="367"/>
      <c r="CO80" s="470"/>
      <c r="CV80" s="29"/>
      <c r="CW80" s="29"/>
      <c r="CX80" s="29"/>
      <c r="CY80" s="29"/>
      <c r="CZ80" s="29"/>
      <c r="DA80" s="29"/>
      <c r="DB80" s="29"/>
    </row>
    <row r="81" spans="1:106" ht="13.5" thickBot="1" x14ac:dyDescent="0.25">
      <c r="A81" s="469"/>
      <c r="B81" s="95"/>
      <c r="C81" s="367"/>
      <c r="D81" s="470"/>
      <c r="J81"/>
      <c r="K81"/>
      <c r="L81"/>
      <c r="M81"/>
      <c r="N81"/>
      <c r="O81"/>
      <c r="P81"/>
      <c r="Q81"/>
      <c r="X81" s="469"/>
      <c r="Y81" s="367"/>
      <c r="Z81" s="367"/>
      <c r="AA81" s="367"/>
      <c r="AB81" s="367"/>
      <c r="AC81" s="367"/>
      <c r="AD81" s="367"/>
      <c r="AE81" s="367"/>
      <c r="AF81" s="470"/>
      <c r="AY81" s="469" t="s">
        <v>53</v>
      </c>
      <c r="AZ81" s="367">
        <v>1</v>
      </c>
      <c r="BA81" s="367"/>
      <c r="BB81" s="367"/>
      <c r="BC81" s="367"/>
      <c r="BD81" s="367"/>
      <c r="BE81" s="479" t="e">
        <f>RBLInput!#REF!</f>
        <v>#REF!</v>
      </c>
      <c r="BF81" s="482">
        <f>RBLInput!D26</f>
        <v>0</v>
      </c>
      <c r="CI81" s="471"/>
      <c r="CJ81" s="236"/>
      <c r="CK81" s="236"/>
      <c r="CL81" s="236"/>
      <c r="CM81" s="236"/>
      <c r="CN81" s="236"/>
      <c r="CO81" s="472"/>
      <c r="CV81" s="29"/>
      <c r="CW81" s="29"/>
      <c r="CX81" s="29"/>
      <c r="CY81" s="29"/>
      <c r="CZ81" s="29"/>
      <c r="DA81" s="29"/>
      <c r="DB81" s="29"/>
    </row>
    <row r="82" spans="1:106" ht="13.5" thickBot="1" x14ac:dyDescent="0.25">
      <c r="A82" s="469"/>
      <c r="B82" s="95"/>
      <c r="C82" s="367"/>
      <c r="D82" s="470"/>
      <c r="J82"/>
      <c r="K82"/>
      <c r="L82"/>
      <c r="M82"/>
      <c r="N82"/>
      <c r="O82"/>
      <c r="P82"/>
      <c r="Q82"/>
      <c r="X82" s="471"/>
      <c r="Y82" s="236"/>
      <c r="Z82" s="236"/>
      <c r="AA82" s="236"/>
      <c r="AB82" s="236"/>
      <c r="AC82" s="236"/>
      <c r="AD82" s="236"/>
      <c r="AE82" s="236"/>
      <c r="AF82" s="472"/>
      <c r="AY82" s="469" t="s">
        <v>59</v>
      </c>
      <c r="AZ82" s="367">
        <v>1</v>
      </c>
      <c r="BA82" s="367"/>
      <c r="BB82" s="367"/>
      <c r="BC82" s="367"/>
      <c r="BD82" s="367"/>
      <c r="BE82" s="479" t="e">
        <f>RBLInput!#REF!</f>
        <v>#REF!</v>
      </c>
      <c r="BF82" s="482">
        <f>RBLInput!D28</f>
        <v>0</v>
      </c>
      <c r="CV82" s="29"/>
      <c r="CW82" s="29"/>
      <c r="CX82" s="29"/>
      <c r="CY82" s="29"/>
      <c r="CZ82" s="29"/>
      <c r="DA82" s="29"/>
      <c r="DB82" s="29"/>
    </row>
    <row r="83" spans="1:106" ht="13.5" thickBot="1" x14ac:dyDescent="0.25">
      <c r="A83" s="471"/>
      <c r="B83" s="508"/>
      <c r="C83" s="236"/>
      <c r="D83" s="472"/>
      <c r="J83"/>
      <c r="K83"/>
      <c r="L83"/>
      <c r="M83"/>
      <c r="N83"/>
      <c r="O83"/>
      <c r="P83"/>
      <c r="Q83"/>
      <c r="AY83" s="469" t="s">
        <v>62</v>
      </c>
      <c r="AZ83" s="367">
        <v>1</v>
      </c>
      <c r="BA83" s="367"/>
      <c r="BB83" s="367"/>
      <c r="BC83" s="367"/>
      <c r="BD83" s="367"/>
      <c r="BE83" s="479" t="e">
        <f>RBLInput!#REF!</f>
        <v>#REF!</v>
      </c>
      <c r="BF83" s="482">
        <f>RBLInput!D29</f>
        <v>0</v>
      </c>
      <c r="CV83" s="29"/>
      <c r="CW83" s="29"/>
      <c r="CX83" s="29"/>
      <c r="CY83" s="29"/>
      <c r="CZ83" s="29"/>
      <c r="DA83" s="29"/>
      <c r="DB83" s="29"/>
    </row>
    <row r="84" spans="1:106" x14ac:dyDescent="0.2">
      <c r="J84"/>
      <c r="K84"/>
      <c r="L84"/>
      <c r="M84"/>
      <c r="N84"/>
      <c r="O84"/>
      <c r="P84"/>
      <c r="Q84"/>
      <c r="AY84" s="469" t="s">
        <v>64</v>
      </c>
      <c r="AZ84" s="367">
        <v>1</v>
      </c>
      <c r="BA84" s="367"/>
      <c r="BB84" s="367"/>
      <c r="BC84" s="367"/>
      <c r="BD84" s="367"/>
      <c r="BE84" s="479" t="e">
        <f>RBLInput!#REF!</f>
        <v>#REF!</v>
      </c>
      <c r="BF84" s="480">
        <f>RBLInput!D27</f>
        <v>0</v>
      </c>
      <c r="CV84" s="29"/>
      <c r="CW84" s="29"/>
      <c r="CX84" s="29"/>
      <c r="CY84" s="29"/>
      <c r="CZ84" s="29"/>
      <c r="DA84" s="29"/>
      <c r="DB84" s="29"/>
    </row>
    <row r="85" spans="1:106" x14ac:dyDescent="0.2">
      <c r="J85"/>
      <c r="K85"/>
      <c r="L85"/>
      <c r="M85"/>
      <c r="N85"/>
      <c r="O85"/>
      <c r="P85"/>
      <c r="Q85"/>
      <c r="AY85" s="469"/>
      <c r="AZ85" s="367"/>
      <c r="BA85" s="367"/>
      <c r="BB85" s="367"/>
      <c r="BC85" s="367"/>
      <c r="BD85" s="367"/>
      <c r="BE85" s="367"/>
      <c r="BF85" s="470"/>
      <c r="CV85" s="29"/>
      <c r="CW85" s="29"/>
      <c r="CX85" s="29"/>
      <c r="CY85" s="29"/>
      <c r="CZ85" s="29"/>
      <c r="DA85" s="29"/>
      <c r="DB85" s="29"/>
    </row>
    <row r="86" spans="1:106" ht="13.5" thickBot="1" x14ac:dyDescent="0.25">
      <c r="J86"/>
      <c r="K86"/>
      <c r="L86"/>
      <c r="M86"/>
      <c r="N86"/>
      <c r="O86"/>
      <c r="P86"/>
      <c r="Q86"/>
      <c r="AY86" s="471"/>
      <c r="AZ86" s="236"/>
      <c r="BA86" s="236"/>
      <c r="BB86" s="236"/>
      <c r="BC86" s="236"/>
      <c r="BD86" s="236"/>
      <c r="BE86" s="236"/>
      <c r="BF86" s="472"/>
      <c r="CV86" s="29"/>
      <c r="CW86" s="29"/>
      <c r="CX86" s="29"/>
      <c r="CY86" s="29"/>
      <c r="CZ86" s="29"/>
      <c r="DA86" s="29"/>
      <c r="DB86" s="29"/>
    </row>
    <row r="87" spans="1:106" x14ac:dyDescent="0.2">
      <c r="J87"/>
      <c r="K87"/>
      <c r="L87"/>
      <c r="M87"/>
      <c r="N87"/>
      <c r="O87"/>
      <c r="P87"/>
      <c r="Q87"/>
      <c r="CV87" s="29"/>
      <c r="CW87" s="29"/>
      <c r="CX87" s="29"/>
      <c r="CY87" s="29"/>
      <c r="CZ87" s="29"/>
      <c r="DA87" s="29"/>
      <c r="DB87" s="29"/>
    </row>
    <row r="88" spans="1:106" x14ac:dyDescent="0.2">
      <c r="J88"/>
      <c r="K88"/>
      <c r="L88"/>
      <c r="M88"/>
      <c r="N88"/>
      <c r="O88"/>
      <c r="P88"/>
      <c r="Q88"/>
      <c r="CV88" s="29"/>
      <c r="CW88" s="29"/>
      <c r="CX88" s="29"/>
      <c r="CY88" s="29"/>
      <c r="CZ88" s="29"/>
      <c r="DA88" s="29"/>
      <c r="DB88" s="29"/>
    </row>
    <row r="89" spans="1:106" x14ac:dyDescent="0.2">
      <c r="G89"/>
      <c r="H89"/>
      <c r="I89"/>
      <c r="J89"/>
      <c r="K89"/>
      <c r="L89"/>
      <c r="M89"/>
      <c r="Q89"/>
      <c r="CV89" s="29"/>
      <c r="CW89" s="29"/>
      <c r="CX89" s="29"/>
      <c r="CY89" s="29"/>
      <c r="CZ89" s="29"/>
      <c r="DA89" s="29"/>
      <c r="DB89" s="29"/>
    </row>
    <row r="90" spans="1:106" x14ac:dyDescent="0.2">
      <c r="G90"/>
      <c r="H90"/>
      <c r="I90"/>
      <c r="J90"/>
      <c r="K90"/>
      <c r="L90"/>
      <c r="M90"/>
      <c r="Q90"/>
      <c r="CV90" s="29"/>
      <c r="CW90" s="29"/>
      <c r="CX90" s="29"/>
      <c r="CY90" s="29"/>
      <c r="CZ90" s="29"/>
      <c r="DA90" s="29"/>
      <c r="DB90" s="29"/>
    </row>
    <row r="91" spans="1:106" x14ac:dyDescent="0.2">
      <c r="G91"/>
      <c r="H91"/>
      <c r="I91"/>
      <c r="J91"/>
      <c r="K91"/>
      <c r="L91"/>
      <c r="M91"/>
      <c r="Q91"/>
      <c r="CV91" s="29"/>
      <c r="CW91" s="29"/>
      <c r="CX91" s="29"/>
      <c r="CY91" s="29"/>
      <c r="CZ91" s="29"/>
      <c r="DA91" s="29"/>
      <c r="DB91" s="29"/>
    </row>
    <row r="92" spans="1:106" x14ac:dyDescent="0.2">
      <c r="G92"/>
      <c r="H92"/>
      <c r="I92"/>
      <c r="J92"/>
      <c r="K92"/>
      <c r="L92"/>
      <c r="M92"/>
      <c r="Q92"/>
      <c r="CV92" s="29"/>
      <c r="CW92" s="29"/>
      <c r="CX92" s="29"/>
      <c r="CY92" s="29"/>
      <c r="CZ92" s="29"/>
      <c r="DA92" s="29"/>
      <c r="DB92" s="29"/>
    </row>
    <row r="93" spans="1:106" x14ac:dyDescent="0.2">
      <c r="G93"/>
      <c r="H93"/>
      <c r="I93"/>
      <c r="J93"/>
      <c r="K93"/>
      <c r="L93"/>
      <c r="M93"/>
      <c r="Q93"/>
      <c r="CV93" s="29"/>
      <c r="CW93" s="29"/>
      <c r="CX93" s="29"/>
      <c r="CY93" s="29"/>
      <c r="CZ93" s="29"/>
      <c r="DA93" s="29"/>
      <c r="DB93" s="29"/>
    </row>
    <row r="94" spans="1:106" x14ac:dyDescent="0.2">
      <c r="G94"/>
      <c r="H94"/>
      <c r="I94"/>
      <c r="J94"/>
      <c r="K94"/>
      <c r="L94"/>
      <c r="M94"/>
      <c r="Q94"/>
      <c r="CV94" s="29"/>
      <c r="CW94" s="29"/>
      <c r="CX94" s="29"/>
      <c r="CY94" s="29"/>
      <c r="CZ94" s="29"/>
      <c r="DA94" s="29"/>
      <c r="DB94" s="29"/>
    </row>
    <row r="95" spans="1:106" x14ac:dyDescent="0.2">
      <c r="G95"/>
      <c r="H95"/>
      <c r="I95"/>
      <c r="J95"/>
      <c r="K95"/>
      <c r="L95"/>
      <c r="M95"/>
      <c r="Q95"/>
      <c r="CV95" s="29"/>
      <c r="CW95" s="29"/>
      <c r="CX95" s="29"/>
      <c r="CY95" s="29"/>
      <c r="CZ95" s="29"/>
      <c r="DA95" s="29"/>
      <c r="DB95" s="29"/>
    </row>
    <row r="96" spans="1:106" x14ac:dyDescent="0.2">
      <c r="G96"/>
      <c r="H96"/>
      <c r="I96"/>
      <c r="J96"/>
      <c r="K96"/>
      <c r="L96"/>
      <c r="M96"/>
      <c r="Q96"/>
      <c r="CV96" s="29"/>
      <c r="CW96" s="29"/>
      <c r="CX96" s="29"/>
      <c r="CY96" s="29"/>
      <c r="CZ96" s="29"/>
      <c r="DA96" s="29"/>
      <c r="DB96" s="29"/>
    </row>
    <row r="97" spans="7:106" x14ac:dyDescent="0.2">
      <c r="G97"/>
      <c r="H97"/>
      <c r="I97"/>
      <c r="J97"/>
      <c r="K97"/>
      <c r="L97"/>
      <c r="M97"/>
      <c r="Q97"/>
      <c r="CV97" s="29"/>
      <c r="CW97" s="29"/>
      <c r="CX97" s="29"/>
      <c r="CY97" s="29"/>
      <c r="CZ97" s="29"/>
      <c r="DA97" s="29"/>
      <c r="DB97" s="29"/>
    </row>
    <row r="98" spans="7:106" x14ac:dyDescent="0.2">
      <c r="G98"/>
      <c r="H98"/>
      <c r="I98"/>
      <c r="J98"/>
      <c r="K98"/>
      <c r="L98"/>
      <c r="M98"/>
      <c r="Q98"/>
      <c r="CV98" s="29"/>
      <c r="CW98" s="29"/>
      <c r="CX98" s="29"/>
      <c r="CY98" s="29"/>
      <c r="CZ98" s="29"/>
      <c r="DA98" s="29"/>
      <c r="DB98" s="29"/>
    </row>
    <row r="99" spans="7:106" x14ac:dyDescent="0.2">
      <c r="G99"/>
      <c r="H99"/>
      <c r="I99"/>
      <c r="J99"/>
      <c r="K99"/>
      <c r="L99"/>
      <c r="M99"/>
      <c r="Q99"/>
      <c r="CV99" s="29"/>
      <c r="CW99" s="29"/>
      <c r="CX99" s="29"/>
      <c r="CY99" s="29"/>
      <c r="CZ99" s="29"/>
      <c r="DA99" s="29"/>
      <c r="DB99" s="29"/>
    </row>
    <row r="100" spans="7:106" x14ac:dyDescent="0.2">
      <c r="G100"/>
      <c r="H100"/>
      <c r="I100"/>
      <c r="J100"/>
      <c r="K100"/>
      <c r="L100"/>
      <c r="M100"/>
      <c r="Q100"/>
      <c r="CV100" s="29"/>
      <c r="CW100" s="29"/>
      <c r="CX100" s="29"/>
      <c r="CY100" s="29"/>
      <c r="CZ100" s="29"/>
      <c r="DA100" s="29"/>
      <c r="DB100" s="29"/>
    </row>
    <row r="101" spans="7:106" x14ac:dyDescent="0.2">
      <c r="G101"/>
      <c r="H101"/>
      <c r="I101"/>
      <c r="J101"/>
      <c r="K101"/>
      <c r="L101"/>
      <c r="M101"/>
      <c r="Q101"/>
      <c r="CV101" s="29"/>
      <c r="CW101" s="29"/>
      <c r="CX101" s="29"/>
      <c r="CY101" s="29"/>
      <c r="CZ101" s="29"/>
      <c r="DA101" s="29"/>
      <c r="DB101" s="29"/>
    </row>
    <row r="102" spans="7:106" x14ac:dyDescent="0.2">
      <c r="G102"/>
      <c r="H102"/>
      <c r="I102"/>
      <c r="J102"/>
      <c r="K102"/>
      <c r="L102"/>
      <c r="M102"/>
      <c r="Q102"/>
      <c r="CV102" s="29"/>
      <c r="CW102" s="29"/>
      <c r="CX102" s="29"/>
      <c r="CY102" s="29"/>
      <c r="CZ102" s="29"/>
      <c r="DA102" s="29"/>
      <c r="DB102" s="29"/>
    </row>
    <row r="103" spans="7:106" x14ac:dyDescent="0.2">
      <c r="G103"/>
      <c r="H103"/>
      <c r="I103"/>
      <c r="J103"/>
      <c r="K103"/>
      <c r="L103"/>
      <c r="M103"/>
      <c r="Q103"/>
      <c r="CV103" s="29"/>
      <c r="CW103" s="29"/>
      <c r="CX103" s="29"/>
      <c r="CY103" s="29"/>
      <c r="CZ103" s="29"/>
      <c r="DA103" s="29"/>
      <c r="DB103" s="29"/>
    </row>
    <row r="104" spans="7:106" x14ac:dyDescent="0.2">
      <c r="G104"/>
      <c r="H104"/>
      <c r="I104"/>
      <c r="J104"/>
      <c r="K104"/>
      <c r="L104"/>
      <c r="M104"/>
      <c r="Q104"/>
      <c r="CV104" s="29"/>
      <c r="CW104" s="29"/>
      <c r="CX104" s="29"/>
      <c r="CY104" s="29"/>
      <c r="CZ104" s="29"/>
      <c r="DA104" s="29"/>
      <c r="DB104" s="29"/>
    </row>
    <row r="105" spans="7:106" x14ac:dyDescent="0.2">
      <c r="G105"/>
      <c r="H105"/>
      <c r="I105"/>
      <c r="J105"/>
      <c r="K105"/>
      <c r="L105"/>
      <c r="M105"/>
      <c r="Q105"/>
      <c r="CV105" s="29"/>
      <c r="CW105" s="29"/>
      <c r="CX105" s="29"/>
      <c r="CY105" s="29"/>
      <c r="CZ105" s="29"/>
      <c r="DA105" s="29"/>
      <c r="DB105" s="29"/>
    </row>
    <row r="106" spans="7:106" x14ac:dyDescent="0.2">
      <c r="G106"/>
      <c r="H106"/>
      <c r="I106"/>
      <c r="J106"/>
      <c r="K106"/>
      <c r="L106"/>
      <c r="M106"/>
      <c r="Q106"/>
      <c r="CV106" s="29"/>
      <c r="CW106" s="29"/>
      <c r="CX106" s="29"/>
      <c r="CY106" s="29"/>
      <c r="CZ106" s="29"/>
      <c r="DA106" s="29"/>
      <c r="DB106" s="29"/>
    </row>
    <row r="107" spans="7:106" x14ac:dyDescent="0.2">
      <c r="G107"/>
      <c r="H107"/>
      <c r="I107"/>
      <c r="J107"/>
      <c r="K107"/>
      <c r="L107"/>
      <c r="M107"/>
      <c r="Q107"/>
      <c r="CV107" s="29"/>
      <c r="CW107" s="29"/>
      <c r="CX107" s="29"/>
      <c r="CY107" s="29"/>
      <c r="CZ107" s="29"/>
      <c r="DA107" s="29"/>
      <c r="DB107" s="29"/>
    </row>
    <row r="108" spans="7:106" x14ac:dyDescent="0.2">
      <c r="G108"/>
      <c r="H108"/>
      <c r="I108"/>
      <c r="J108"/>
      <c r="K108"/>
      <c r="L108"/>
      <c r="M108"/>
      <c r="Q108"/>
      <c r="CV108" s="29"/>
      <c r="CW108" s="29"/>
      <c r="CX108" s="29"/>
      <c r="CY108" s="29"/>
      <c r="CZ108" s="29"/>
      <c r="DA108" s="29"/>
      <c r="DB108" s="29"/>
    </row>
    <row r="109" spans="7:106" x14ac:dyDescent="0.2">
      <c r="G109"/>
      <c r="H109"/>
      <c r="I109"/>
      <c r="J109"/>
      <c r="K109"/>
      <c r="L109"/>
      <c r="M109"/>
      <c r="Q109"/>
      <c r="CV109" s="29"/>
      <c r="CW109" s="29"/>
      <c r="CX109" s="29"/>
      <c r="CY109" s="29"/>
      <c r="CZ109" s="29"/>
      <c r="DA109" s="29"/>
      <c r="DB109" s="29"/>
    </row>
    <row r="110" spans="7:106" x14ac:dyDescent="0.2">
      <c r="G110"/>
      <c r="H110"/>
      <c r="I110"/>
      <c r="J110"/>
      <c r="K110"/>
      <c r="L110"/>
      <c r="M110"/>
      <c r="Q110"/>
      <c r="CV110" s="29"/>
      <c r="CW110" s="29"/>
      <c r="CX110" s="29"/>
      <c r="CY110" s="29"/>
      <c r="CZ110" s="29"/>
      <c r="DA110" s="29"/>
      <c r="DB110" s="29"/>
    </row>
    <row r="111" spans="7:106" x14ac:dyDescent="0.2">
      <c r="G111"/>
      <c r="H111"/>
      <c r="I111"/>
      <c r="J111"/>
      <c r="K111"/>
      <c r="L111"/>
      <c r="M111"/>
      <c r="Q111"/>
      <c r="CV111" s="29"/>
      <c r="CW111" s="29"/>
      <c r="CX111" s="29"/>
      <c r="CY111" s="29"/>
      <c r="CZ111" s="29"/>
      <c r="DA111" s="29"/>
      <c r="DB111" s="29"/>
    </row>
    <row r="112" spans="7:106" x14ac:dyDescent="0.2">
      <c r="G112"/>
      <c r="H112"/>
      <c r="I112"/>
      <c r="J112"/>
      <c r="K112"/>
      <c r="L112"/>
      <c r="M112"/>
      <c r="Q112"/>
      <c r="CV112" s="29"/>
      <c r="CW112" s="29"/>
      <c r="CX112" s="29"/>
      <c r="CY112" s="29"/>
      <c r="CZ112" s="29"/>
      <c r="DA112" s="29"/>
      <c r="DB112" s="29"/>
    </row>
    <row r="113" spans="7:106" x14ac:dyDescent="0.2">
      <c r="G113"/>
      <c r="H113"/>
      <c r="I113"/>
      <c r="J113"/>
      <c r="K113"/>
      <c r="L113"/>
      <c r="M113"/>
      <c r="Q113"/>
      <c r="CV113" s="29"/>
      <c r="CW113" s="29"/>
      <c r="CX113" s="29"/>
      <c r="CY113" s="29"/>
      <c r="CZ113" s="29"/>
      <c r="DA113" s="29"/>
      <c r="DB113" s="29"/>
    </row>
    <row r="114" spans="7:106" x14ac:dyDescent="0.2">
      <c r="G114"/>
      <c r="H114"/>
      <c r="I114"/>
      <c r="J114"/>
      <c r="K114"/>
      <c r="L114"/>
      <c r="M114"/>
      <c r="Q114"/>
      <c r="CV114" s="29"/>
      <c r="CW114" s="29"/>
      <c r="CX114" s="29"/>
      <c r="CY114" s="29"/>
      <c r="CZ114" s="29"/>
      <c r="DA114" s="29"/>
      <c r="DB114" s="29"/>
    </row>
    <row r="115" spans="7:106" x14ac:dyDescent="0.2">
      <c r="G115"/>
      <c r="H115"/>
      <c r="I115"/>
      <c r="J115"/>
      <c r="K115"/>
      <c r="L115"/>
      <c r="M115"/>
      <c r="Q115"/>
      <c r="CV115" s="29"/>
      <c r="CW115" s="29"/>
      <c r="CX115" s="29"/>
      <c r="CY115" s="29"/>
      <c r="CZ115" s="29"/>
      <c r="DA115" s="29"/>
      <c r="DB115" s="29"/>
    </row>
    <row r="116" spans="7:106" x14ac:dyDescent="0.2">
      <c r="G116"/>
      <c r="H116"/>
      <c r="I116"/>
      <c r="J116"/>
      <c r="K116"/>
      <c r="L116"/>
      <c r="M116"/>
      <c r="Q116"/>
      <c r="CV116" s="29"/>
      <c r="CW116" s="29"/>
      <c r="CX116" s="29"/>
      <c r="CY116" s="29"/>
      <c r="CZ116" s="29"/>
      <c r="DA116" s="29"/>
      <c r="DB116" s="29"/>
    </row>
    <row r="117" spans="7:106" x14ac:dyDescent="0.2">
      <c r="G117"/>
      <c r="H117"/>
      <c r="I117"/>
      <c r="J117"/>
      <c r="K117"/>
      <c r="L117"/>
      <c r="M117"/>
      <c r="Q117"/>
      <c r="CV117" s="29"/>
      <c r="CW117" s="29"/>
      <c r="CX117" s="29"/>
      <c r="CY117" s="29"/>
      <c r="CZ117" s="29"/>
      <c r="DA117" s="29"/>
      <c r="DB117" s="29"/>
    </row>
    <row r="118" spans="7:106" x14ac:dyDescent="0.2">
      <c r="G118"/>
      <c r="H118"/>
      <c r="I118"/>
      <c r="J118"/>
      <c r="K118"/>
      <c r="L118"/>
      <c r="M118"/>
      <c r="Q118"/>
      <c r="CV118" s="29"/>
      <c r="CW118" s="29"/>
      <c r="CX118" s="29"/>
      <c r="CY118" s="29"/>
      <c r="CZ118" s="29"/>
      <c r="DA118" s="29"/>
      <c r="DB118" s="29"/>
    </row>
    <row r="119" spans="7:106" x14ac:dyDescent="0.2">
      <c r="G119"/>
      <c r="H119"/>
      <c r="I119"/>
      <c r="J119"/>
      <c r="K119"/>
      <c r="L119"/>
      <c r="M119"/>
      <c r="Q119"/>
      <c r="CV119" s="29"/>
      <c r="CW119" s="29"/>
      <c r="CX119" s="29"/>
      <c r="CY119" s="29"/>
      <c r="CZ119" s="29"/>
      <c r="DA119" s="29"/>
      <c r="DB119" s="29"/>
    </row>
    <row r="120" spans="7:106" x14ac:dyDescent="0.2">
      <c r="G120"/>
      <c r="H120"/>
      <c r="I120"/>
      <c r="J120"/>
      <c r="K120"/>
      <c r="L120"/>
      <c r="M120"/>
      <c r="Q120"/>
      <c r="CV120" s="29"/>
      <c r="CW120" s="29"/>
      <c r="CX120" s="29"/>
      <c r="CY120" s="29"/>
      <c r="CZ120" s="29"/>
      <c r="DA120" s="29"/>
      <c r="DB120" s="29"/>
    </row>
    <row r="121" spans="7:106" x14ac:dyDescent="0.2">
      <c r="G121"/>
      <c r="H121"/>
      <c r="I121"/>
      <c r="J121"/>
      <c r="K121"/>
      <c r="L121"/>
      <c r="M121"/>
      <c r="Q121"/>
      <c r="CV121" s="29"/>
      <c r="CW121" s="29"/>
      <c r="CX121" s="29"/>
      <c r="CY121" s="29"/>
      <c r="CZ121" s="29"/>
      <c r="DA121" s="29"/>
      <c r="DB121" s="29"/>
    </row>
    <row r="122" spans="7:106" x14ac:dyDescent="0.2">
      <c r="G122"/>
      <c r="H122"/>
      <c r="I122"/>
      <c r="J122"/>
      <c r="K122"/>
      <c r="L122"/>
      <c r="M122"/>
      <c r="Q122"/>
      <c r="CV122" s="29"/>
      <c r="CW122" s="29"/>
      <c r="CX122" s="29"/>
      <c r="CY122" s="29"/>
      <c r="CZ122" s="29"/>
      <c r="DA122" s="29"/>
      <c r="DB122" s="29"/>
    </row>
    <row r="123" spans="7:106" x14ac:dyDescent="0.2">
      <c r="G123"/>
      <c r="H123"/>
      <c r="I123"/>
      <c r="J123"/>
      <c r="K123"/>
      <c r="L123"/>
      <c r="M123"/>
      <c r="Q123"/>
      <c r="CV123" s="29"/>
      <c r="CW123" s="29"/>
      <c r="CX123" s="29"/>
      <c r="CY123" s="29"/>
      <c r="CZ123" s="29"/>
      <c r="DA123" s="29"/>
      <c r="DB123" s="29"/>
    </row>
    <row r="124" spans="7:106" x14ac:dyDescent="0.2">
      <c r="G124"/>
      <c r="H124"/>
      <c r="I124"/>
      <c r="J124"/>
      <c r="K124"/>
      <c r="L124"/>
      <c r="M124"/>
      <c r="Q124"/>
      <c r="CV124" s="29"/>
      <c r="CW124" s="29"/>
      <c r="CX124" s="29"/>
      <c r="CY124" s="29"/>
      <c r="CZ124" s="29"/>
      <c r="DA124" s="29"/>
      <c r="DB124" s="29"/>
    </row>
    <row r="125" spans="7:106" x14ac:dyDescent="0.2">
      <c r="G125"/>
      <c r="H125"/>
      <c r="I125"/>
      <c r="J125"/>
      <c r="K125"/>
      <c r="L125"/>
      <c r="M125"/>
      <c r="Q125"/>
      <c r="CV125" s="29"/>
      <c r="CW125" s="29"/>
      <c r="CX125" s="29"/>
      <c r="CY125" s="29"/>
      <c r="CZ125" s="29"/>
      <c r="DA125" s="29"/>
      <c r="DB125" s="29"/>
    </row>
    <row r="126" spans="7:106" x14ac:dyDescent="0.2">
      <c r="G126"/>
      <c r="H126"/>
      <c r="I126"/>
      <c r="J126"/>
      <c r="K126"/>
      <c r="L126"/>
      <c r="M126"/>
      <c r="Q126"/>
      <c r="CV126" s="29"/>
      <c r="CW126" s="29"/>
      <c r="CX126" s="29"/>
      <c r="CY126" s="29"/>
      <c r="CZ126" s="29"/>
      <c r="DA126" s="29"/>
      <c r="DB126" s="29"/>
    </row>
    <row r="127" spans="7:106" x14ac:dyDescent="0.2">
      <c r="G127"/>
      <c r="H127"/>
      <c r="I127"/>
      <c r="J127"/>
      <c r="K127"/>
      <c r="L127"/>
      <c r="M127"/>
      <c r="Q127"/>
      <c r="CV127" s="29"/>
      <c r="CW127" s="29"/>
      <c r="CX127" s="29"/>
      <c r="CY127" s="29"/>
      <c r="CZ127" s="29"/>
      <c r="DA127" s="29"/>
      <c r="DB127" s="29"/>
    </row>
    <row r="128" spans="7:106" x14ac:dyDescent="0.2">
      <c r="G128"/>
      <c r="H128"/>
      <c r="I128"/>
      <c r="J128"/>
      <c r="K128"/>
      <c r="L128"/>
      <c r="M128"/>
      <c r="Q128"/>
      <c r="CV128" s="29"/>
      <c r="CW128" s="29"/>
      <c r="CX128" s="29"/>
      <c r="CY128" s="29"/>
      <c r="CZ128" s="29"/>
      <c r="DA128" s="29"/>
      <c r="DB128" s="29"/>
    </row>
    <row r="129" spans="98:106" x14ac:dyDescent="0.2">
      <c r="CT129"/>
      <c r="CU129"/>
      <c r="DA129" s="29"/>
      <c r="DB129" s="29"/>
    </row>
    <row r="130" spans="98:106" x14ac:dyDescent="0.2">
      <c r="CT130"/>
      <c r="CU130"/>
      <c r="DA130" s="29"/>
      <c r="DB130" s="29"/>
    </row>
    <row r="131" spans="98:106" x14ac:dyDescent="0.2">
      <c r="CT131"/>
      <c r="CU131"/>
      <c r="DA131" s="29"/>
      <c r="DB131" s="29"/>
    </row>
    <row r="132" spans="98:106" x14ac:dyDescent="0.2">
      <c r="CT132"/>
      <c r="CU132"/>
      <c r="DA132" s="29"/>
      <c r="DB132" s="29"/>
    </row>
    <row r="133" spans="98:106" x14ac:dyDescent="0.2">
      <c r="CT133"/>
      <c r="CU133"/>
      <c r="DA133" s="29"/>
      <c r="DB133" s="29"/>
    </row>
    <row r="134" spans="98:106" x14ac:dyDescent="0.2">
      <c r="CT134"/>
      <c r="CU134"/>
      <c r="DA134" s="29"/>
      <c r="DB134" s="29"/>
    </row>
    <row r="135" spans="98:106" x14ac:dyDescent="0.2">
      <c r="CT135"/>
      <c r="CU135"/>
      <c r="DA135" s="29"/>
      <c r="DB135" s="29"/>
    </row>
    <row r="136" spans="98:106" x14ac:dyDescent="0.2">
      <c r="CT136"/>
      <c r="CU136"/>
      <c r="DA136" s="29"/>
      <c r="DB136" s="29"/>
    </row>
    <row r="137" spans="98:106" x14ac:dyDescent="0.2">
      <c r="CT137"/>
      <c r="CU137"/>
      <c r="DA137" s="29"/>
      <c r="DB137" s="29"/>
    </row>
    <row r="138" spans="98:106" x14ac:dyDescent="0.2">
      <c r="CT138"/>
      <c r="CU138"/>
      <c r="DA138" s="29"/>
      <c r="DB138" s="29"/>
    </row>
    <row r="139" spans="98:106" x14ac:dyDescent="0.2">
      <c r="CT139"/>
      <c r="CU139"/>
      <c r="DA139" s="29"/>
      <c r="DB139" s="29"/>
    </row>
    <row r="140" spans="98:106" x14ac:dyDescent="0.2">
      <c r="CT140"/>
      <c r="CU140"/>
      <c r="DA140" s="29"/>
      <c r="DB140" s="29"/>
    </row>
    <row r="141" spans="98:106" x14ac:dyDescent="0.2">
      <c r="CT141"/>
      <c r="CU141"/>
      <c r="DA141" s="29"/>
      <c r="DB141" s="29"/>
    </row>
    <row r="142" spans="98:106" x14ac:dyDescent="0.2">
      <c r="CT142"/>
      <c r="CU142"/>
      <c r="DA142" s="29"/>
      <c r="DB142" s="29"/>
    </row>
    <row r="143" spans="98:106" x14ac:dyDescent="0.2">
      <c r="CT143"/>
      <c r="CU143"/>
      <c r="DA143" s="29"/>
      <c r="DB143" s="29"/>
    </row>
    <row r="144" spans="98:106" x14ac:dyDescent="0.2">
      <c r="CT144"/>
      <c r="CU144"/>
      <c r="DA144" s="29"/>
      <c r="DB144" s="29"/>
    </row>
  </sheetData>
  <phoneticPr fontId="28" type="noConversion"/>
  <dataValidations count="1">
    <dataValidation type="list" allowBlank="1" showInputMessage="1" showErrorMessage="1" sqref="B4">
      <formula1>"ResultXml,FolderItem,Update,ReportData"</formula1>
    </dataValidation>
  </dataValidations>
  <pageMargins left="0.75" right="0.75" top="1" bottom="1" header="0.5" footer="0.5"/>
  <pageSetup orientation="portrait" horizontalDpi="4294967293" verticalDpi="4294967293"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BLBenCalc"/>
  <dimension ref="A1:CD112"/>
  <sheetViews>
    <sheetView workbookViewId="0">
      <pane ySplit="24" topLeftCell="A25" activePane="bottomLeft" state="frozen"/>
      <selection pane="bottomLeft" activeCell="A14" sqref="A14:A15"/>
    </sheetView>
  </sheetViews>
  <sheetFormatPr defaultRowHeight="12.75" x14ac:dyDescent="0.2"/>
  <cols>
    <col min="1" max="1" width="26.85546875" bestFit="1" customWidth="1"/>
    <col min="2" max="2" width="27" bestFit="1" customWidth="1"/>
    <col min="3" max="3" width="3" bestFit="1" customWidth="1"/>
    <col min="4" max="4" width="10" customWidth="1"/>
    <col min="5" max="5" width="10.5703125" bestFit="1" customWidth="1"/>
    <col min="6" max="6" width="4.5703125" customWidth="1"/>
    <col min="7" max="7" width="19.28515625" bestFit="1" customWidth="1"/>
    <col min="8" max="8" width="19" customWidth="1"/>
    <col min="9" max="9" width="8.5703125" bestFit="1" customWidth="1"/>
    <col min="10" max="10" width="5.28515625" bestFit="1" customWidth="1"/>
    <col min="11" max="11" width="8.5703125" bestFit="1" customWidth="1"/>
    <col min="12" max="12" width="3.28515625" bestFit="1" customWidth="1"/>
    <col min="13" max="13" width="18.85546875" bestFit="1" customWidth="1"/>
    <col min="14" max="14" width="5.5703125" customWidth="1"/>
    <col min="15" max="15" width="15" bestFit="1" customWidth="1"/>
    <col min="16" max="16" width="9.140625" customWidth="1"/>
    <col min="17" max="17" width="7" customWidth="1"/>
    <col min="18" max="18" width="11.5703125" customWidth="1"/>
    <col min="19" max="19" width="10.140625" customWidth="1"/>
    <col min="21" max="21" width="8.5703125" customWidth="1"/>
    <col min="22" max="22" width="16.28515625" customWidth="1"/>
    <col min="23" max="23" width="16.7109375" customWidth="1"/>
    <col min="24" max="24" width="6.5703125" bestFit="1" customWidth="1"/>
    <col min="25" max="25" width="9.28515625" customWidth="1"/>
    <col min="26" max="26" width="6.5703125" customWidth="1"/>
    <col min="27" max="27" width="7.140625" customWidth="1"/>
    <col min="28" max="28" width="12.7109375" bestFit="1" customWidth="1"/>
    <col min="29" max="30" width="8.28515625" customWidth="1"/>
    <col min="31" max="31" width="10.140625" bestFit="1" customWidth="1"/>
    <col min="32" max="32" width="10.5703125" bestFit="1" customWidth="1"/>
    <col min="33" max="33" width="11.7109375" customWidth="1"/>
    <col min="34" max="34" width="9" customWidth="1"/>
    <col min="35" max="35" width="9.5703125" customWidth="1"/>
    <col min="36" max="36" width="6.140625" customWidth="1"/>
    <col min="37" max="37" width="12.85546875" customWidth="1"/>
    <col min="38" max="38" width="11" customWidth="1"/>
    <col min="39" max="39" width="17.7109375" bestFit="1" customWidth="1"/>
    <col min="40" max="40" width="14.7109375" bestFit="1" customWidth="1"/>
    <col min="41" max="41" width="19" bestFit="1" customWidth="1"/>
    <col min="42" max="42" width="14.7109375" customWidth="1"/>
    <col min="44" max="44" width="4.42578125" customWidth="1"/>
    <col min="45" max="45" width="35.5703125" bestFit="1" customWidth="1"/>
    <col min="46" max="46" width="13.7109375" customWidth="1"/>
    <col min="47" max="47" width="5" bestFit="1" customWidth="1"/>
    <col min="48" max="48" width="7.7109375" customWidth="1"/>
    <col min="49" max="49" width="17.7109375" bestFit="1" customWidth="1"/>
    <col min="50" max="50" width="14.7109375" bestFit="1" customWidth="1"/>
    <col min="51" max="51" width="14.7109375" customWidth="1"/>
    <col min="52" max="52" width="19" bestFit="1" customWidth="1"/>
    <col min="53" max="53" width="12.140625" customWidth="1"/>
    <col min="54" max="54" width="11.85546875" customWidth="1"/>
    <col min="55" max="55" width="14.85546875" customWidth="1"/>
    <col min="56" max="56" width="11.85546875" bestFit="1" customWidth="1"/>
    <col min="57" max="57" width="13.7109375" bestFit="1" customWidth="1"/>
    <col min="58" max="58" width="13.7109375" customWidth="1"/>
    <col min="59" max="59" width="8.5703125" bestFit="1" customWidth="1"/>
    <col min="60" max="60" width="6.7109375" customWidth="1"/>
    <col min="61" max="61" width="9.28515625" bestFit="1" customWidth="1"/>
    <col min="62" max="62" width="9" customWidth="1"/>
    <col min="63" max="63" width="8.7109375" customWidth="1"/>
    <col min="64" max="64" width="37.140625" customWidth="1"/>
    <col min="65" max="65" width="28.140625" bestFit="1" customWidth="1"/>
    <col min="66" max="66" width="14" bestFit="1" customWidth="1"/>
    <col min="67" max="67" width="14.5703125" customWidth="1"/>
    <col min="68" max="68" width="3" bestFit="1" customWidth="1"/>
    <col min="70" max="72" width="5.5703125" bestFit="1" customWidth="1"/>
    <col min="73" max="73" width="14" bestFit="1" customWidth="1"/>
    <col min="74" max="74" width="3" customWidth="1"/>
    <col min="76" max="76" width="5.5703125" bestFit="1" customWidth="1"/>
    <col min="77" max="77" width="14" bestFit="1" customWidth="1"/>
    <col min="78" max="78" width="3" customWidth="1"/>
  </cols>
  <sheetData>
    <row r="1" spans="1:60" s="3" customFormat="1" ht="13.5" thickBot="1" x14ac:dyDescent="0.25">
      <c r="A1" s="33" t="s">
        <v>576</v>
      </c>
      <c r="B1" s="40"/>
      <c r="C1" s="40"/>
      <c r="D1" s="40"/>
      <c r="E1" s="40"/>
      <c r="F1" s="40"/>
      <c r="G1" s="40"/>
      <c r="H1" s="40"/>
      <c r="I1" s="40"/>
      <c r="J1" s="40"/>
      <c r="K1" s="40"/>
      <c r="L1" s="40"/>
      <c r="M1" s="40"/>
      <c r="N1" s="40"/>
      <c r="O1" s="40"/>
      <c r="P1" s="40"/>
      <c r="Q1" s="40"/>
      <c r="R1" s="40"/>
      <c r="S1" s="40"/>
    </row>
    <row r="2" spans="1:60" x14ac:dyDescent="0.2">
      <c r="A2" s="240" t="s">
        <v>1151</v>
      </c>
      <c r="B2" s="510" t="s">
        <v>508</v>
      </c>
      <c r="C2" s="510"/>
      <c r="D2" s="510"/>
      <c r="E2" s="510"/>
      <c r="F2" s="510"/>
      <c r="G2" s="510"/>
      <c r="H2" s="510"/>
      <c r="I2" s="510"/>
      <c r="J2" s="510"/>
      <c r="K2" s="510"/>
      <c r="L2" s="510"/>
      <c r="M2" s="510"/>
      <c r="N2" s="510"/>
      <c r="O2" s="510"/>
      <c r="P2" s="510"/>
      <c r="Q2" s="510"/>
      <c r="R2" s="510"/>
      <c r="S2" s="511"/>
    </row>
    <row r="3" spans="1:60" x14ac:dyDescent="0.2">
      <c r="A3" s="512" t="s">
        <v>509</v>
      </c>
      <c r="B3" s="9">
        <v>6</v>
      </c>
      <c r="C3" s="10"/>
      <c r="D3" s="10"/>
      <c r="E3" s="10"/>
      <c r="F3" s="10"/>
      <c r="G3" s="10"/>
      <c r="H3" s="10"/>
      <c r="I3" s="10"/>
      <c r="J3" s="10"/>
      <c r="K3" s="10"/>
      <c r="L3" s="10"/>
      <c r="M3" s="10"/>
      <c r="N3" s="10"/>
      <c r="O3" s="10"/>
      <c r="P3" s="10"/>
      <c r="Q3" s="10"/>
      <c r="R3" s="10"/>
      <c r="S3" s="438"/>
    </row>
    <row r="4" spans="1:60" x14ac:dyDescent="0.2">
      <c r="A4" s="136" t="s">
        <v>1149</v>
      </c>
      <c r="B4" s="516" t="s">
        <v>717</v>
      </c>
      <c r="C4" s="10"/>
      <c r="D4" s="10"/>
      <c r="E4" s="10"/>
      <c r="F4" s="10"/>
      <c r="G4" s="10"/>
      <c r="H4" s="10"/>
      <c r="I4" s="10"/>
      <c r="J4" s="10"/>
      <c r="K4" s="10"/>
      <c r="L4" s="10"/>
      <c r="M4" s="10"/>
      <c r="N4" s="10"/>
      <c r="O4" s="10"/>
      <c r="P4" s="10"/>
      <c r="Q4" s="10"/>
      <c r="R4" s="10"/>
      <c r="S4" s="438"/>
    </row>
    <row r="5" spans="1:60" s="29" customFormat="1" x14ac:dyDescent="0.2">
      <c r="A5" s="362" t="s">
        <v>718</v>
      </c>
      <c r="B5" s="12" t="str">
        <f>IF(iMHACalcType=1, "retire", IF(iMHACalcType=4, "death", IF(iMHACalcType=3, "termvested", "estimate")))</f>
        <v>estimate</v>
      </c>
      <c r="C5" s="517" t="s">
        <v>719</v>
      </c>
      <c r="D5" s="12"/>
      <c r="E5" s="12"/>
      <c r="F5" s="12"/>
      <c r="G5" s="12"/>
      <c r="H5" s="12"/>
      <c r="I5" s="12"/>
      <c r="J5" s="12"/>
      <c r="K5" s="12"/>
      <c r="L5" s="12"/>
      <c r="M5" s="12"/>
      <c r="N5" s="12"/>
      <c r="O5" s="12"/>
      <c r="P5" s="12"/>
      <c r="Q5" s="12"/>
      <c r="R5" s="12"/>
      <c r="S5" s="363"/>
      <c r="AF5" s="319"/>
      <c r="AG5" s="319"/>
      <c r="AH5" s="319"/>
    </row>
    <row r="6" spans="1:60" s="29" customFormat="1" x14ac:dyDescent="0.2">
      <c r="A6" s="362" t="s">
        <v>720</v>
      </c>
      <c r="B6" s="12" t="s">
        <v>721</v>
      </c>
      <c r="C6" s="517" t="s">
        <v>722</v>
      </c>
      <c r="D6" s="12"/>
      <c r="E6" s="12"/>
      <c r="F6" s="12"/>
      <c r="G6" s="12"/>
      <c r="H6" s="12"/>
      <c r="I6" s="12"/>
      <c r="J6" s="12"/>
      <c r="K6" s="12"/>
      <c r="L6" s="12"/>
      <c r="M6" s="12"/>
      <c r="N6" s="12"/>
      <c r="O6" s="12"/>
      <c r="P6" s="12"/>
      <c r="Q6" s="12"/>
      <c r="R6" s="12"/>
      <c r="S6" s="363"/>
      <c r="AF6" s="319"/>
      <c r="AG6" s="319"/>
      <c r="AH6" s="319"/>
    </row>
    <row r="7" spans="1:60" s="29" customFormat="1" x14ac:dyDescent="0.2">
      <c r="A7" s="362"/>
      <c r="B7" s="12"/>
      <c r="C7" s="517"/>
      <c r="D7" s="12"/>
      <c r="E7" s="12"/>
      <c r="F7" s="12"/>
      <c r="G7" s="12"/>
      <c r="H7" s="12"/>
      <c r="I7" s="12"/>
      <c r="J7" s="12"/>
      <c r="K7" s="12"/>
      <c r="L7" s="12"/>
      <c r="M7" s="12"/>
      <c r="N7" s="12"/>
      <c r="O7" s="12"/>
      <c r="P7" s="12"/>
      <c r="Q7" s="12"/>
      <c r="R7" s="12"/>
      <c r="S7" s="363"/>
      <c r="AF7" s="319"/>
      <c r="AG7" s="319"/>
      <c r="AH7" s="319"/>
      <c r="BC7" s="367"/>
      <c r="BD7" s="367"/>
      <c r="BE7" s="367"/>
      <c r="BF7" s="367"/>
      <c r="BG7" s="367"/>
      <c r="BH7" s="367"/>
    </row>
    <row r="8" spans="1:60" s="29" customFormat="1" x14ac:dyDescent="0.2">
      <c r="A8" s="362" t="s">
        <v>450</v>
      </c>
      <c r="B8" s="12"/>
      <c r="C8" s="517"/>
      <c r="D8" s="12"/>
      <c r="E8" s="12"/>
      <c r="F8" s="12"/>
      <c r="G8" s="12"/>
      <c r="H8" s="12"/>
      <c r="I8" s="12"/>
      <c r="J8" s="12"/>
      <c r="K8" s="12"/>
      <c r="L8" s="12"/>
      <c r="M8" s="12"/>
      <c r="N8" s="12"/>
      <c r="O8" s="12"/>
      <c r="P8" s="12"/>
      <c r="Q8" s="12"/>
      <c r="R8" s="12"/>
      <c r="S8" s="363"/>
      <c r="AF8" s="319"/>
      <c r="AG8" s="319"/>
      <c r="AH8" s="319"/>
      <c r="BC8" s="367"/>
      <c r="BD8" s="367"/>
      <c r="BE8" s="367"/>
      <c r="BF8" s="367"/>
      <c r="BG8" s="367"/>
      <c r="BH8" s="367"/>
    </row>
    <row r="9" spans="1:60" s="29" customFormat="1" x14ac:dyDescent="0.2">
      <c r="A9" s="362"/>
      <c r="B9" s="12"/>
      <c r="C9" s="517"/>
      <c r="D9" s="12"/>
      <c r="E9" s="12"/>
      <c r="F9" s="12"/>
      <c r="G9" s="12"/>
      <c r="H9" s="12"/>
      <c r="I9" s="12"/>
      <c r="J9" s="12"/>
      <c r="K9" s="12"/>
      <c r="L9" s="12"/>
      <c r="M9" s="12"/>
      <c r="N9" s="12"/>
      <c r="O9" s="12"/>
      <c r="P9" s="12"/>
      <c r="Q9" s="12"/>
      <c r="R9" s="12"/>
      <c r="S9" s="363"/>
      <c r="AF9" s="319"/>
      <c r="AG9" s="319"/>
      <c r="AH9" s="319"/>
      <c r="BC9" s="61"/>
      <c r="BD9" s="61"/>
      <c r="BE9" s="61"/>
      <c r="BF9" s="61"/>
      <c r="BG9" s="61"/>
      <c r="BH9" s="61"/>
    </row>
    <row r="10" spans="1:60" s="61" customFormat="1" x14ac:dyDescent="0.2">
      <c r="A10" s="372" t="s">
        <v>723</v>
      </c>
      <c r="B10" s="10"/>
      <c r="C10" s="10"/>
      <c r="D10" s="10"/>
      <c r="E10" s="10"/>
      <c r="F10" s="10"/>
      <c r="G10" s="10"/>
      <c r="H10" s="10"/>
      <c r="I10" s="10"/>
      <c r="J10" s="10"/>
      <c r="K10" s="10"/>
      <c r="L10" s="10"/>
      <c r="M10" s="10"/>
      <c r="N10" s="10"/>
      <c r="O10" s="10"/>
      <c r="P10" s="10"/>
      <c r="Q10" s="10"/>
      <c r="R10" s="10"/>
      <c r="S10" s="438"/>
    </row>
    <row r="11" spans="1:60" s="61" customFormat="1" x14ac:dyDescent="0.2">
      <c r="A11" s="362" t="s">
        <v>724</v>
      </c>
      <c r="B11" s="158"/>
      <c r="C11" s="10"/>
      <c r="D11" s="10"/>
      <c r="E11" s="10"/>
      <c r="F11" s="10"/>
      <c r="G11" s="10"/>
      <c r="H11" s="10"/>
      <c r="I11" s="10"/>
      <c r="J11" s="10"/>
      <c r="K11" s="10"/>
      <c r="L11" s="10"/>
      <c r="M11" s="10"/>
      <c r="N11" s="10"/>
      <c r="O11" s="10"/>
      <c r="P11" s="10"/>
      <c r="Q11" s="10"/>
      <c r="R11" s="10"/>
      <c r="S11" s="438"/>
    </row>
    <row r="12" spans="1:60" s="61" customFormat="1" x14ac:dyDescent="0.2">
      <c r="A12" s="362"/>
      <c r="B12" s="158"/>
      <c r="C12" s="10"/>
      <c r="D12" s="10"/>
      <c r="E12" s="10"/>
      <c r="F12" s="10"/>
      <c r="G12" s="10"/>
      <c r="H12" s="10"/>
      <c r="I12" s="10"/>
      <c r="J12" s="10"/>
      <c r="K12" s="10"/>
      <c r="L12" s="10"/>
      <c r="M12" s="10"/>
      <c r="N12" s="10"/>
      <c r="O12" s="10"/>
      <c r="P12" s="10"/>
      <c r="Q12" s="10"/>
      <c r="R12" s="10"/>
      <c r="S12" s="438"/>
    </row>
    <row r="13" spans="1:60" s="61" customFormat="1" x14ac:dyDescent="0.2">
      <c r="A13" s="362"/>
      <c r="B13" s="158"/>
      <c r="C13" s="10"/>
      <c r="D13" s="10"/>
      <c r="E13" s="10"/>
      <c r="F13" s="10"/>
      <c r="G13" s="10"/>
      <c r="H13" s="10"/>
      <c r="I13" s="10"/>
      <c r="J13" s="10"/>
      <c r="K13" s="10"/>
      <c r="L13" s="10"/>
      <c r="M13" s="10"/>
      <c r="N13" s="10"/>
      <c r="O13" s="10"/>
      <c r="P13" s="10"/>
      <c r="Q13" s="10"/>
      <c r="R13" s="10"/>
      <c r="S13" s="438"/>
    </row>
    <row r="14" spans="1:60" s="61" customFormat="1" x14ac:dyDescent="0.2">
      <c r="A14" s="362" t="s">
        <v>94</v>
      </c>
      <c r="B14" s="10" t="s">
        <v>1832</v>
      </c>
      <c r="C14" s="10"/>
      <c r="D14" s="10"/>
      <c r="E14" s="10"/>
      <c r="F14" s="10"/>
      <c r="G14" s="10"/>
      <c r="H14" s="10"/>
      <c r="I14" s="10"/>
      <c r="J14" s="10"/>
      <c r="K14" s="10"/>
      <c r="L14" s="10"/>
      <c r="M14" s="10"/>
      <c r="N14" s="10"/>
      <c r="O14" s="10"/>
      <c r="P14" s="10"/>
      <c r="Q14" s="10"/>
      <c r="R14" s="10"/>
      <c r="S14" s="438"/>
    </row>
    <row r="15" spans="1:60" s="61" customFormat="1" x14ac:dyDescent="0.2">
      <c r="A15" s="362"/>
      <c r="B15" s="10" t="s">
        <v>1833</v>
      </c>
      <c r="C15" s="10"/>
      <c r="D15" s="10"/>
      <c r="E15" s="10"/>
      <c r="F15" s="10"/>
      <c r="G15" s="10"/>
      <c r="H15" s="10"/>
      <c r="I15" s="10"/>
      <c r="J15" s="10"/>
      <c r="K15" s="10"/>
      <c r="L15" s="10"/>
      <c r="M15" s="10"/>
      <c r="N15" s="10"/>
      <c r="O15" s="10"/>
      <c r="P15" s="10"/>
      <c r="Q15" s="10"/>
      <c r="R15" s="10"/>
      <c r="S15" s="438"/>
    </row>
    <row r="16" spans="1:60" s="61" customFormat="1" x14ac:dyDescent="0.2">
      <c r="A16" s="362" t="s">
        <v>1834</v>
      </c>
      <c r="B16" s="10" t="s">
        <v>1835</v>
      </c>
      <c r="C16" s="10"/>
      <c r="D16" s="10"/>
      <c r="E16" s="10"/>
      <c r="F16" s="10"/>
      <c r="G16" s="10"/>
      <c r="H16" s="10"/>
      <c r="I16" s="10"/>
      <c r="J16" s="10"/>
      <c r="K16" s="10"/>
      <c r="L16" s="10"/>
      <c r="M16" s="10"/>
      <c r="N16" s="10"/>
      <c r="O16" s="10"/>
      <c r="P16" s="10"/>
      <c r="Q16" s="10"/>
      <c r="R16" s="10"/>
      <c r="S16" s="438"/>
    </row>
    <row r="17" spans="1:82" s="61" customFormat="1" x14ac:dyDescent="0.2">
      <c r="A17" s="362" t="s">
        <v>1836</v>
      </c>
      <c r="B17" s="10"/>
      <c r="C17" s="10"/>
      <c r="D17" s="10"/>
      <c r="E17" s="10"/>
      <c r="F17" s="10"/>
      <c r="G17" s="10"/>
      <c r="H17" s="10"/>
      <c r="I17" s="10"/>
      <c r="J17" s="10"/>
      <c r="K17" s="10"/>
      <c r="L17" s="10"/>
      <c r="M17" s="10"/>
      <c r="N17" s="10"/>
      <c r="O17" s="10"/>
      <c r="P17" s="10"/>
      <c r="Q17" s="10"/>
      <c r="R17" s="10"/>
      <c r="S17" s="438"/>
    </row>
    <row r="18" spans="1:82" s="61" customFormat="1" x14ac:dyDescent="0.2">
      <c r="A18" s="362" t="s">
        <v>1837</v>
      </c>
      <c r="B18" s="10"/>
      <c r="C18" s="10"/>
      <c r="D18" s="10"/>
      <c r="E18" s="10"/>
      <c r="F18" s="10"/>
      <c r="G18" s="10"/>
      <c r="H18" s="10"/>
      <c r="I18" s="10"/>
      <c r="J18" s="10"/>
      <c r="K18" s="10"/>
      <c r="L18" s="10"/>
      <c r="M18" s="10"/>
      <c r="N18" s="10"/>
      <c r="O18" s="10"/>
      <c r="P18" s="10"/>
      <c r="Q18" s="10"/>
      <c r="R18" s="10"/>
      <c r="S18" s="438"/>
    </row>
    <row r="19" spans="1:82" s="61" customFormat="1" x14ac:dyDescent="0.2">
      <c r="A19" s="362" t="s">
        <v>1838</v>
      </c>
      <c r="B19" s="10" t="s">
        <v>1839</v>
      </c>
      <c r="C19" s="10"/>
      <c r="D19" s="10"/>
      <c r="E19" s="10"/>
      <c r="F19" s="10"/>
      <c r="G19" s="10"/>
      <c r="H19" s="10"/>
      <c r="I19" s="10"/>
      <c r="J19" s="10"/>
      <c r="K19" s="10"/>
      <c r="L19" s="10"/>
      <c r="M19" s="10"/>
      <c r="N19" s="10"/>
      <c r="O19" s="10"/>
      <c r="P19" s="10"/>
      <c r="Q19" s="10"/>
      <c r="R19" s="10"/>
      <c r="S19" s="438"/>
    </row>
    <row r="20" spans="1:82" s="61" customFormat="1" x14ac:dyDescent="0.2">
      <c r="A20" s="362" t="s">
        <v>1840</v>
      </c>
      <c r="B20" s="10" t="s">
        <v>1841</v>
      </c>
      <c r="C20" s="10"/>
      <c r="D20" s="10"/>
      <c r="E20" s="10"/>
      <c r="F20" s="10"/>
      <c r="G20" s="10"/>
      <c r="H20" s="10"/>
      <c r="I20" s="10"/>
      <c r="J20" s="10"/>
      <c r="K20" s="10"/>
      <c r="L20" s="10"/>
      <c r="M20" s="10"/>
      <c r="N20" s="10"/>
      <c r="O20" s="10"/>
      <c r="P20" s="10"/>
      <c r="Q20" s="10"/>
      <c r="R20" s="10"/>
      <c r="S20" s="438"/>
    </row>
    <row r="21" spans="1:82" s="61" customFormat="1" x14ac:dyDescent="0.2">
      <c r="A21" s="362" t="s">
        <v>1842</v>
      </c>
      <c r="B21" s="10" t="s">
        <v>1340</v>
      </c>
      <c r="C21" s="10"/>
      <c r="D21" s="10"/>
      <c r="E21" s="10"/>
      <c r="F21" s="10"/>
      <c r="G21" s="10"/>
      <c r="H21" s="10"/>
      <c r="I21" s="10"/>
      <c r="J21" s="10"/>
      <c r="K21" s="10"/>
      <c r="L21" s="10"/>
      <c r="M21" s="10"/>
      <c r="N21" s="10"/>
      <c r="O21" s="10"/>
      <c r="P21" s="10"/>
      <c r="Q21" s="10"/>
      <c r="R21" s="10"/>
      <c r="S21" s="438"/>
    </row>
    <row r="22" spans="1:82" s="61" customFormat="1" x14ac:dyDescent="0.2">
      <c r="A22" s="362" t="s">
        <v>1341</v>
      </c>
      <c r="B22" s="10" t="s">
        <v>1968</v>
      </c>
      <c r="C22" s="10"/>
      <c r="D22" s="10"/>
      <c r="E22" s="10"/>
      <c r="F22" s="10"/>
      <c r="G22" s="10"/>
      <c r="H22" s="10"/>
      <c r="I22" s="10"/>
      <c r="J22" s="10"/>
      <c r="K22" s="10"/>
      <c r="L22" s="10"/>
      <c r="M22" s="10"/>
      <c r="N22" s="10"/>
      <c r="O22" s="10"/>
      <c r="P22" s="10"/>
      <c r="Q22" s="10"/>
      <c r="R22" s="10"/>
      <c r="S22" s="438"/>
    </row>
    <row r="23" spans="1:82" s="61" customFormat="1" x14ac:dyDescent="0.2">
      <c r="A23" s="362"/>
      <c r="B23" s="10" t="s">
        <v>1969</v>
      </c>
      <c r="C23" s="10"/>
      <c r="D23" s="10"/>
      <c r="E23" s="10"/>
      <c r="F23" s="10"/>
      <c r="G23" s="10"/>
      <c r="H23" s="10"/>
      <c r="I23" s="10"/>
      <c r="J23" s="10"/>
      <c r="K23" s="10"/>
      <c r="L23" s="10"/>
      <c r="M23" s="10"/>
      <c r="N23" s="10"/>
      <c r="O23" s="10"/>
      <c r="P23" s="10"/>
      <c r="Q23" s="10"/>
      <c r="R23" s="10"/>
      <c r="S23" s="438"/>
    </row>
    <row r="24" spans="1:82" s="29" customFormat="1" ht="13.5" thickBot="1" x14ac:dyDescent="0.25">
      <c r="A24" s="290"/>
      <c r="B24" s="291"/>
      <c r="C24" s="518"/>
      <c r="D24" s="291"/>
      <c r="E24" s="291"/>
      <c r="F24" s="291"/>
      <c r="G24" s="291"/>
      <c r="H24" s="291"/>
      <c r="I24" s="291"/>
      <c r="J24" s="291"/>
      <c r="K24" s="291"/>
      <c r="L24" s="291"/>
      <c r="M24" s="291"/>
      <c r="N24" s="291"/>
      <c r="O24" s="291"/>
      <c r="P24" s="291"/>
      <c r="Q24" s="291"/>
      <c r="R24" s="291"/>
      <c r="S24" s="292"/>
      <c r="AF24" s="319"/>
      <c r="AG24" s="319"/>
      <c r="AH24" s="319"/>
      <c r="AV24" s="57" t="s">
        <v>2326</v>
      </c>
    </row>
    <row r="25" spans="1:82" s="29" customFormat="1" x14ac:dyDescent="0.2">
      <c r="C25" s="318"/>
      <c r="AF25" s="319"/>
      <c r="AG25" s="319"/>
      <c r="AH25" s="319"/>
      <c r="AV25" s="57" t="s">
        <v>2327</v>
      </c>
    </row>
    <row r="26" spans="1:82" s="3" customFormat="1" x14ac:dyDescent="0.2">
      <c r="A26" s="27" t="s">
        <v>578</v>
      </c>
    </row>
    <row r="27" spans="1:82" s="3" customFormat="1" ht="13.5" thickBot="1" x14ac:dyDescent="0.25">
      <c r="A27" s="33" t="s">
        <v>1072</v>
      </c>
      <c r="B27" s="40"/>
      <c r="C27" s="40"/>
      <c r="R27" s="40"/>
      <c r="S27" s="40"/>
      <c r="T27" s="40"/>
      <c r="U27" s="40"/>
      <c r="V27" s="40"/>
      <c r="W27" s="40"/>
      <c r="X27" s="40"/>
      <c r="Y27" s="40"/>
      <c r="Z27" s="40"/>
      <c r="AA27" s="40"/>
      <c r="AB27" s="40"/>
      <c r="AC27" s="40"/>
      <c r="AD27" s="40"/>
      <c r="AE27" s="40"/>
      <c r="AG27" s="40"/>
      <c r="AH27" s="40"/>
      <c r="AI27" s="40"/>
      <c r="AJ27" s="40"/>
      <c r="AL27" s="40"/>
      <c r="AM27" s="40"/>
      <c r="AN27" s="40"/>
      <c r="AO27" s="40"/>
      <c r="AP27" s="40"/>
      <c r="AR27" s="40"/>
      <c r="AT27" s="40"/>
      <c r="AU27" s="40"/>
      <c r="AV27" s="40"/>
      <c r="AW27" s="40"/>
      <c r="AX27" s="40"/>
      <c r="AY27" s="40"/>
      <c r="AZ27" s="40"/>
      <c r="BA27" s="40"/>
      <c r="BB27" s="40"/>
      <c r="BC27" s="40"/>
      <c r="BD27" s="40"/>
      <c r="BE27" s="40"/>
      <c r="BF27" s="40"/>
      <c r="BG27" s="40"/>
      <c r="BH27" s="40"/>
      <c r="BI27" s="40"/>
      <c r="BJ27" s="40"/>
      <c r="BK27" s="40"/>
      <c r="BL27" s="40"/>
    </row>
    <row r="28" spans="1:82" x14ac:dyDescent="0.2">
      <c r="A28" s="407" t="s">
        <v>1970</v>
      </c>
      <c r="B28" s="408"/>
      <c r="C28" s="409"/>
      <c r="E28" s="407" t="s">
        <v>830</v>
      </c>
      <c r="F28" s="408"/>
      <c r="G28" s="408"/>
      <c r="H28" s="408"/>
      <c r="I28" s="409"/>
      <c r="K28" s="407" t="s">
        <v>831</v>
      </c>
      <c r="L28" s="408"/>
      <c r="M28" s="408"/>
      <c r="N28" s="408"/>
      <c r="O28" s="408"/>
      <c r="P28" s="409"/>
      <c r="R28" s="407" t="s">
        <v>1971</v>
      </c>
      <c r="S28" s="408"/>
      <c r="T28" s="408"/>
      <c r="U28" s="408"/>
      <c r="V28" s="408"/>
      <c r="W28" s="409"/>
      <c r="Y28" s="407" t="s">
        <v>1972</v>
      </c>
      <c r="Z28" s="408"/>
      <c r="AA28" s="408"/>
      <c r="AB28" s="408"/>
      <c r="AC28" s="408"/>
      <c r="AD28" s="408"/>
      <c r="AE28" s="408"/>
      <c r="AF28" s="408"/>
      <c r="AG28" s="409"/>
      <c r="AI28" s="407" t="s">
        <v>2231</v>
      </c>
      <c r="AJ28" s="408"/>
      <c r="AK28" s="408"/>
      <c r="AL28" s="408"/>
      <c r="AM28" s="408"/>
      <c r="AN28" s="408"/>
      <c r="AO28" s="409"/>
      <c r="AQ28" s="407" t="s">
        <v>1973</v>
      </c>
      <c r="AR28" s="408"/>
      <c r="AS28" s="408"/>
      <c r="AT28" s="409"/>
      <c r="AV28" s="407" t="s">
        <v>1974</v>
      </c>
      <c r="AW28" s="408"/>
      <c r="AX28" s="408"/>
      <c r="AY28" s="408"/>
      <c r="AZ28" s="408"/>
      <c r="BA28" s="409"/>
      <c r="BC28" s="407" t="s">
        <v>2328</v>
      </c>
      <c r="BD28" s="408"/>
      <c r="BE28" s="408"/>
      <c r="BF28" s="408"/>
      <c r="BG28" s="409"/>
      <c r="BI28" s="407" t="s">
        <v>232</v>
      </c>
      <c r="BJ28" s="408"/>
      <c r="BK28" s="408"/>
      <c r="BL28" s="408"/>
      <c r="BM28" s="408"/>
      <c r="BN28" s="408"/>
      <c r="BO28" s="409"/>
      <c r="BQ28" s="407" t="s">
        <v>2637</v>
      </c>
      <c r="BR28" s="408"/>
      <c r="BS28" s="408"/>
      <c r="BT28" s="408"/>
      <c r="BU28" s="409"/>
      <c r="BW28" s="407" t="s">
        <v>1842</v>
      </c>
      <c r="BX28" s="408"/>
      <c r="BY28" s="409"/>
      <c r="CA28" s="407" t="s">
        <v>1975</v>
      </c>
      <c r="CB28" s="408"/>
      <c r="CC28" s="409"/>
    </row>
    <row r="29" spans="1:82" ht="13.5" thickBot="1" x14ac:dyDescent="0.25">
      <c r="A29" s="410" t="s">
        <v>1079</v>
      </c>
      <c r="B29" s="411" t="s">
        <v>1976</v>
      </c>
      <c r="C29" s="412" t="s">
        <v>1977</v>
      </c>
      <c r="E29" s="410" t="s">
        <v>839</v>
      </c>
      <c r="F29" s="411" t="s">
        <v>1977</v>
      </c>
      <c r="G29" s="411" t="s">
        <v>1986</v>
      </c>
      <c r="H29" s="411" t="s">
        <v>1988</v>
      </c>
      <c r="I29" s="412" t="s">
        <v>841</v>
      </c>
      <c r="K29" s="410" t="s">
        <v>839</v>
      </c>
      <c r="L29" s="411" t="s">
        <v>1977</v>
      </c>
      <c r="M29" s="411" t="s">
        <v>1986</v>
      </c>
      <c r="N29" s="411" t="s">
        <v>1980</v>
      </c>
      <c r="O29" s="411" t="s">
        <v>1770</v>
      </c>
      <c r="P29" s="412" t="s">
        <v>1988</v>
      </c>
      <c r="R29" s="410" t="s">
        <v>1079</v>
      </c>
      <c r="S29" s="411" t="s">
        <v>1977</v>
      </c>
      <c r="T29" s="411" t="s">
        <v>1979</v>
      </c>
      <c r="U29" s="411" t="s">
        <v>1981</v>
      </c>
      <c r="V29" s="411" t="s">
        <v>1980</v>
      </c>
      <c r="W29" s="412" t="s">
        <v>1976</v>
      </c>
      <c r="Y29" s="410" t="s">
        <v>1079</v>
      </c>
      <c r="Z29" s="411" t="s">
        <v>1977</v>
      </c>
      <c r="AA29" s="411" t="s">
        <v>2332</v>
      </c>
      <c r="AB29" s="411" t="s">
        <v>2627</v>
      </c>
      <c r="AC29" s="411" t="s">
        <v>2333</v>
      </c>
      <c r="AD29" s="411" t="s">
        <v>1978</v>
      </c>
      <c r="AE29" s="411" t="s">
        <v>1981</v>
      </c>
      <c r="AF29" s="411" t="s">
        <v>1982</v>
      </c>
      <c r="AG29" s="412" t="s">
        <v>1983</v>
      </c>
      <c r="AI29" s="410" t="s">
        <v>1079</v>
      </c>
      <c r="AJ29" s="411" t="s">
        <v>1977</v>
      </c>
      <c r="AK29" s="411" t="s">
        <v>1982</v>
      </c>
      <c r="AL29" s="411" t="s">
        <v>843</v>
      </c>
      <c r="AM29" s="411" t="s">
        <v>1983</v>
      </c>
      <c r="AN29" s="411" t="s">
        <v>394</v>
      </c>
      <c r="AO29" s="412" t="s">
        <v>395</v>
      </c>
      <c r="AQ29" s="410" t="s">
        <v>1079</v>
      </c>
      <c r="AR29" s="411" t="s">
        <v>1977</v>
      </c>
      <c r="AS29" s="411" t="s">
        <v>1982</v>
      </c>
      <c r="AT29" s="412" t="s">
        <v>1983</v>
      </c>
      <c r="AV29" s="410" t="s">
        <v>1977</v>
      </c>
      <c r="AW29" s="411" t="s">
        <v>385</v>
      </c>
      <c r="AX29" s="411" t="s">
        <v>1984</v>
      </c>
      <c r="AY29" s="411" t="s">
        <v>2313</v>
      </c>
      <c r="AZ29" s="411" t="s">
        <v>1297</v>
      </c>
      <c r="BA29" s="412" t="s">
        <v>1985</v>
      </c>
      <c r="BC29" s="410" t="s">
        <v>1079</v>
      </c>
      <c r="BD29" s="411" t="s">
        <v>2446</v>
      </c>
      <c r="BE29" s="411" t="s">
        <v>2625</v>
      </c>
      <c r="BF29" s="411" t="s">
        <v>2970</v>
      </c>
      <c r="BG29" s="412" t="s">
        <v>2329</v>
      </c>
      <c r="BI29" s="410" t="s">
        <v>1977</v>
      </c>
      <c r="BJ29" s="411" t="s">
        <v>1986</v>
      </c>
      <c r="BK29" s="411" t="s">
        <v>1987</v>
      </c>
      <c r="BL29" s="411" t="s">
        <v>1988</v>
      </c>
      <c r="BM29" s="411" t="s">
        <v>267</v>
      </c>
      <c r="BN29" s="411" t="s">
        <v>1976</v>
      </c>
      <c r="BO29" s="412" t="s">
        <v>1989</v>
      </c>
      <c r="BQ29" s="410" t="s">
        <v>1977</v>
      </c>
      <c r="BR29" s="411" t="s">
        <v>1079</v>
      </c>
      <c r="BS29" s="411" t="s">
        <v>1978</v>
      </c>
      <c r="BT29" s="411" t="s">
        <v>841</v>
      </c>
      <c r="BU29" s="412" t="s">
        <v>1986</v>
      </c>
      <c r="BW29" s="410" t="s">
        <v>1977</v>
      </c>
      <c r="BX29" s="411" t="s">
        <v>1079</v>
      </c>
      <c r="BY29" s="412" t="s">
        <v>1980</v>
      </c>
      <c r="CA29" s="410" t="s">
        <v>1977</v>
      </c>
      <c r="CB29" s="411" t="s">
        <v>1079</v>
      </c>
      <c r="CC29" s="412" t="s">
        <v>1980</v>
      </c>
    </row>
    <row r="30" spans="1:82" ht="13.5" thickBot="1" x14ac:dyDescent="0.25">
      <c r="A30" s="321" t="s">
        <v>1990</v>
      </c>
      <c r="B30" s="322"/>
      <c r="C30" s="323">
        <v>0</v>
      </c>
      <c r="E30" s="473">
        <v>1</v>
      </c>
      <c r="F30" s="474">
        <v>1</v>
      </c>
      <c r="G30" s="474" t="s">
        <v>2228</v>
      </c>
      <c r="H30" s="474" t="s">
        <v>2232</v>
      </c>
      <c r="I30" s="475">
        <v>1</v>
      </c>
      <c r="K30" s="473" t="s">
        <v>1280</v>
      </c>
      <c r="L30" s="570">
        <f>IF(SUM(CA31:CA32)&gt;0,1,0)</f>
        <v>0</v>
      </c>
      <c r="M30" s="474" t="s">
        <v>2308</v>
      </c>
      <c r="N30" s="61" t="s">
        <v>2309</v>
      </c>
      <c r="O30" s="570" t="s">
        <v>1975</v>
      </c>
      <c r="P30" s="475" t="s">
        <v>38</v>
      </c>
      <c r="R30" s="413" t="s">
        <v>1977</v>
      </c>
      <c r="S30" s="414">
        <v>1</v>
      </c>
      <c r="T30" s="414">
        <v>0</v>
      </c>
      <c r="U30" s="414">
        <v>0</v>
      </c>
      <c r="V30" s="414">
        <v>1</v>
      </c>
      <c r="W30" s="415">
        <v>1</v>
      </c>
      <c r="Y30" s="413" t="s">
        <v>1977</v>
      </c>
      <c r="Z30" s="414">
        <v>1</v>
      </c>
      <c r="AA30" s="414"/>
      <c r="AB30" s="414"/>
      <c r="AC30" s="414"/>
      <c r="AD30" s="414"/>
      <c r="AE30" s="414">
        <v>1</v>
      </c>
      <c r="AF30" s="414">
        <v>1</v>
      </c>
      <c r="AG30" s="415">
        <v>1</v>
      </c>
      <c r="AI30" s="413" t="s">
        <v>1977</v>
      </c>
      <c r="AJ30" s="414">
        <v>1</v>
      </c>
      <c r="AK30" s="414">
        <v>1</v>
      </c>
      <c r="AL30" s="414">
        <v>1</v>
      </c>
      <c r="AM30" s="414">
        <v>1</v>
      </c>
      <c r="AN30" s="414">
        <v>1</v>
      </c>
      <c r="AO30" s="415">
        <v>1</v>
      </c>
      <c r="AQ30" s="413" t="s">
        <v>1977</v>
      </c>
      <c r="AR30" s="414">
        <v>1</v>
      </c>
      <c r="AS30" s="414">
        <v>1</v>
      </c>
      <c r="AT30" s="415">
        <v>1</v>
      </c>
      <c r="AV30" s="459">
        <f>IF(AT43&lt;5, 0, IF(AND(isDeminimus=FALSE, iMHACalcType=2), 1, 0))</f>
        <v>1</v>
      </c>
      <c r="AW30" s="414" t="s">
        <v>1287</v>
      </c>
      <c r="AX30" s="414" t="s">
        <v>1292</v>
      </c>
      <c r="AY30" s="414" t="str">
        <f>AX30</f>
        <v>Estimate.doc</v>
      </c>
      <c r="AZ30" s="414" t="s">
        <v>1298</v>
      </c>
      <c r="BA30" s="415"/>
      <c r="BC30" s="478" t="s">
        <v>2330</v>
      </c>
      <c r="BD30" s="636" t="s">
        <v>2447</v>
      </c>
      <c r="BE30" s="636">
        <v>1</v>
      </c>
      <c r="BF30" s="636" t="s">
        <v>2971</v>
      </c>
      <c r="BG30" s="415">
        <v>11</v>
      </c>
      <c r="BI30" s="413">
        <v>1</v>
      </c>
      <c r="BJ30" s="414" t="s">
        <v>1992</v>
      </c>
      <c r="BK30" s="414"/>
      <c r="BL30" s="414"/>
      <c r="BM30" s="414"/>
      <c r="BN30" s="414"/>
      <c r="BO30" s="415"/>
      <c r="BQ30" s="672">
        <v>1</v>
      </c>
      <c r="BR30" s="575" t="s">
        <v>2639</v>
      </c>
      <c r="BS30" s="357" t="s">
        <v>2638</v>
      </c>
      <c r="BT30" s="357"/>
      <c r="BU30" s="673" t="s">
        <v>2640</v>
      </c>
      <c r="BV30" s="682" t="s">
        <v>727</v>
      </c>
      <c r="BW30" s="672">
        <v>1</v>
      </c>
      <c r="BX30" s="674" t="s">
        <v>1977</v>
      </c>
      <c r="BY30" s="675">
        <v>1</v>
      </c>
      <c r="BZ30" s="356"/>
      <c r="CA30" s="672">
        <v>1</v>
      </c>
      <c r="CB30" s="674" t="s">
        <v>1977</v>
      </c>
      <c r="CC30" s="675">
        <v>1</v>
      </c>
    </row>
    <row r="31" spans="1:82" ht="12.75" customHeight="1" x14ac:dyDescent="0.2">
      <c r="A31" s="324" t="s">
        <v>1685</v>
      </c>
      <c r="B31" s="110">
        <f>iMHACalcType</f>
        <v>2</v>
      </c>
      <c r="C31" s="111">
        <v>1</v>
      </c>
      <c r="E31" s="476">
        <f>IF(F30=-1,1,2)</f>
        <v>2</v>
      </c>
      <c r="F31" s="367">
        <f t="shared" ref="F31:F38" si="0">IF(L$31=1,0,1)</f>
        <v>1</v>
      </c>
      <c r="G31" s="367" t="s">
        <v>2229</v>
      </c>
      <c r="H31" s="367" t="s">
        <v>2232</v>
      </c>
      <c r="I31" s="470">
        <v>0</v>
      </c>
      <c r="K31" s="476">
        <v>1</v>
      </c>
      <c r="L31" s="367">
        <f>IF(SUM(BW31:BW32)&gt;0,1,0)</f>
        <v>0</v>
      </c>
      <c r="M31" s="367" t="s">
        <v>2153</v>
      </c>
      <c r="N31" s="61" t="s">
        <v>36</v>
      </c>
      <c r="O31" s="367" t="s">
        <v>1842</v>
      </c>
      <c r="P31" s="470" t="s">
        <v>39</v>
      </c>
      <c r="R31" s="345" t="s">
        <v>1979</v>
      </c>
      <c r="S31" s="97">
        <v>1</v>
      </c>
      <c r="T31" s="97"/>
      <c r="U31" s="97"/>
      <c r="V31" s="97"/>
      <c r="W31" s="346"/>
      <c r="Y31" s="345" t="s">
        <v>771</v>
      </c>
      <c r="Z31" s="10">
        <v>1</v>
      </c>
      <c r="AA31" s="10"/>
      <c r="AB31" s="10"/>
      <c r="AC31" s="10"/>
      <c r="AD31" s="10"/>
      <c r="AE31" s="10" t="s">
        <v>772</v>
      </c>
      <c r="AF31" s="10" t="s">
        <v>554</v>
      </c>
      <c r="AG31" s="438"/>
      <c r="AI31" s="424" t="s">
        <v>773</v>
      </c>
      <c r="AJ31" s="417">
        <v>0</v>
      </c>
      <c r="AK31" s="425" t="s">
        <v>774</v>
      </c>
      <c r="AL31" s="417"/>
      <c r="AM31" s="417"/>
      <c r="AN31" s="417"/>
      <c r="AO31" s="440" t="s">
        <v>775</v>
      </c>
      <c r="AP31" s="450" t="b">
        <f>IF(AND(OR(iMHACalcType=1,iMHACalcType=2),cLumpSum&gt;20000),TRUE,FALSE)</f>
        <v>1</v>
      </c>
      <c r="AQ31" s="345" t="s">
        <v>771</v>
      </c>
      <c r="AR31" s="97">
        <v>1</v>
      </c>
      <c r="AS31" s="97" t="s">
        <v>776</v>
      </c>
      <c r="AT31" s="346" t="s">
        <v>1850</v>
      </c>
      <c r="AV31" s="416">
        <f>IF(AT43&lt;5, 0, IF(AND(isDeminimus=FALSE, iMHACalcType=1), 1, 0))</f>
        <v>0</v>
      </c>
      <c r="AW31" s="97" t="s">
        <v>1288</v>
      </c>
      <c r="AX31" s="97" t="s">
        <v>1293</v>
      </c>
      <c r="AY31" s="97" t="str">
        <f>AX31</f>
        <v>Retirement.doc</v>
      </c>
      <c r="AZ31" s="97" t="s">
        <v>1298</v>
      </c>
      <c r="BA31" s="346"/>
      <c r="BC31" s="345"/>
      <c r="BD31" s="97"/>
      <c r="BE31" s="97"/>
      <c r="BF31" s="97"/>
      <c r="BG31" s="346"/>
      <c r="BI31" s="345">
        <v>1</v>
      </c>
      <c r="BJ31" s="97" t="s">
        <v>1995</v>
      </c>
      <c r="BK31" s="97" t="s">
        <v>389</v>
      </c>
      <c r="BL31" s="97"/>
      <c r="BM31" s="460"/>
      <c r="BN31" s="460">
        <v>39458</v>
      </c>
      <c r="BO31" s="461">
        <v>1</v>
      </c>
      <c r="BQ31" s="676">
        <v>1</v>
      </c>
      <c r="BR31" s="575" t="s">
        <v>2643</v>
      </c>
      <c r="BS31" s="357"/>
      <c r="BT31" s="357">
        <v>0</v>
      </c>
      <c r="BU31" s="576" t="s">
        <v>2642</v>
      </c>
      <c r="BV31" s="681" t="s">
        <v>727</v>
      </c>
      <c r="BW31" s="676">
        <v>0</v>
      </c>
      <c r="BX31" s="357" t="s">
        <v>1994</v>
      </c>
      <c r="BY31" s="677" t="s">
        <v>37</v>
      </c>
      <c r="BZ31" s="683" t="s">
        <v>727</v>
      </c>
      <c r="CA31" s="676">
        <v>0</v>
      </c>
      <c r="CB31" s="357" t="s">
        <v>1994</v>
      </c>
      <c r="CC31" s="677" t="s">
        <v>37</v>
      </c>
      <c r="CD31" s="683" t="s">
        <v>727</v>
      </c>
    </row>
    <row r="32" spans="1:82" x14ac:dyDescent="0.2">
      <c r="A32" s="325" t="s">
        <v>1692</v>
      </c>
      <c r="B32" s="200"/>
      <c r="C32" s="326">
        <v>0</v>
      </c>
      <c r="D32" s="67"/>
      <c r="E32" s="476">
        <f t="shared" ref="E32:E38" si="1">E31+1</f>
        <v>3</v>
      </c>
      <c r="F32" s="367">
        <f t="shared" si="0"/>
        <v>1</v>
      </c>
      <c r="G32" s="367" t="s">
        <v>2230</v>
      </c>
      <c r="H32" s="367" t="s">
        <v>2232</v>
      </c>
      <c r="I32" s="470">
        <v>0</v>
      </c>
      <c r="K32" s="476">
        <v>1</v>
      </c>
      <c r="L32" s="367">
        <f>IF(L$31=1,0,1)</f>
        <v>1</v>
      </c>
      <c r="M32" s="367"/>
      <c r="N32" s="367"/>
      <c r="O32" s="367" t="s">
        <v>1971</v>
      </c>
      <c r="P32" s="470" t="s">
        <v>140</v>
      </c>
      <c r="Q32" s="67"/>
      <c r="R32" s="345" t="s">
        <v>1997</v>
      </c>
      <c r="S32" s="97">
        <v>1</v>
      </c>
      <c r="T32" s="97"/>
      <c r="U32" s="97"/>
      <c r="V32" s="97">
        <v>300</v>
      </c>
      <c r="W32" s="346">
        <v>150</v>
      </c>
      <c r="Y32" s="345" t="s">
        <v>777</v>
      </c>
      <c r="Z32" s="10">
        <v>1</v>
      </c>
      <c r="AA32" s="10"/>
      <c r="AB32" s="10"/>
      <c r="AC32" s="10"/>
      <c r="AD32" s="10"/>
      <c r="AE32" s="10"/>
      <c r="AF32" s="10" t="s">
        <v>778</v>
      </c>
      <c r="AG32" s="438">
        <v>160900</v>
      </c>
      <c r="AI32" s="424" t="s">
        <v>779</v>
      </c>
      <c r="AJ32" s="417">
        <f>IF(NOT(isRetorEst),0,1)</f>
        <v>1</v>
      </c>
      <c r="AK32" s="417" t="str">
        <f>"&lt;&lt;b&gt;&gt;With Return of Employee Contributions&lt;&lt;/b&gt;&gt;"</f>
        <v>&lt;&lt;b&gt;&gt;With Return of Employee Contributions&lt;&lt;/b&gt;&gt;</v>
      </c>
      <c r="AL32" s="417"/>
      <c r="AM32" s="417"/>
      <c r="AN32" s="417"/>
      <c r="AO32" s="426"/>
      <c r="AP32" s="156"/>
      <c r="AQ32" s="416" t="s">
        <v>1994</v>
      </c>
      <c r="AR32" s="417">
        <f>IF(AT32="",0,1)</f>
        <v>1</v>
      </c>
      <c r="AS32" s="417" t="s">
        <v>780</v>
      </c>
      <c r="AT32" s="426">
        <f>varPlan</f>
        <v>0</v>
      </c>
      <c r="AV32" s="416">
        <f>IF(AT43&lt;5, 0, IF(AND(isDeminimus=FALSE, iMHACalcType=3), 1, 0))</f>
        <v>0</v>
      </c>
      <c r="AW32" s="97" t="s">
        <v>1289</v>
      </c>
      <c r="AX32" s="97" t="s">
        <v>1294</v>
      </c>
      <c r="AY32" s="97" t="str">
        <f>AX32</f>
        <v>TermVested.doc</v>
      </c>
      <c r="AZ32" s="97" t="s">
        <v>1298</v>
      </c>
      <c r="BA32" s="346"/>
      <c r="BC32" s="345"/>
      <c r="BD32" s="97"/>
      <c r="BE32" s="97"/>
      <c r="BF32" s="97"/>
      <c r="BG32" s="346"/>
      <c r="BI32" s="345">
        <v>1</v>
      </c>
      <c r="BJ32" s="97" t="s">
        <v>1998</v>
      </c>
      <c r="BK32" s="97"/>
      <c r="BL32" s="97"/>
      <c r="BM32" s="97"/>
      <c r="BN32" s="97"/>
      <c r="BO32" s="346"/>
      <c r="BQ32" s="676">
        <v>1</v>
      </c>
      <c r="BR32" s="575" t="s">
        <v>2644</v>
      </c>
      <c r="BS32" s="357"/>
      <c r="BT32" s="357">
        <v>0</v>
      </c>
      <c r="BU32" s="576" t="s">
        <v>2645</v>
      </c>
      <c r="BV32" s="681" t="s">
        <v>727</v>
      </c>
      <c r="BW32" s="676"/>
      <c r="BX32" s="357"/>
      <c r="BY32" s="677"/>
      <c r="BZ32" s="356"/>
      <c r="CA32" s="676"/>
      <c r="CB32" s="357"/>
      <c r="CC32" s="677"/>
    </row>
    <row r="33" spans="1:81" ht="13.5" thickBot="1" x14ac:dyDescent="0.25">
      <c r="A33" s="579" t="s">
        <v>2448</v>
      </c>
      <c r="B33" s="200"/>
      <c r="C33" s="326">
        <v>0</v>
      </c>
      <c r="D33" s="67"/>
      <c r="E33" s="476">
        <f t="shared" si="1"/>
        <v>4</v>
      </c>
      <c r="F33" s="367">
        <f t="shared" si="0"/>
        <v>1</v>
      </c>
      <c r="G33" s="367" t="s">
        <v>578</v>
      </c>
      <c r="H33" s="367" t="s">
        <v>2232</v>
      </c>
      <c r="I33" s="470">
        <v>0</v>
      </c>
      <c r="K33" s="476">
        <v>2</v>
      </c>
      <c r="L33" s="367">
        <f>IF(L$31=1,0,1)</f>
        <v>1</v>
      </c>
      <c r="M33" s="367"/>
      <c r="N33" s="367"/>
      <c r="O33" s="367" t="s">
        <v>2231</v>
      </c>
      <c r="P33" s="470" t="s">
        <v>140</v>
      </c>
      <c r="Q33" s="67"/>
      <c r="R33" s="416" t="s">
        <v>1991</v>
      </c>
      <c r="S33" s="417">
        <v>1</v>
      </c>
      <c r="T33" s="417"/>
      <c r="U33" s="417"/>
      <c r="V33" s="417" t="s">
        <v>770</v>
      </c>
      <c r="W33" s="418"/>
      <c r="Y33" s="345" t="s">
        <v>782</v>
      </c>
      <c r="Z33" s="10">
        <v>1</v>
      </c>
      <c r="AA33" s="10"/>
      <c r="AB33" s="10"/>
      <c r="AC33" s="10"/>
      <c r="AD33" s="10"/>
      <c r="AE33" s="10"/>
      <c r="AF33" s="10" t="s">
        <v>783</v>
      </c>
      <c r="AG33" s="438">
        <v>45652</v>
      </c>
      <c r="AI33" s="441" t="s">
        <v>1723</v>
      </c>
      <c r="AJ33" s="417">
        <f>IF(NOT(isRetorEst),0,1)</f>
        <v>1</v>
      </c>
      <c r="AK33" s="417" t="s">
        <v>1724</v>
      </c>
      <c r="AL33" s="417" t="s">
        <v>1151</v>
      </c>
      <c r="AM33" s="417" t="s">
        <v>1725</v>
      </c>
      <c r="AN33" s="417" t="s">
        <v>1035</v>
      </c>
      <c r="AO33" s="426" t="s">
        <v>1255</v>
      </c>
      <c r="AP33" s="332"/>
      <c r="AQ33" s="416" t="s">
        <v>781</v>
      </c>
      <c r="AR33" s="417">
        <f>IF(AT33="",0,1)</f>
        <v>1</v>
      </c>
      <c r="AS33" s="425" t="s">
        <v>375</v>
      </c>
      <c r="AT33" s="451">
        <f>datebirth</f>
        <v>16345</v>
      </c>
      <c r="AV33" s="416">
        <f>IF(AT43&lt;5, 0, IF( iMHACalcType=4, 1, 0))</f>
        <v>0</v>
      </c>
      <c r="AW33" s="97" t="s">
        <v>1290</v>
      </c>
      <c r="AX33" s="97" t="s">
        <v>1295</v>
      </c>
      <c r="AY33" s="97" t="str">
        <f>AX33</f>
        <v>Death.doc</v>
      </c>
      <c r="AZ33" s="97" t="s">
        <v>1298</v>
      </c>
      <c r="BA33" s="346"/>
      <c r="BC33" s="345"/>
      <c r="BD33" s="97"/>
      <c r="BE33" s="97"/>
      <c r="BF33" s="97"/>
      <c r="BG33" s="346"/>
      <c r="BI33" s="345">
        <v>1</v>
      </c>
      <c r="BJ33" s="97" t="s">
        <v>2043</v>
      </c>
      <c r="BK33" s="97" t="s">
        <v>2044</v>
      </c>
      <c r="BL33" s="97" t="s">
        <v>2045</v>
      </c>
      <c r="BM33" s="97">
        <v>2008</v>
      </c>
      <c r="BN33" s="97" t="s">
        <v>931</v>
      </c>
      <c r="BO33" s="346">
        <v>1</v>
      </c>
      <c r="BQ33" s="676">
        <v>1</v>
      </c>
      <c r="BR33" s="575" t="s">
        <v>2646</v>
      </c>
      <c r="BS33" s="575" t="s">
        <v>2638</v>
      </c>
      <c r="BT33" s="357"/>
      <c r="BU33" s="576" t="s">
        <v>2647</v>
      </c>
      <c r="BV33" s="682" t="s">
        <v>727</v>
      </c>
      <c r="BW33" s="678"/>
      <c r="BX33" s="679"/>
      <c r="BY33" s="680"/>
      <c r="BZ33" s="356"/>
      <c r="CA33" s="678"/>
      <c r="CB33" s="679"/>
      <c r="CC33" s="680"/>
    </row>
    <row r="34" spans="1:81" ht="13.5" thickBot="1" x14ac:dyDescent="0.25">
      <c r="A34" s="325" t="s">
        <v>1996</v>
      </c>
      <c r="B34" s="200" t="str">
        <f>iJobToken</f>
        <v/>
      </c>
      <c r="C34" s="326">
        <v>1</v>
      </c>
      <c r="E34" s="476">
        <f t="shared" si="1"/>
        <v>5</v>
      </c>
      <c r="F34" s="367">
        <f t="shared" si="0"/>
        <v>1</v>
      </c>
      <c r="G34" s="31" t="s">
        <v>2233</v>
      </c>
      <c r="H34" s="367" t="s">
        <v>2236</v>
      </c>
      <c r="I34" s="470">
        <v>0</v>
      </c>
      <c r="K34" s="476">
        <v>3</v>
      </c>
      <c r="L34" s="367">
        <f>IF(L$31=1,0,1)</f>
        <v>1</v>
      </c>
      <c r="M34" s="367"/>
      <c r="N34" s="367"/>
      <c r="O34" s="367" t="s">
        <v>1972</v>
      </c>
      <c r="P34" s="470" t="s">
        <v>140</v>
      </c>
      <c r="R34" s="416" t="s">
        <v>1994</v>
      </c>
      <c r="S34" s="417">
        <f>IF(W34="",0,1)</f>
        <v>1</v>
      </c>
      <c r="T34" s="417"/>
      <c r="U34" s="417"/>
      <c r="V34" s="417" t="s">
        <v>340</v>
      </c>
      <c r="W34" s="419">
        <f>RBLInput!D49</f>
        <v>121212121</v>
      </c>
      <c r="Y34" s="577" t="s">
        <v>2334</v>
      </c>
      <c r="Z34" s="10">
        <v>1</v>
      </c>
      <c r="AA34" s="61"/>
      <c r="AB34" s="61"/>
      <c r="AC34" s="61">
        <v>1</v>
      </c>
      <c r="AD34" s="61"/>
      <c r="AE34" s="61"/>
      <c r="AF34" s="578" t="s">
        <v>2335</v>
      </c>
      <c r="AG34" s="330"/>
      <c r="AI34" s="424" t="s">
        <v>1728</v>
      </c>
      <c r="AJ34" s="417">
        <f>IF(NOT(isRetorEst),0,1)</f>
        <v>1</v>
      </c>
      <c r="AK34" s="417" t="s">
        <v>1729</v>
      </c>
      <c r="AL34" s="417" t="str">
        <f>"This option will pay a single lump sum payment of "&amp;TEXT(AN34,"$#,##0.00")&amp;" on "&amp;TEXT(iDateBenComm,"mmmm d, yyyy")&amp;" in lieu of monthly payments.  This payment will represent a complete settlement of your plan benefits and no other payments will be due."</f>
        <v>This option will pay a single lump sum payment of $443,367.79 on December 1, 2006 in lieu of monthly payments.  This payment will represent a complete settlement of your plan benefits and no other payments will be due.</v>
      </c>
      <c r="AM34" s="417" t="s">
        <v>1730</v>
      </c>
      <c r="AN34" s="442">
        <v>443367.79</v>
      </c>
      <c r="AO34" s="443" t="s">
        <v>1730</v>
      </c>
      <c r="AP34" s="332"/>
      <c r="AQ34" s="416" t="s">
        <v>784</v>
      </c>
      <c r="AR34" s="417">
        <f>IF(cBenInd,IF(AT34="",0,1),0)</f>
        <v>0</v>
      </c>
      <c r="AS34" s="425" t="s">
        <v>785</v>
      </c>
      <c r="AT34" s="346" t="str">
        <f>iSpouseDOB</f>
        <v/>
      </c>
      <c r="AV34" s="416">
        <f>IF(isDeminimus, 1, 0)</f>
        <v>0</v>
      </c>
      <c r="AW34" s="97" t="s">
        <v>1291</v>
      </c>
      <c r="AX34" s="97" t="s">
        <v>1296</v>
      </c>
      <c r="AY34" s="97" t="str">
        <f>AX34</f>
        <v>CashOut.doc</v>
      </c>
      <c r="AZ34" s="97" t="s">
        <v>1298</v>
      </c>
      <c r="BA34" s="346"/>
      <c r="BC34" s="435"/>
      <c r="BD34" s="436"/>
      <c r="BE34" s="436"/>
      <c r="BF34" s="436"/>
      <c r="BG34" s="437"/>
      <c r="BI34" s="345">
        <v>1</v>
      </c>
      <c r="BJ34" s="97" t="str">
        <f>BM35 &amp; " Benefit Information"</f>
        <v>001 Benefit Information</v>
      </c>
      <c r="BK34" s="97"/>
      <c r="BL34" s="97"/>
      <c r="BM34" s="97"/>
      <c r="BN34" s="97"/>
      <c r="BO34" s="346"/>
      <c r="BQ34" s="676">
        <v>1</v>
      </c>
      <c r="BR34" s="575" t="s">
        <v>2641</v>
      </c>
      <c r="BS34" s="357"/>
      <c r="BT34" s="357">
        <v>0</v>
      </c>
      <c r="BU34" s="576" t="s">
        <v>2648</v>
      </c>
      <c r="BV34" s="29" t="s">
        <v>727</v>
      </c>
    </row>
    <row r="35" spans="1:81" ht="13.5" thickBot="1" x14ac:dyDescent="0.25">
      <c r="A35" s="321" t="s">
        <v>2310</v>
      </c>
      <c r="B35" s="322"/>
      <c r="C35" s="323">
        <v>0</v>
      </c>
      <c r="E35" s="476">
        <f t="shared" si="1"/>
        <v>6</v>
      </c>
      <c r="F35" s="367">
        <f>IF(L$31=1,0,1)</f>
        <v>1</v>
      </c>
      <c r="G35" s="31" t="s">
        <v>2635</v>
      </c>
      <c r="H35" s="367" t="s">
        <v>2636</v>
      </c>
      <c r="I35" s="470">
        <v>0</v>
      </c>
      <c r="K35" s="476">
        <v>4</v>
      </c>
      <c r="L35" s="367">
        <f>IF(L$31=1,0,1)</f>
        <v>1</v>
      </c>
      <c r="M35" s="367"/>
      <c r="N35" s="367"/>
      <c r="O35" s="367" t="s">
        <v>1971</v>
      </c>
      <c r="P35" s="470" t="s">
        <v>140</v>
      </c>
      <c r="R35" s="416" t="s">
        <v>781</v>
      </c>
      <c r="S35" s="417">
        <f>IF(W35="",0,1)</f>
        <v>1</v>
      </c>
      <c r="T35" s="417"/>
      <c r="U35" s="417"/>
      <c r="V35" s="417" t="s">
        <v>341</v>
      </c>
      <c r="W35" s="420" t="str">
        <f>RBLInput!D50</f>
        <v>Parker</v>
      </c>
      <c r="Y35" s="577" t="s">
        <v>2336</v>
      </c>
      <c r="Z35" s="10">
        <v>1</v>
      </c>
      <c r="AA35" s="61">
        <v>1</v>
      </c>
      <c r="AB35" s="61"/>
      <c r="AC35" s="61"/>
      <c r="AD35" s="31" t="s">
        <v>2337</v>
      </c>
      <c r="AE35" s="61"/>
      <c r="AF35" s="12" t="s">
        <v>2337</v>
      </c>
      <c r="AG35" s="330"/>
      <c r="AI35" s="424" t="s">
        <v>1733</v>
      </c>
      <c r="AJ35" s="417">
        <f>IF(NOT(isRetorEst),0,1)</f>
        <v>1</v>
      </c>
      <c r="AK35" s="417" t="s">
        <v>1734</v>
      </c>
      <c r="AL35" s="417" t="str">
        <f>"This option will pay "&amp;TEXT(AN35,"$#,##0.00")&amp;" monthly commencing "&amp;TEXT(iDateBenComm,"mmmm d, yyyy")&amp;" and continue for as long as you live.  Payments will cease upon your death.  No payments will be made to any spouse or beneficiary."</f>
        <v>This option will pay $1,000.00 monthly commencing December 1, 2006 and continue for as long as you live.  Payments will cease upon your death.  No payments will be made to any spouse or beneficiary.</v>
      </c>
      <c r="AM35" s="444">
        <v>1</v>
      </c>
      <c r="AN35" s="442">
        <v>1000</v>
      </c>
      <c r="AO35" s="443" t="s">
        <v>1730</v>
      </c>
      <c r="AP35" s="332"/>
      <c r="AQ35" s="416" t="s">
        <v>1722</v>
      </c>
      <c r="AR35" s="417">
        <f>IF(AT35="",0,1)</f>
        <v>1</v>
      </c>
      <c r="AS35" s="417" t="s">
        <v>1995</v>
      </c>
      <c r="AT35" s="451">
        <f>iDateTerm</f>
        <v>38930</v>
      </c>
      <c r="AV35" s="345"/>
      <c r="AW35" s="97"/>
      <c r="AX35" s="417"/>
      <c r="AY35" s="417"/>
      <c r="AZ35" s="97"/>
      <c r="BA35" s="346"/>
      <c r="BI35" s="345">
        <v>1</v>
      </c>
      <c r="BJ35" s="97" t="s">
        <v>1850</v>
      </c>
      <c r="BK35" s="97" t="s">
        <v>1849</v>
      </c>
      <c r="BL35" s="97" t="s">
        <v>1407</v>
      </c>
      <c r="BM35" s="462" t="s">
        <v>1398</v>
      </c>
      <c r="BN35" s="462">
        <v>400.34</v>
      </c>
      <c r="BO35" s="463">
        <v>1</v>
      </c>
      <c r="BQ35" s="678"/>
      <c r="BR35" s="679"/>
      <c r="BS35" s="679"/>
      <c r="BT35" s="679"/>
      <c r="BU35" s="680"/>
      <c r="BV35" s="29" t="s">
        <v>727</v>
      </c>
    </row>
    <row r="36" spans="1:81" ht="13.5" thickBot="1" x14ac:dyDescent="0.25">
      <c r="A36" s="329" t="s">
        <v>344</v>
      </c>
      <c r="B36" s="331" t="str">
        <f>PROPER(namefirst)</f>
        <v>Philip</v>
      </c>
      <c r="C36" s="330">
        <v>1</v>
      </c>
      <c r="E36" s="476">
        <f t="shared" si="1"/>
        <v>7</v>
      </c>
      <c r="F36" s="367">
        <f>IF(AND(iMHAFinalCalculation=0, L$31=1),0,1)</f>
        <v>1</v>
      </c>
      <c r="G36" s="31" t="s">
        <v>281</v>
      </c>
      <c r="H36" s="31" t="s">
        <v>2467</v>
      </c>
      <c r="I36" s="470">
        <v>0</v>
      </c>
      <c r="K36" s="471"/>
      <c r="L36" s="236"/>
      <c r="M36" s="236"/>
      <c r="N36" s="236"/>
      <c r="O36" s="236"/>
      <c r="P36" s="472"/>
      <c r="R36" s="416" t="s">
        <v>784</v>
      </c>
      <c r="S36" s="417">
        <f>IF(W36="",0,1)</f>
        <v>1</v>
      </c>
      <c r="T36" s="417"/>
      <c r="U36" s="417"/>
      <c r="V36" s="417" t="s">
        <v>343</v>
      </c>
      <c r="W36" s="420" t="str">
        <f>RBLInput!D51</f>
        <v>Philip</v>
      </c>
      <c r="Y36" s="333"/>
      <c r="Z36" s="344"/>
      <c r="AA36" s="344"/>
      <c r="AB36" s="344"/>
      <c r="AC36" s="344"/>
      <c r="AD36" s="344"/>
      <c r="AE36" s="344"/>
      <c r="AF36" s="344"/>
      <c r="AG36" s="335"/>
      <c r="AI36" s="424" t="s">
        <v>1737</v>
      </c>
      <c r="AJ36" s="417">
        <f>IF(NOT(isRetorEst),0,IF(cBenInd,1,0))</f>
        <v>0</v>
      </c>
      <c r="AK36" s="417" t="s">
        <v>1738</v>
      </c>
      <c r="AL36" s="417" t="str">
        <f>"This option will pay "&amp;TEXT(AN36,"$#,##0.00")&amp;" monthly commencing "&amp;TEXT(iDateBenComm,"mmmm d, yyyy")&amp;" and continue for as long as you live.  Should your spouse survive you, monthly payments of "&amp;TEXT(AO36,"$#,##0.00")&amp;" will continue to be paid to your spouse for his/her remaining lifetime."</f>
        <v>This option will pay $800.00 monthly commencing December 1, 2006 and continue for as long as you live.  Should your spouse survive you, monthly payments of $800.00 will continue to be paid to your spouse for his/her remaining lifetime.</v>
      </c>
      <c r="AM36" s="444">
        <f t="shared" ref="AM36:AM41" si="2">AN36/$AN$35</f>
        <v>0.8</v>
      </c>
      <c r="AN36" s="442">
        <v>800</v>
      </c>
      <c r="AO36" s="445">
        <f>ROUND(AN36,2)</f>
        <v>800</v>
      </c>
      <c r="AP36" s="332"/>
      <c r="AQ36" s="416" t="s">
        <v>1727</v>
      </c>
      <c r="AR36" s="417">
        <f>IF(AT36="",0,1)</f>
        <v>1</v>
      </c>
      <c r="AS36" s="417" t="s">
        <v>551</v>
      </c>
      <c r="AT36" s="451">
        <f>iDateBenComm</f>
        <v>39052</v>
      </c>
      <c r="AV36" s="435"/>
      <c r="AW36" s="436"/>
      <c r="AX36" s="456"/>
      <c r="AY36" s="456"/>
      <c r="AZ36" s="436"/>
      <c r="BA36" s="437"/>
      <c r="BI36" s="345">
        <v>1</v>
      </c>
      <c r="BJ36" s="97" t="s">
        <v>786</v>
      </c>
      <c r="BK36" s="97" t="s">
        <v>1857</v>
      </c>
      <c r="BL36" s="97" t="s">
        <v>1407</v>
      </c>
      <c r="BM36" s="97" t="str">
        <f>BM35</f>
        <v>001</v>
      </c>
      <c r="BN36" s="460">
        <v>39458</v>
      </c>
      <c r="BO36" s="461">
        <v>1</v>
      </c>
    </row>
    <row r="37" spans="1:81" x14ac:dyDescent="0.2">
      <c r="A37" s="329" t="s">
        <v>342</v>
      </c>
      <c r="B37" s="331" t="str">
        <f>PROPER(namelast)</f>
        <v>Parker</v>
      </c>
      <c r="C37" s="330">
        <v>1</v>
      </c>
      <c r="E37" s="476">
        <f t="shared" si="1"/>
        <v>8</v>
      </c>
      <c r="F37" s="367">
        <f>IF(AND(iMHAFinalCalculation=1, L$31=1),0,1)</f>
        <v>1</v>
      </c>
      <c r="G37" s="367" t="s">
        <v>233</v>
      </c>
      <c r="H37" s="367" t="s">
        <v>231</v>
      </c>
      <c r="I37" s="470">
        <v>0</v>
      </c>
      <c r="R37" s="416" t="s">
        <v>1722</v>
      </c>
      <c r="S37" s="417">
        <f>IF(W37="",0,1)</f>
        <v>1</v>
      </c>
      <c r="T37" s="417"/>
      <c r="U37" s="417"/>
      <c r="V37" s="417" t="s">
        <v>372</v>
      </c>
      <c r="W37" s="420" t="str">
        <f>RBLInput!D52</f>
        <v>M</v>
      </c>
      <c r="Y37" s="67"/>
      <c r="Z37" s="67"/>
      <c r="AA37" s="67"/>
      <c r="AB37" s="67"/>
      <c r="AC37" s="67"/>
      <c r="AD37" s="67"/>
      <c r="AE37" s="67"/>
      <c r="AF37" s="67"/>
      <c r="AG37" s="67"/>
      <c r="AI37" s="424" t="s">
        <v>1741</v>
      </c>
      <c r="AJ37" s="417">
        <f>IF(NOT(isRetorEst),0,IF(cBenInd,1,0))</f>
        <v>0</v>
      </c>
      <c r="AK37" s="417" t="s">
        <v>1742</v>
      </c>
      <c r="AL37" s="417" t="str">
        <f>"This option will pay "&amp;TEXT(AN37,"$#,##0.00")&amp;" monthly commencing "&amp;TEXT(iDateBenComm,"mmmm d, yyyy")&amp;" and continue for as long as you live.  Should your spouse survive you, monthly payments of "&amp;TEXT(AO37,"$#,##0.00")&amp;" will continue to be paid to your spouse for his/her remaining lifetime."</f>
        <v>This option will pay $850.00 monthly commencing December 1, 2006 and continue for as long as you live.  Should your spouse survive you, monthly payments of $637.50 will continue to be paid to your spouse for his/her remaining lifetime.</v>
      </c>
      <c r="AM37" s="444">
        <f t="shared" si="2"/>
        <v>0.85</v>
      </c>
      <c r="AN37" s="442">
        <v>850</v>
      </c>
      <c r="AO37" s="445">
        <f>ROUND(AN37*0.75,2)</f>
        <v>637.5</v>
      </c>
      <c r="AP37" s="332"/>
      <c r="AQ37" s="416" t="s">
        <v>1732</v>
      </c>
      <c r="AR37" s="417">
        <f ca="1">IF(AT37="",0,1)</f>
        <v>1</v>
      </c>
      <c r="AS37" s="417" t="s">
        <v>377</v>
      </c>
      <c r="AT37" s="451">
        <f ca="1">iDateDeath</f>
        <v>42583</v>
      </c>
      <c r="BI37" s="345"/>
      <c r="BJ37" s="97"/>
      <c r="BK37" s="97"/>
      <c r="BL37" s="97"/>
      <c r="BM37" s="97"/>
      <c r="BN37" s="97"/>
      <c r="BO37" s="346"/>
    </row>
    <row r="38" spans="1:81" ht="13.5" thickBot="1" x14ac:dyDescent="0.25">
      <c r="A38" s="329" t="s">
        <v>1003</v>
      </c>
      <c r="B38" s="331" t="str">
        <f>PROPER(address1)</f>
        <v>1000 Street St.</v>
      </c>
      <c r="C38" s="330">
        <v>1</v>
      </c>
      <c r="E38" s="476">
        <f t="shared" si="1"/>
        <v>9</v>
      </c>
      <c r="F38" s="367">
        <f t="shared" si="0"/>
        <v>1</v>
      </c>
      <c r="G38" s="31" t="s">
        <v>2234</v>
      </c>
      <c r="H38" s="367" t="s">
        <v>2235</v>
      </c>
      <c r="I38" s="470">
        <v>0</v>
      </c>
      <c r="R38" s="416" t="s">
        <v>1727</v>
      </c>
      <c r="S38" s="417">
        <v>0</v>
      </c>
      <c r="T38" s="417"/>
      <c r="U38" s="417"/>
      <c r="V38" s="417" t="s">
        <v>375</v>
      </c>
      <c r="W38" s="421">
        <f>RBLInput!D53</f>
        <v>16345</v>
      </c>
      <c r="Y38" s="67"/>
      <c r="Z38" s="67"/>
      <c r="AA38" s="67"/>
      <c r="AB38" s="67"/>
      <c r="AC38" s="67"/>
      <c r="AD38" s="67"/>
      <c r="AE38" s="67"/>
      <c r="AF38" s="67"/>
      <c r="AG38" s="67"/>
      <c r="AI38" s="424" t="s">
        <v>1746</v>
      </c>
      <c r="AJ38" s="417">
        <f>IF(NOT(isRetorEst),0,IF(cBenInd,1,0))</f>
        <v>0</v>
      </c>
      <c r="AK38" s="417" t="s">
        <v>1747</v>
      </c>
      <c r="AL38" s="417" t="str">
        <f>"This option will pay "&amp;TEXT(AN38,"$#,##0.00")&amp;" monthly commencing "&amp;TEXT(iDateBenComm,"mmmm d, yyyy")&amp;" and continue for as long as you live.  Should your spouse survive you, monthly payments of "&amp;TEXT(AO38,"$#,##0.00")&amp;" will continue to be paid to your spouse for his/her remaining lifetime."</f>
        <v>This option will pay $900.00 monthly commencing December 1, 2006 and continue for as long as you live.  Should your spouse survive you, monthly payments of $450.00 will continue to be paid to your spouse for his/her remaining lifetime.</v>
      </c>
      <c r="AM38" s="444">
        <f t="shared" si="2"/>
        <v>0.9</v>
      </c>
      <c r="AN38" s="442">
        <v>900</v>
      </c>
      <c r="AO38" s="445">
        <f>ROUND(AN38*0.5,2)</f>
        <v>450</v>
      </c>
      <c r="AP38" s="332"/>
      <c r="AQ38" s="416" t="s">
        <v>1736</v>
      </c>
      <c r="AR38" s="417">
        <f>IF(AT38="",0,1)</f>
        <v>1</v>
      </c>
      <c r="AS38" s="417" t="s">
        <v>1739</v>
      </c>
      <c r="AT38" s="452">
        <f>ROUND((YEAR(iDateBenComm)-YEAR(datebirth))+(MONTH(iDateBenComm)-MONTH(datebirth)-IF(DAY(datebirth)=1,0,1))/12,3)</f>
        <v>62.167000000000002</v>
      </c>
      <c r="BI38" s="435"/>
      <c r="BJ38" s="436"/>
      <c r="BK38" s="436"/>
      <c r="BL38" s="436"/>
      <c r="BM38" s="436"/>
      <c r="BN38" s="436"/>
      <c r="BO38" s="437"/>
    </row>
    <row r="39" spans="1:81" ht="13.5" thickBot="1" x14ac:dyDescent="0.25">
      <c r="A39" s="329" t="s">
        <v>1005</v>
      </c>
      <c r="B39" s="331" t="str">
        <f>PROPER(address2)</f>
        <v/>
      </c>
      <c r="C39" s="330">
        <v>1</v>
      </c>
      <c r="E39" s="477"/>
      <c r="F39" s="236"/>
      <c r="G39" s="236"/>
      <c r="H39" s="236"/>
      <c r="I39" s="472"/>
      <c r="R39" s="416" t="s">
        <v>1732</v>
      </c>
      <c r="S39" s="417">
        <f t="shared" ref="S39:S49" si="3">IF(W39="",0,1)</f>
        <v>1</v>
      </c>
      <c r="T39" s="417"/>
      <c r="U39" s="417"/>
      <c r="V39" s="417" t="s">
        <v>1864</v>
      </c>
      <c r="W39" s="421">
        <f>RBLInput!D54</f>
        <v>36477</v>
      </c>
      <c r="Y39" s="67"/>
      <c r="Z39" s="67"/>
      <c r="AA39" s="67"/>
      <c r="AB39" s="67"/>
      <c r="AC39" s="67"/>
      <c r="AD39" s="67"/>
      <c r="AE39" s="67"/>
      <c r="AF39" s="67"/>
      <c r="AG39" s="67"/>
      <c r="AI39" s="424" t="s">
        <v>1752</v>
      </c>
      <c r="AJ39" s="417">
        <f>IF(NOT(isRetorEst),0,1)</f>
        <v>1</v>
      </c>
      <c r="AK39" s="417" t="s">
        <v>1753</v>
      </c>
      <c r="AL39" s="417" t="str">
        <f>"This option will pay "&amp;TEXT(AN39,"$#,##0.00")&amp;" monthly commencing "&amp;TEXT(iDateBenComm,"mmmm d, yyyy")&amp;" and continue for as long as you live.  Should you die before 120 payments have been made, the balance of 60 monthly payments will continue to your beneficiary."</f>
        <v>This option will pay $975.00 monthly commencing December 1, 2006 and continue for as long as you live.  Should you die before 120 payments have been made, the balance of 60 monthly payments will continue to your beneficiary.</v>
      </c>
      <c r="AM39" s="444">
        <f t="shared" si="2"/>
        <v>0.97499999999999998</v>
      </c>
      <c r="AN39" s="442">
        <v>975</v>
      </c>
      <c r="AO39" s="445">
        <f>ROUND(AN39,2)</f>
        <v>975</v>
      </c>
      <c r="AP39" s="332"/>
      <c r="AQ39" s="416" t="s">
        <v>1740</v>
      </c>
      <c r="AR39" s="417">
        <f>IF(cBenInd,IF(AT39="",0,1),0)</f>
        <v>0</v>
      </c>
      <c r="AS39" s="425" t="s">
        <v>1743</v>
      </c>
      <c r="AT39" s="452" t="str">
        <f>IF(cBenInd,ROUND((YEAR(iDateBenComm)-YEAR(iSpouseDOB))+(MONTH(iDateBenComm)-MONTH(iSpouseDOB)-IF(DAY(iSpouseDOB)=1,0,1))/12,3),"")</f>
        <v/>
      </c>
    </row>
    <row r="40" spans="1:81" ht="13.5" thickBot="1" x14ac:dyDescent="0.25">
      <c r="A40" s="333" t="s">
        <v>1726</v>
      </c>
      <c r="B40" s="334" t="str">
        <f>PROPER(city)&amp;", "&amp;state&amp;" "&amp;TEXT(zip,"00000")</f>
        <v>Walnut Creek, CA 94598</v>
      </c>
      <c r="C40" s="335">
        <v>1</v>
      </c>
      <c r="R40" s="416" t="s">
        <v>1736</v>
      </c>
      <c r="S40" s="417">
        <f t="shared" si="3"/>
        <v>0</v>
      </c>
      <c r="T40" s="417"/>
      <c r="U40" s="417"/>
      <c r="V40" s="417" t="s">
        <v>377</v>
      </c>
      <c r="W40" s="330" t="str">
        <f>RBLInput!D55</f>
        <v/>
      </c>
      <c r="Y40" s="67"/>
      <c r="Z40" s="67"/>
      <c r="AA40" s="67"/>
      <c r="AB40" s="67"/>
      <c r="AC40" s="67"/>
      <c r="AD40" s="67"/>
      <c r="AE40" s="67"/>
      <c r="AF40" s="67"/>
      <c r="AG40" s="67"/>
      <c r="AI40" s="424" t="s">
        <v>1757</v>
      </c>
      <c r="AJ40" s="417">
        <f>IF(NOT(isRetorEst),0,1)</f>
        <v>1</v>
      </c>
      <c r="AK40" s="417" t="s">
        <v>1051</v>
      </c>
      <c r="AL40" s="417" t="str">
        <f>"This option will pay "&amp;TEXT(AN40,"$#,##0.00")&amp;" monthly commencing "&amp;TEXT(iDateBenComm,"mmmm d, yyyy")&amp;" and continue for as long as you live.  Should you die before 120 payments have been made, the balance of 120 monthly payments will continue to your beneficiary."</f>
        <v>This option will pay $950.00 monthly commencing December 1, 2006 and continue for as long as you live.  Should you die before 120 payments have been made, the balance of 120 monthly payments will continue to your beneficiary.</v>
      </c>
      <c r="AM40" s="444">
        <f t="shared" si="2"/>
        <v>0.95</v>
      </c>
      <c r="AN40" s="442">
        <v>950</v>
      </c>
      <c r="AO40" s="445">
        <f>ROUND(AN40,2)</f>
        <v>950</v>
      </c>
      <c r="AP40" s="332"/>
      <c r="AQ40" s="424" t="s">
        <v>1748</v>
      </c>
      <c r="AR40" s="417">
        <v>1</v>
      </c>
      <c r="AS40" s="425" t="s">
        <v>1749</v>
      </c>
      <c r="AT40" s="426"/>
    </row>
    <row r="41" spans="1:81" ht="13.5" thickBot="1" x14ac:dyDescent="0.25">
      <c r="A41" s="321" t="s">
        <v>1731</v>
      </c>
      <c r="B41" s="336"/>
      <c r="C41" s="323">
        <v>0</v>
      </c>
      <c r="R41" s="416" t="s">
        <v>1740</v>
      </c>
      <c r="S41" s="417">
        <f t="shared" si="3"/>
        <v>0</v>
      </c>
      <c r="T41" s="417"/>
      <c r="U41" s="417"/>
      <c r="V41" s="417" t="s">
        <v>1117</v>
      </c>
      <c r="W41" s="330" t="str">
        <f>RBLInput!D56</f>
        <v/>
      </c>
      <c r="Y41" s="67"/>
      <c r="Z41" s="67"/>
      <c r="AA41" s="67"/>
      <c r="AB41" s="67"/>
      <c r="AC41" s="67"/>
      <c r="AD41" s="67"/>
      <c r="AE41" s="67"/>
      <c r="AF41" s="67"/>
      <c r="AG41" s="67"/>
      <c r="AI41" s="424" t="s">
        <v>1054</v>
      </c>
      <c r="AJ41" s="417">
        <f>IF(NOT(isRetorEst),0,1)</f>
        <v>1</v>
      </c>
      <c r="AK41" s="417" t="s">
        <v>40</v>
      </c>
      <c r="AL41" s="417" t="str">
        <f>"This option will pay "&amp;TEXT(AN41,"$#,##0.00")&amp;" monthly commencing "&amp;TEXT(iDateBenComm,"mmmm d, yyyy")&amp;" and continue for as long as you live.  Should you die before 180 payments have been made, the balance of 120 monthly payments will continue to your beneficiary."</f>
        <v>This option will pay $925.00 monthly commencing December 1, 2006 and continue for as long as you live.  Should you die before 180 payments have been made, the balance of 120 monthly payments will continue to your beneficiary.</v>
      </c>
      <c r="AM41" s="444">
        <f t="shared" si="2"/>
        <v>0.92500000000000004</v>
      </c>
      <c r="AN41" s="442">
        <v>925</v>
      </c>
      <c r="AO41" s="445">
        <f>ROUND(AN41,2)</f>
        <v>925</v>
      </c>
      <c r="AP41" s="156"/>
      <c r="AQ41" s="424" t="s">
        <v>1745</v>
      </c>
      <c r="AR41" s="417">
        <f>IF(AT41="",0,1)</f>
        <v>1</v>
      </c>
      <c r="AS41" s="425" t="s">
        <v>1754</v>
      </c>
      <c r="AT41" s="453">
        <v>10000</v>
      </c>
    </row>
    <row r="42" spans="1:81" x14ac:dyDescent="0.2">
      <c r="A42" s="327" t="s">
        <v>1735</v>
      </c>
      <c r="B42" s="337">
        <f ca="1">NOW()</f>
        <v>42583.932755555557</v>
      </c>
      <c r="C42" s="328">
        <v>1</v>
      </c>
      <c r="R42" s="416" t="s">
        <v>1745</v>
      </c>
      <c r="S42" s="417">
        <f t="shared" si="3"/>
        <v>0</v>
      </c>
      <c r="T42" s="417"/>
      <c r="U42" s="417"/>
      <c r="V42" s="417" t="s">
        <v>1121</v>
      </c>
      <c r="W42" s="330" t="str">
        <f>RBLInput!D57</f>
        <v/>
      </c>
      <c r="Y42" s="67"/>
      <c r="Z42" s="67"/>
      <c r="AA42" s="67"/>
      <c r="AB42" s="67"/>
      <c r="AC42" s="67"/>
      <c r="AD42" s="67"/>
      <c r="AE42" s="67"/>
      <c r="AF42" s="67"/>
      <c r="AG42" s="67"/>
      <c r="AI42" s="424" t="str">
        <f t="shared" ref="AI42:AI49" si="4">AI34&amp;"Form"</f>
        <v>opt1Form</v>
      </c>
      <c r="AJ42" s="417">
        <f t="shared" ref="AJ42:AJ49" si="5">AJ34</f>
        <v>1</v>
      </c>
      <c r="AK42" s="417" t="str">
        <f t="shared" ref="AK42:AK49" si="6">AK34&amp;" "&amp;TEXT(AN34,"$#,##0.00")</f>
        <v>Lump Sum $443,367.79</v>
      </c>
      <c r="AL42" s="331"/>
      <c r="AM42" s="331"/>
      <c r="AN42" s="446"/>
      <c r="AO42" s="447"/>
      <c r="AP42" s="332"/>
      <c r="AQ42" s="424" t="s">
        <v>1751</v>
      </c>
      <c r="AR42" s="417">
        <f>IF(AT42="",0,1)</f>
        <v>1</v>
      </c>
      <c r="AS42" s="425" t="s">
        <v>1052</v>
      </c>
      <c r="AT42" s="454">
        <v>15</v>
      </c>
    </row>
    <row r="43" spans="1:81" x14ac:dyDescent="0.2">
      <c r="A43" s="329" t="s">
        <v>389</v>
      </c>
      <c r="B43" s="338">
        <f>iDateTerm</f>
        <v>38930</v>
      </c>
      <c r="C43" s="330">
        <v>1</v>
      </c>
      <c r="R43" s="416" t="s">
        <v>1751</v>
      </c>
      <c r="S43" s="417">
        <f t="shared" si="3"/>
        <v>0</v>
      </c>
      <c r="T43" s="417"/>
      <c r="U43" s="417"/>
      <c r="V43" s="417" t="s">
        <v>1123</v>
      </c>
      <c r="W43" s="330" t="str">
        <f>RBLInput!D58</f>
        <v/>
      </c>
      <c r="Y43" s="67"/>
      <c r="Z43" s="67"/>
      <c r="AA43" s="67"/>
      <c r="AB43" s="67"/>
      <c r="AC43" s="67"/>
      <c r="AD43" s="67"/>
      <c r="AE43" s="67"/>
      <c r="AF43" s="67"/>
      <c r="AG43" s="67"/>
      <c r="AI43" s="424" t="str">
        <f t="shared" si="4"/>
        <v>opt2Form</v>
      </c>
      <c r="AJ43" s="417">
        <f t="shared" si="5"/>
        <v>1</v>
      </c>
      <c r="AK43" s="417" t="str">
        <f t="shared" si="6"/>
        <v>Lifetime Annuity $1,000.00</v>
      </c>
      <c r="AL43" s="331"/>
      <c r="AM43" s="448"/>
      <c r="AN43" s="446"/>
      <c r="AO43" s="447"/>
      <c r="AP43" s="332"/>
      <c r="AQ43" s="424" t="s">
        <v>1756</v>
      </c>
      <c r="AR43" s="417">
        <f>IF(AT43="",0,1)</f>
        <v>1</v>
      </c>
      <c r="AS43" s="425" t="s">
        <v>1563</v>
      </c>
      <c r="AT43" s="454">
        <v>15</v>
      </c>
    </row>
    <row r="44" spans="1:81" x14ac:dyDescent="0.2">
      <c r="A44" s="329" t="s">
        <v>1744</v>
      </c>
      <c r="B44" s="339">
        <f>iDateBenComm</f>
        <v>39052</v>
      </c>
      <c r="C44" s="330">
        <v>1</v>
      </c>
      <c r="R44" s="416" t="s">
        <v>1756</v>
      </c>
      <c r="S44" s="417">
        <f t="shared" si="3"/>
        <v>0</v>
      </c>
      <c r="T44" s="417"/>
      <c r="U44" s="417"/>
      <c r="V44" s="417" t="s">
        <v>1125</v>
      </c>
      <c r="W44" s="330" t="str">
        <f>RBLInput!D59</f>
        <v/>
      </c>
      <c r="Y44" s="67"/>
      <c r="Z44" s="67"/>
      <c r="AA44" s="67"/>
      <c r="AB44" s="67"/>
      <c r="AC44" s="67"/>
      <c r="AD44" s="67"/>
      <c r="AE44" s="67"/>
      <c r="AF44" s="67"/>
      <c r="AG44" s="67"/>
      <c r="AI44" s="424" t="str">
        <f t="shared" si="4"/>
        <v>opt3Form</v>
      </c>
      <c r="AJ44" s="417">
        <f t="shared" si="5"/>
        <v>0</v>
      </c>
      <c r="AK44" s="417" t="str">
        <f t="shared" si="6"/>
        <v>100% Joint &amp; Survivor $800.00</v>
      </c>
      <c r="AL44" s="331"/>
      <c r="AM44" s="448"/>
      <c r="AN44" s="446"/>
      <c r="AO44" s="449"/>
      <c r="AP44" s="332"/>
      <c r="AQ44" s="424" t="s">
        <v>1053</v>
      </c>
      <c r="AR44" s="417">
        <f>IF(AT44="",0,1)</f>
        <v>1</v>
      </c>
      <c r="AS44" s="151" t="s">
        <v>42</v>
      </c>
      <c r="AT44" s="453">
        <f>AN39</f>
        <v>975</v>
      </c>
    </row>
    <row r="45" spans="1:81" x14ac:dyDescent="0.2">
      <c r="A45" s="329" t="s">
        <v>1750</v>
      </c>
      <c r="B45" s="340">
        <f>B44</f>
        <v>39052</v>
      </c>
      <c r="C45" s="330">
        <v>1</v>
      </c>
      <c r="R45" s="416" t="s">
        <v>1053</v>
      </c>
      <c r="S45" s="417">
        <f t="shared" si="3"/>
        <v>0</v>
      </c>
      <c r="T45" s="417"/>
      <c r="U45" s="417"/>
      <c r="V45" s="417" t="s">
        <v>1545</v>
      </c>
      <c r="W45" s="330" t="str">
        <f>RBLInput!D60</f>
        <v/>
      </c>
      <c r="Y45" s="67"/>
      <c r="Z45" s="67"/>
      <c r="AA45" s="67"/>
      <c r="AB45" s="67"/>
      <c r="AC45" s="67"/>
      <c r="AD45" s="67"/>
      <c r="AE45" s="67"/>
      <c r="AF45" s="67"/>
      <c r="AG45" s="67"/>
      <c r="AI45" s="424" t="str">
        <f t="shared" si="4"/>
        <v>opt4Form</v>
      </c>
      <c r="AJ45" s="417">
        <f t="shared" si="5"/>
        <v>0</v>
      </c>
      <c r="AK45" s="417" t="str">
        <f t="shared" si="6"/>
        <v>75% Joint &amp; Survivor $850.00</v>
      </c>
      <c r="AL45" s="331"/>
      <c r="AM45" s="448"/>
      <c r="AN45" s="446"/>
      <c r="AO45" s="449"/>
      <c r="AP45" s="332"/>
      <c r="AQ45" s="424"/>
      <c r="AR45" s="417"/>
      <c r="AS45" s="425"/>
      <c r="AT45" s="429"/>
    </row>
    <row r="46" spans="1:81" ht="13.5" thickBot="1" x14ac:dyDescent="0.25">
      <c r="A46" s="329" t="s">
        <v>1755</v>
      </c>
      <c r="B46" s="340"/>
      <c r="C46" s="330">
        <v>0</v>
      </c>
      <c r="R46" s="416" t="s">
        <v>41</v>
      </c>
      <c r="S46" s="417">
        <f t="shared" si="3"/>
        <v>0</v>
      </c>
      <c r="T46" s="417"/>
      <c r="U46" s="417"/>
      <c r="V46" s="417" t="s">
        <v>1550</v>
      </c>
      <c r="W46" s="330" t="str">
        <f>RBLInput!D61</f>
        <v/>
      </c>
      <c r="Y46" s="67"/>
      <c r="Z46" s="67"/>
      <c r="AA46" s="67"/>
      <c r="AB46" s="67"/>
      <c r="AC46" s="67"/>
      <c r="AD46" s="67"/>
      <c r="AE46" s="67"/>
      <c r="AF46" s="67"/>
      <c r="AG46" s="67"/>
      <c r="AI46" s="424" t="str">
        <f t="shared" si="4"/>
        <v>opt5Form</v>
      </c>
      <c r="AJ46" s="417">
        <f t="shared" si="5"/>
        <v>0</v>
      </c>
      <c r="AK46" s="417" t="str">
        <f t="shared" si="6"/>
        <v>50% Joint &amp; Survivor $900.00</v>
      </c>
      <c r="AL46" s="331"/>
      <c r="AM46" s="448"/>
      <c r="AN46" s="446"/>
      <c r="AO46" s="449"/>
      <c r="AP46" s="332"/>
      <c r="AQ46" s="455"/>
      <c r="AR46" s="456"/>
      <c r="AS46" s="457"/>
      <c r="AT46" s="458"/>
    </row>
    <row r="47" spans="1:81" ht="13.5" thickBot="1" x14ac:dyDescent="0.25">
      <c r="A47" s="329" t="s">
        <v>1539</v>
      </c>
      <c r="B47" s="340"/>
      <c r="C47" s="330">
        <v>1</v>
      </c>
      <c r="R47" s="416" t="s">
        <v>44</v>
      </c>
      <c r="S47" s="417">
        <f t="shared" si="3"/>
        <v>1</v>
      </c>
      <c r="T47" s="417"/>
      <c r="U47" s="417"/>
      <c r="V47" s="417" t="s">
        <v>1004</v>
      </c>
      <c r="W47" s="420" t="str">
        <f>RBLInput!D62</f>
        <v>1000 Street St.</v>
      </c>
      <c r="Y47" s="67"/>
      <c r="Z47" s="67"/>
      <c r="AA47" s="67"/>
      <c r="AB47" s="67"/>
      <c r="AC47" s="67"/>
      <c r="AD47" s="67"/>
      <c r="AE47" s="67"/>
      <c r="AF47" s="67"/>
      <c r="AG47" s="67"/>
      <c r="AI47" s="424" t="str">
        <f t="shared" si="4"/>
        <v>opt6Form</v>
      </c>
      <c r="AJ47" s="417">
        <f t="shared" si="5"/>
        <v>1</v>
      </c>
      <c r="AK47" s="417" t="str">
        <f t="shared" si="6"/>
        <v>5 Year Certain &amp; Life $975.00</v>
      </c>
      <c r="AL47" s="331"/>
      <c r="AM47" s="448"/>
      <c r="AN47" s="446"/>
      <c r="AO47" s="449"/>
      <c r="AP47" s="332"/>
      <c r="AQ47" s="277"/>
      <c r="AR47" s="156"/>
      <c r="AS47" s="156"/>
      <c r="AT47" s="342"/>
    </row>
    <row r="48" spans="1:81" ht="13.5" thickBot="1" x14ac:dyDescent="0.25">
      <c r="A48" s="321" t="s">
        <v>43</v>
      </c>
      <c r="B48" s="341"/>
      <c r="C48" s="323">
        <v>0</v>
      </c>
      <c r="R48" s="416" t="s">
        <v>46</v>
      </c>
      <c r="S48" s="417">
        <f t="shared" si="3"/>
        <v>0</v>
      </c>
      <c r="T48" s="417"/>
      <c r="U48" s="417"/>
      <c r="V48" s="417" t="s">
        <v>1006</v>
      </c>
      <c r="W48" s="422" t="str">
        <f>RBLInput!D63</f>
        <v/>
      </c>
      <c r="Y48" s="67"/>
      <c r="Z48" s="67"/>
      <c r="AA48" s="67"/>
      <c r="AB48" s="67"/>
      <c r="AC48" s="67"/>
      <c r="AD48" s="67"/>
      <c r="AE48" s="67"/>
      <c r="AF48" s="67"/>
      <c r="AG48" s="67"/>
      <c r="AI48" s="424" t="str">
        <f t="shared" si="4"/>
        <v>opt7Form</v>
      </c>
      <c r="AJ48" s="417">
        <f t="shared" si="5"/>
        <v>1</v>
      </c>
      <c r="AK48" s="417" t="str">
        <f t="shared" si="6"/>
        <v>10 Year Certain &amp; Life $950.00</v>
      </c>
      <c r="AL48" s="331"/>
      <c r="AM48" s="448"/>
      <c r="AN48" s="446"/>
      <c r="AO48" s="449"/>
      <c r="AP48" s="332"/>
      <c r="AQ48" s="277"/>
      <c r="AR48" s="156"/>
      <c r="AS48" s="277"/>
      <c r="AT48" s="342"/>
    </row>
    <row r="49" spans="1:42" ht="13.5" thickBot="1" x14ac:dyDescent="0.25">
      <c r="A49" s="327" t="s">
        <v>45</v>
      </c>
      <c r="B49" s="343"/>
      <c r="C49" s="328">
        <v>1</v>
      </c>
      <c r="R49" s="416" t="s">
        <v>47</v>
      </c>
      <c r="S49" s="417">
        <f t="shared" si="3"/>
        <v>1</v>
      </c>
      <c r="T49" s="417"/>
      <c r="U49" s="417"/>
      <c r="V49" s="417" t="s">
        <v>1008</v>
      </c>
      <c r="W49" s="420" t="str">
        <f>RBLInput!D64</f>
        <v>Walnut Creek</v>
      </c>
      <c r="Y49" s="67"/>
      <c r="Z49" s="67"/>
      <c r="AA49" s="67"/>
      <c r="AB49" s="67"/>
      <c r="AC49" s="67"/>
      <c r="AD49" s="67"/>
      <c r="AE49" s="67"/>
      <c r="AF49" s="67"/>
      <c r="AG49" s="67"/>
      <c r="AI49" s="424" t="str">
        <f t="shared" si="4"/>
        <v>opt8Form</v>
      </c>
      <c r="AJ49" s="417">
        <f t="shared" si="5"/>
        <v>1</v>
      </c>
      <c r="AK49" s="417" t="str">
        <f t="shared" si="6"/>
        <v>15 Year Certain &amp; Life $925.00</v>
      </c>
      <c r="AL49" s="331"/>
      <c r="AM49" s="448"/>
      <c r="AN49" s="446"/>
      <c r="AO49" s="449"/>
      <c r="AP49" s="156"/>
    </row>
    <row r="50" spans="1:42" ht="13.5" thickBot="1" x14ac:dyDescent="0.25">
      <c r="A50" s="321" t="s">
        <v>48</v>
      </c>
      <c r="B50" s="322"/>
      <c r="C50" s="323">
        <v>0</v>
      </c>
      <c r="R50" s="416" t="s">
        <v>49</v>
      </c>
      <c r="S50" s="417">
        <f>IF(SUM(S51:S57)=0,0,1)</f>
        <v>1</v>
      </c>
      <c r="T50" s="417"/>
      <c r="U50" s="417"/>
      <c r="V50" s="417" t="s">
        <v>1010</v>
      </c>
      <c r="W50" s="420" t="str">
        <f>RBLInput!D65</f>
        <v>CA</v>
      </c>
      <c r="Y50" s="67"/>
      <c r="Z50" s="67"/>
      <c r="AA50" s="67"/>
      <c r="AB50" s="67"/>
      <c r="AC50" s="67"/>
      <c r="AD50" s="67"/>
      <c r="AE50" s="67"/>
      <c r="AF50" s="67"/>
      <c r="AG50" s="67"/>
      <c r="AI50" s="441" t="s">
        <v>982</v>
      </c>
      <c r="AJ50" s="417">
        <f>IF(NOT(isRetorEst),0,1)</f>
        <v>1</v>
      </c>
      <c r="AK50" s="417" t="str">
        <f>"&lt;&lt;b&gt;&gt;Without Return of Employee Contributions&lt;&lt;/b&gt;&gt;"</f>
        <v>&lt;&lt;b&gt;&gt;Without Return of Employee Contributions&lt;&lt;/b&gt;&gt;</v>
      </c>
      <c r="AL50" s="417"/>
      <c r="AM50" s="417"/>
      <c r="AN50" s="417"/>
      <c r="AO50" s="426"/>
      <c r="AP50" s="156"/>
    </row>
    <row r="51" spans="1:42" x14ac:dyDescent="0.2">
      <c r="A51" s="327" t="s">
        <v>50</v>
      </c>
      <c r="B51" s="343"/>
      <c r="C51" s="328">
        <v>0</v>
      </c>
      <c r="R51" s="416" t="s">
        <v>976</v>
      </c>
      <c r="S51" s="417">
        <f>IF(W51="",0,1)</f>
        <v>1</v>
      </c>
      <c r="T51" s="417"/>
      <c r="U51" s="417"/>
      <c r="V51" s="417" t="s">
        <v>1013</v>
      </c>
      <c r="W51" s="422">
        <f>RBLInput!D66</f>
        <v>94598</v>
      </c>
      <c r="Y51" s="67"/>
      <c r="Z51" s="67"/>
      <c r="AA51" s="67"/>
      <c r="AB51" s="67"/>
      <c r="AC51" s="67"/>
      <c r="AD51" s="67"/>
      <c r="AE51" s="67"/>
      <c r="AF51" s="67"/>
      <c r="AG51" s="67"/>
      <c r="AI51" s="441" t="s">
        <v>986</v>
      </c>
      <c r="AJ51" s="417">
        <f>IF(NOT(isRetorEst),0,1)</f>
        <v>1</v>
      </c>
      <c r="AK51" s="417" t="s">
        <v>1724</v>
      </c>
      <c r="AL51" s="417" t="s">
        <v>1151</v>
      </c>
      <c r="AM51" s="417" t="s">
        <v>1725</v>
      </c>
      <c r="AN51" s="417" t="s">
        <v>1035</v>
      </c>
      <c r="AO51" s="426" t="s">
        <v>1255</v>
      </c>
      <c r="AP51" s="156"/>
    </row>
    <row r="52" spans="1:42" x14ac:dyDescent="0.2">
      <c r="A52" s="329" t="s">
        <v>977</v>
      </c>
      <c r="B52" s="61"/>
      <c r="C52" s="330">
        <v>0</v>
      </c>
      <c r="R52" s="416" t="s">
        <v>1748</v>
      </c>
      <c r="S52" s="97">
        <f>IF(cBenInd,1,0)</f>
        <v>0</v>
      </c>
      <c r="T52" s="97"/>
      <c r="U52" s="97"/>
      <c r="V52" s="97" t="s">
        <v>1015</v>
      </c>
      <c r="W52" s="346"/>
      <c r="AI52" s="424" t="s">
        <v>988</v>
      </c>
      <c r="AJ52" s="417">
        <f>IF(NOT(isRetorEst),0,1)</f>
        <v>1</v>
      </c>
      <c r="AK52" s="417" t="s">
        <v>1729</v>
      </c>
      <c r="AL52" s="417" t="str">
        <f>"This option will pay a single lump sum payment of "&amp;TEXT(AN52,"$#,##0.00")&amp;" on "&amp;TEXT(iDateBenComm,"mmmm d, yyyy")&amp;" in lieu of monthly payments.  This payment will represent a complete settlement of your plan benefits and no other payments will be due."</f>
        <v>This option will pay a single lump sum payment of $443,367.79 on December 1, 2006 in lieu of monthly payments.  This payment will represent a complete settlement of your plan benefits and no other payments will be due.</v>
      </c>
      <c r="AM52" s="417" t="s">
        <v>1730</v>
      </c>
      <c r="AN52" s="442">
        <v>443367.79</v>
      </c>
      <c r="AO52" s="443" t="s">
        <v>1730</v>
      </c>
      <c r="AP52" s="156"/>
    </row>
    <row r="53" spans="1:42" x14ac:dyDescent="0.2">
      <c r="A53" s="329" t="s">
        <v>978</v>
      </c>
      <c r="B53" s="61"/>
      <c r="C53" s="330">
        <v>0</v>
      </c>
      <c r="R53" s="416" t="s">
        <v>979</v>
      </c>
      <c r="S53" s="417">
        <f>IF(cBenInd,IF(W53="",0,1),0)</f>
        <v>0</v>
      </c>
      <c r="T53" s="417"/>
      <c r="U53" s="417"/>
      <c r="V53" s="417" t="s">
        <v>341</v>
      </c>
      <c r="W53" s="420" t="str">
        <f>RBLInput!D67</f>
        <v>Paula</v>
      </c>
      <c r="AI53" s="424" t="s">
        <v>990</v>
      </c>
      <c r="AJ53" s="417">
        <f>IF(NOT(isRetorEst),0,1)</f>
        <v>1</v>
      </c>
      <c r="AK53" s="417" t="s">
        <v>1734</v>
      </c>
      <c r="AL53" s="417" t="str">
        <f>"This option will pay "&amp;TEXT(AN53,"$#,##0.00")&amp;" monthly commencing "&amp;TEXT(iDateBenComm,"mmmm d, yyyy")&amp;" and continue for as long as you live.  Payments will cease upon your death.  No payments will be made to any spouse or beneficiary."</f>
        <v>This option will pay $1,000.00 monthly commencing December 1, 2006 and continue for as long as you live.  Payments will cease upon your death.  No payments will be made to any spouse or beneficiary.</v>
      </c>
      <c r="AM53" s="444">
        <v>1</v>
      </c>
      <c r="AN53" s="442">
        <v>1000</v>
      </c>
      <c r="AO53" s="443" t="s">
        <v>1730</v>
      </c>
      <c r="AP53" s="156"/>
    </row>
    <row r="54" spans="1:42" ht="13.5" thickBot="1" x14ac:dyDescent="0.25">
      <c r="A54" s="329" t="s">
        <v>980</v>
      </c>
      <c r="B54" s="61"/>
      <c r="C54" s="330">
        <v>0</v>
      </c>
      <c r="R54" s="416" t="s">
        <v>981</v>
      </c>
      <c r="S54" s="417">
        <f>IF(cBenInd,IF(W54="",0,1),0)</f>
        <v>0</v>
      </c>
      <c r="T54" s="417"/>
      <c r="U54" s="417"/>
      <c r="V54" s="417" t="s">
        <v>343</v>
      </c>
      <c r="W54" s="420" t="str">
        <f>RBLInput!D68</f>
        <v>Parker</v>
      </c>
      <c r="AI54" s="424" t="s">
        <v>992</v>
      </c>
      <c r="AJ54" s="417">
        <f>IF(NOT(isRetorEst),0,IF(cBenInd,1,0))</f>
        <v>0</v>
      </c>
      <c r="AK54" s="417" t="s">
        <v>1738</v>
      </c>
      <c r="AL54" s="417" t="str">
        <f>"This option will pay "&amp;TEXT(AN54,"$#,##0.00")&amp;" monthly commencing "&amp;TEXT(iDateBenComm,"mmmm d, yyyy")&amp;" and continue for as long as you live.  Should your spouse survive you, monthly payments of "&amp;TEXT(AO54,"$#,##0.00")&amp;" will continue to be paid to your spouse for his/her remaining lifetime."</f>
        <v>This option will pay $800.00 monthly commencing December 1, 2006 and continue for as long as you live.  Should your spouse survive you, monthly payments of $800.00 will continue to be paid to your spouse for his/her remaining lifetime.</v>
      </c>
      <c r="AM54" s="444">
        <f t="shared" ref="AM54:AM59" si="7">AN54/$AN$35</f>
        <v>0.8</v>
      </c>
      <c r="AN54" s="442">
        <v>800</v>
      </c>
      <c r="AO54" s="445">
        <f>ROUND(AN54,2)</f>
        <v>800</v>
      </c>
      <c r="AP54" s="156"/>
    </row>
    <row r="55" spans="1:42" ht="13.5" thickBot="1" x14ac:dyDescent="0.25">
      <c r="A55" s="321" t="s">
        <v>35</v>
      </c>
      <c r="B55" s="322"/>
      <c r="C55" s="323">
        <v>0</v>
      </c>
      <c r="R55" s="416" t="s">
        <v>983</v>
      </c>
      <c r="S55" s="417">
        <f>IF(cBenInd,IF(W55="",0,1),0)</f>
        <v>0</v>
      </c>
      <c r="T55" s="417"/>
      <c r="U55" s="417"/>
      <c r="V55" s="417" t="s">
        <v>370</v>
      </c>
      <c r="W55" s="422" t="str">
        <f>RBLInput!D69</f>
        <v/>
      </c>
      <c r="AI55" s="424" t="s">
        <v>994</v>
      </c>
      <c r="AJ55" s="417">
        <f>IF(NOT(isRetorEst),0,IF(cBenInd,1,0))</f>
        <v>0</v>
      </c>
      <c r="AK55" s="417" t="s">
        <v>1742</v>
      </c>
      <c r="AL55" s="417" t="str">
        <f>"This option will pay "&amp;TEXT(AN55,"$#,##0.00")&amp;" monthly commencing "&amp;TEXT(iDateBenComm,"mmmm d, yyyy")&amp;" and continue for as long as you live.  Should your spouse survive you, monthly payments of "&amp;TEXT(AO55,"$#,##0.00")&amp;" will continue to be paid to your spouse for his/her remaining lifetime."</f>
        <v>This option will pay $850.00 monthly commencing December 1, 2006 and continue for as long as you live.  Should your spouse survive you, monthly payments of $637.50 will continue to be paid to your spouse for his/her remaining lifetime.</v>
      </c>
      <c r="AM55" s="444">
        <f t="shared" si="7"/>
        <v>0.85</v>
      </c>
      <c r="AN55" s="442">
        <v>850</v>
      </c>
      <c r="AO55" s="445">
        <f>ROUND(AN55*0.75,2)</f>
        <v>637.5</v>
      </c>
      <c r="AP55" s="156"/>
    </row>
    <row r="56" spans="1:42" x14ac:dyDescent="0.2">
      <c r="A56" s="329" t="s">
        <v>2157</v>
      </c>
      <c r="B56" s="343" t="s">
        <v>2311</v>
      </c>
      <c r="C56" s="328">
        <v>0</v>
      </c>
      <c r="R56" s="416" t="s">
        <v>984</v>
      </c>
      <c r="S56" s="417">
        <f>IF(cBenInd,IF(W56="",0,1),0)</f>
        <v>0</v>
      </c>
      <c r="T56" s="417"/>
      <c r="U56" s="417"/>
      <c r="V56" s="417" t="s">
        <v>372</v>
      </c>
      <c r="W56" s="420" t="str">
        <f>RBLInput!D70</f>
        <v>F</v>
      </c>
      <c r="AI56" s="424" t="s">
        <v>996</v>
      </c>
      <c r="AJ56" s="417">
        <f>IF(NOT(isRetorEst),0,IF(cBenInd,1,0))</f>
        <v>0</v>
      </c>
      <c r="AK56" s="417" t="s">
        <v>1747</v>
      </c>
      <c r="AL56" s="417" t="str">
        <f>"This option will pay "&amp;TEXT(AN56,"$#,##0.00")&amp;" monthly commencing "&amp;TEXT(iDateBenComm,"mmmm d, yyyy")&amp;" and continue for as long as you live.  Should your spouse survive you, monthly payments of "&amp;TEXT(AO56,"$#,##0.00")&amp;" will continue to be paid to your spouse for his/her remaining lifetime."</f>
        <v>This option will pay $900.00 monthly commencing December 1, 2006 and continue for as long as you live.  Should your spouse survive you, monthly payments of $450.00 will continue to be paid to your spouse for his/her remaining lifetime.</v>
      </c>
      <c r="AM56" s="444">
        <f t="shared" si="7"/>
        <v>0.9</v>
      </c>
      <c r="AN56" s="442">
        <v>900</v>
      </c>
      <c r="AO56" s="445">
        <f>ROUND(AN56*0.5,2)</f>
        <v>450</v>
      </c>
      <c r="AP56" s="156"/>
    </row>
    <row r="57" spans="1:42" x14ac:dyDescent="0.2">
      <c r="A57" s="329"/>
      <c r="B57" s="61"/>
      <c r="C57" s="330">
        <v>0</v>
      </c>
      <c r="R57" s="416" t="s">
        <v>985</v>
      </c>
      <c r="S57" s="417">
        <v>0</v>
      </c>
      <c r="T57" s="417"/>
      <c r="U57" s="417"/>
      <c r="V57" s="417" t="s">
        <v>340</v>
      </c>
      <c r="W57" s="422">
        <f>RBLInput!D71</f>
        <v>1233311</v>
      </c>
      <c r="AI57" s="424" t="s">
        <v>998</v>
      </c>
      <c r="AJ57" s="417">
        <f>IF(NOT(isRetorEst),0,1)</f>
        <v>1</v>
      </c>
      <c r="AK57" s="417" t="s">
        <v>1753</v>
      </c>
      <c r="AL57" s="417" t="str">
        <f>"This option will pay "&amp;TEXT(AN57,"$#,##0.00")&amp;" monthly commencing "&amp;TEXT(iDateBenComm,"mmmm d, yyyy")&amp;" and continue for as long as you live.  Should you die before 120 payments have been made, the balance of 60 monthly payments will continue to your beneficiary."</f>
        <v>This option will pay $975.00 monthly commencing December 1, 2006 and continue for as long as you live.  Should you die before 120 payments have been made, the balance of 60 monthly payments will continue to your beneficiary.</v>
      </c>
      <c r="AM57" s="444">
        <f t="shared" si="7"/>
        <v>0.97499999999999998</v>
      </c>
      <c r="AN57" s="442">
        <v>975</v>
      </c>
      <c r="AO57" s="445">
        <f>ROUND(AN57,2)</f>
        <v>975</v>
      </c>
      <c r="AP57" s="156"/>
    </row>
    <row r="58" spans="1:42" x14ac:dyDescent="0.2">
      <c r="A58" s="329"/>
      <c r="B58" s="61"/>
      <c r="C58" s="330">
        <v>0</v>
      </c>
      <c r="R58" s="416" t="s">
        <v>987</v>
      </c>
      <c r="S58" s="417">
        <f>IF(cBenInd,IF(W58="",0,1),0)</f>
        <v>0</v>
      </c>
      <c r="T58" s="417"/>
      <c r="U58" s="417"/>
      <c r="V58" s="417" t="s">
        <v>375</v>
      </c>
      <c r="W58" s="423" t="str">
        <f>RBLInput!D72</f>
        <v/>
      </c>
      <c r="AI58" s="424" t="s">
        <v>1000</v>
      </c>
      <c r="AJ58" s="417">
        <f>IF(NOT(isRetorEst),0,1)</f>
        <v>1</v>
      </c>
      <c r="AK58" s="417" t="s">
        <v>1051</v>
      </c>
      <c r="AL58" s="417" t="str">
        <f>"This option will pay "&amp;TEXT(AN58,"$#,##0.00")&amp;" monthly commencing "&amp;TEXT(iDateBenComm,"mmmm d, yyyy")&amp;" and continue for as long as you live.  Should you die before 120 payments have been made, the balance of 120 monthly payments will continue to your beneficiary."</f>
        <v>This option will pay $950.00 monthly commencing December 1, 2006 and continue for as long as you live.  Should you die before 120 payments have been made, the balance of 120 monthly payments will continue to your beneficiary.</v>
      </c>
      <c r="AM58" s="444">
        <f t="shared" si="7"/>
        <v>0.95</v>
      </c>
      <c r="AN58" s="442">
        <v>950</v>
      </c>
      <c r="AO58" s="445">
        <f>ROUND(AN58,2)</f>
        <v>950</v>
      </c>
      <c r="AP58" s="156"/>
    </row>
    <row r="59" spans="1:42" x14ac:dyDescent="0.2">
      <c r="A59" s="329"/>
      <c r="B59" s="61"/>
      <c r="C59" s="330">
        <v>0</v>
      </c>
      <c r="R59" s="424" t="s">
        <v>989</v>
      </c>
      <c r="S59" s="417">
        <f>IF(SUM(S60:S89)=0,0,1)</f>
        <v>1</v>
      </c>
      <c r="T59" s="417"/>
      <c r="U59" s="417"/>
      <c r="V59" s="425" t="s">
        <v>203</v>
      </c>
      <c r="W59" s="426"/>
      <c r="AI59" s="424" t="s">
        <v>1316</v>
      </c>
      <c r="AJ59" s="417">
        <f>IF(NOT(isRetorEst),0,1)</f>
        <v>1</v>
      </c>
      <c r="AK59" s="417" t="s">
        <v>40</v>
      </c>
      <c r="AL59" s="417" t="str">
        <f>"This option will pay "&amp;TEXT(AN59,"$#,##0.00")&amp;" monthly commencing "&amp;TEXT(iDateBenComm,"mmmm d, yyyy")&amp;" and continue for as long as you live.  Should you die before 180 payments have been made, the balance of 120 monthly payments will continue to your beneficiary."</f>
        <v>This option will pay $925.00 monthly commencing December 1, 2006 and continue for as long as you live.  Should you die before 180 payments have been made, the balance of 120 monthly payments will continue to your beneficiary.</v>
      </c>
      <c r="AM59" s="444">
        <f t="shared" si="7"/>
        <v>0.92500000000000004</v>
      </c>
      <c r="AN59" s="442">
        <v>925</v>
      </c>
      <c r="AO59" s="445">
        <f>ROUND(AN59,2)</f>
        <v>925</v>
      </c>
      <c r="AP59" s="156"/>
    </row>
    <row r="60" spans="1:42" x14ac:dyDescent="0.2">
      <c r="A60" s="329"/>
      <c r="B60" s="61"/>
      <c r="C60" s="330">
        <v>0</v>
      </c>
      <c r="R60" s="424" t="s">
        <v>991</v>
      </c>
      <c r="S60" s="417">
        <f t="shared" ref="S60:S89" si="8">IF(OR(W60=0,W60=""),0,1)</f>
        <v>1</v>
      </c>
      <c r="T60" s="417"/>
      <c r="U60" s="417"/>
      <c r="V60" s="150">
        <f>RBLInput!A116</f>
        <v>1995</v>
      </c>
      <c r="W60" s="427">
        <f>RBLInput!B116</f>
        <v>5674.27</v>
      </c>
      <c r="AI60" s="424" t="s">
        <v>915</v>
      </c>
      <c r="AJ60" s="417">
        <v>0</v>
      </c>
      <c r="AK60" s="425" t="s">
        <v>916</v>
      </c>
      <c r="AL60" s="417"/>
      <c r="AM60" s="417"/>
      <c r="AN60" s="417"/>
      <c r="AO60" s="440" t="s">
        <v>775</v>
      </c>
      <c r="AP60" s="439" t="b">
        <f>IF(AND(OR(iMHACalcType=1,iMHACalcType=2,iMHACalcType=3),cLumpSum&lt;=1000),TRUE,FALSE)</f>
        <v>0</v>
      </c>
    </row>
    <row r="61" spans="1:42" x14ac:dyDescent="0.2">
      <c r="A61" s="329"/>
      <c r="B61" s="61"/>
      <c r="C61" s="330">
        <v>0</v>
      </c>
      <c r="R61" s="424" t="s">
        <v>993</v>
      </c>
      <c r="S61" s="417">
        <f t="shared" si="8"/>
        <v>1</v>
      </c>
      <c r="T61" s="417"/>
      <c r="U61" s="417"/>
      <c r="V61" s="150">
        <f>RBLInput!A117</f>
        <v>1996</v>
      </c>
      <c r="W61" s="427">
        <f>RBLInput!B117</f>
        <v>31644.07</v>
      </c>
      <c r="AI61" s="424" t="s">
        <v>1748</v>
      </c>
      <c r="AJ61" s="417">
        <f>IF(NOT(isDeminimus),0,1)</f>
        <v>0</v>
      </c>
      <c r="AK61" s="417" t="s">
        <v>1724</v>
      </c>
      <c r="AL61" s="417" t="s">
        <v>1151</v>
      </c>
      <c r="AM61" s="417" t="s">
        <v>1725</v>
      </c>
      <c r="AN61" s="417" t="s">
        <v>1035</v>
      </c>
      <c r="AO61" s="426" t="s">
        <v>1255</v>
      </c>
      <c r="AP61" s="156"/>
    </row>
    <row r="62" spans="1:42" ht="13.5" thickBot="1" x14ac:dyDescent="0.25">
      <c r="A62" s="345"/>
      <c r="B62" s="97"/>
      <c r="C62" s="346"/>
      <c r="R62" s="424" t="s">
        <v>995</v>
      </c>
      <c r="S62" s="417">
        <f t="shared" si="8"/>
        <v>1</v>
      </c>
      <c r="T62" s="417"/>
      <c r="U62" s="417"/>
      <c r="V62" s="150">
        <f>RBLInput!A118</f>
        <v>1997</v>
      </c>
      <c r="W62" s="427">
        <f>RBLInput!B118</f>
        <v>34374.76</v>
      </c>
      <c r="AI62" s="424" t="s">
        <v>919</v>
      </c>
      <c r="AJ62" s="417">
        <f>IF(NOT(isDeminimus),0,1)</f>
        <v>0</v>
      </c>
      <c r="AK62" s="417" t="s">
        <v>1729</v>
      </c>
      <c r="AL62" s="417" t="str">
        <f>"Your lump sum benefit is less than $1,000 there you will be paid a single lump sum payment of "&amp;TEXT(AN62,"$#,##0.00")&amp;" on "&amp;TEXT(iDateBenComm,"mmmm d, yyyy")&amp;". Your lump sum is in lieu of monthly payments and will represent a complete settlement of your plan benefits and no other payments will be due."</f>
        <v>Your lump sum benefit is less than $1,000 there you will be paid a single lump sum payment of $443,367.79 on December 1, 2006. Your lump sum is in lieu of monthly payments and will represent a complete settlement of your plan benefits and no other payments will be due.</v>
      </c>
      <c r="AM62" s="417"/>
      <c r="AN62" s="442">
        <v>443367.79</v>
      </c>
      <c r="AO62" s="440" t="s">
        <v>1730</v>
      </c>
      <c r="AP62" s="156"/>
    </row>
    <row r="63" spans="1:42" x14ac:dyDescent="0.2">
      <c r="A63" s="347" t="s">
        <v>1595</v>
      </c>
      <c r="B63" s="348"/>
      <c r="C63" s="349"/>
      <c r="R63" s="424" t="s">
        <v>997</v>
      </c>
      <c r="S63" s="417">
        <f t="shared" si="8"/>
        <v>1</v>
      </c>
      <c r="T63" s="417"/>
      <c r="U63" s="417"/>
      <c r="V63" s="150">
        <f>RBLInput!A119</f>
        <v>1998</v>
      </c>
      <c r="W63" s="427">
        <f>RBLInput!B119</f>
        <v>36928.35</v>
      </c>
      <c r="AI63" s="424" t="s">
        <v>1579</v>
      </c>
      <c r="AJ63" s="417">
        <v>0</v>
      </c>
      <c r="AK63" s="425" t="s">
        <v>1580</v>
      </c>
      <c r="AL63" s="417"/>
      <c r="AM63" s="417"/>
      <c r="AN63" s="417"/>
      <c r="AO63" s="440" t="s">
        <v>775</v>
      </c>
      <c r="AP63" s="439" t="b">
        <f>IF(AND(OR(iMHACalcType=1,iMHACalcType=2),AND(cLumpSum&gt;=1000,cLumpSum&lt;=20000)),TRUE,FALSE)</f>
        <v>0</v>
      </c>
    </row>
    <row r="64" spans="1:42" x14ac:dyDescent="0.2">
      <c r="A64" s="466" t="s">
        <v>1597</v>
      </c>
      <c r="B64" s="40">
        <v>50000</v>
      </c>
      <c r="C64" s="467">
        <v>0</v>
      </c>
      <c r="R64" s="424" t="s">
        <v>999</v>
      </c>
      <c r="S64" s="417">
        <f t="shared" si="8"/>
        <v>1</v>
      </c>
      <c r="T64" s="417"/>
      <c r="U64" s="417"/>
      <c r="V64" s="150">
        <f>RBLInput!A120</f>
        <v>1999</v>
      </c>
      <c r="W64" s="427">
        <f>RBLInput!B120</f>
        <v>39052.9</v>
      </c>
      <c r="AI64" s="424" t="s">
        <v>1582</v>
      </c>
      <c r="AJ64" s="417">
        <f>IF(1=1,0,IF(NOT(isMidLS),0,1))</f>
        <v>0</v>
      </c>
      <c r="AK64" s="417" t="str">
        <f>"&lt;&lt;b&gt;&gt;With Return of Employee Contributions&lt;&lt;/b&gt;&gt;"</f>
        <v>&lt;&lt;b&gt;&gt;With Return of Employee Contributions&lt;&lt;/b&gt;&gt;</v>
      </c>
      <c r="AL64" s="417"/>
      <c r="AM64" s="417"/>
      <c r="AN64" s="417"/>
      <c r="AO64" s="426"/>
      <c r="AP64" s="156"/>
    </row>
    <row r="65" spans="1:42" ht="13.5" thickBot="1" x14ac:dyDescent="0.25">
      <c r="A65" s="468"/>
      <c r="B65" s="115"/>
      <c r="C65" s="116"/>
      <c r="R65" s="424" t="s">
        <v>1315</v>
      </c>
      <c r="S65" s="417">
        <f t="shared" si="8"/>
        <v>1</v>
      </c>
      <c r="T65" s="417"/>
      <c r="U65" s="417"/>
      <c r="V65" s="150">
        <f>RBLInput!A121</f>
        <v>2000</v>
      </c>
      <c r="W65" s="427">
        <f>RBLInput!B121</f>
        <v>42178.26</v>
      </c>
      <c r="AI65" s="424" t="s">
        <v>1586</v>
      </c>
      <c r="AJ65" s="417">
        <f>IF(1=1,0,IF(NOT(isMidLS),0,1))</f>
        <v>0</v>
      </c>
      <c r="AK65" s="417" t="s">
        <v>1724</v>
      </c>
      <c r="AL65" s="417" t="s">
        <v>1151</v>
      </c>
      <c r="AM65" s="417" t="s">
        <v>1725</v>
      </c>
      <c r="AN65" s="417" t="s">
        <v>1035</v>
      </c>
      <c r="AO65" s="426" t="s">
        <v>1255</v>
      </c>
      <c r="AP65" s="332"/>
    </row>
    <row r="66" spans="1:42" x14ac:dyDescent="0.2">
      <c r="R66" s="424" t="s">
        <v>1317</v>
      </c>
      <c r="S66" s="417">
        <f t="shared" si="8"/>
        <v>1</v>
      </c>
      <c r="T66" s="417"/>
      <c r="U66" s="417"/>
      <c r="V66" s="150">
        <f>RBLInput!A122</f>
        <v>2001</v>
      </c>
      <c r="W66" s="427">
        <f>RBLInput!B122</f>
        <v>46713.760000000002</v>
      </c>
      <c r="AI66" s="424" t="s">
        <v>1588</v>
      </c>
      <c r="AJ66" s="417">
        <f>IF(1=1,0,IF(NOT(isMidLS),0,1))</f>
        <v>0</v>
      </c>
      <c r="AK66" s="417" t="s">
        <v>1753</v>
      </c>
      <c r="AL66" s="417" t="str">
        <f>"This option will pay "&amp;TEXT(AN66,"$#,##0.00")&amp;" monthly commencing "&amp;TEXT(iDateBenComm,"mmmm d, yyyy")&amp;" and continue for as long as you live.  Should you die before 120 payments have been made, the balance of 60 monthly payments will continue to your beneficiary."</f>
        <v>This option will pay $950.00 monthly commencing December 1, 2006 and continue for as long as you live.  Should you die before 120 payments have been made, the balance of 60 monthly payments will continue to your beneficiary.</v>
      </c>
      <c r="AM66" s="444"/>
      <c r="AN66" s="442">
        <v>950</v>
      </c>
      <c r="AO66" s="445">
        <f>ROUND(AN66,2)</f>
        <v>950</v>
      </c>
      <c r="AP66" s="332"/>
    </row>
    <row r="67" spans="1:42" x14ac:dyDescent="0.2">
      <c r="R67" s="424" t="s">
        <v>1318</v>
      </c>
      <c r="S67" s="417">
        <f t="shared" si="8"/>
        <v>1</v>
      </c>
      <c r="T67" s="417"/>
      <c r="U67" s="417"/>
      <c r="V67" s="150">
        <f>RBLInput!A123</f>
        <v>2002</v>
      </c>
      <c r="W67" s="427">
        <f>RBLInput!B123</f>
        <v>49085.85</v>
      </c>
      <c r="AI67" s="424" t="s">
        <v>1590</v>
      </c>
      <c r="AJ67" s="417">
        <f>IF(1=1,0,IF(NOT(isMidLS),0,IF(cBenInd,1,0)))</f>
        <v>0</v>
      </c>
      <c r="AK67" s="417" t="s">
        <v>1738</v>
      </c>
      <c r="AL67" s="417" t="str">
        <f>"This option will pay "&amp;TEXT(AN67,"$#,##0.00")&amp;" monthly commencing "&amp;TEXT(iDateBenComm,"mmmm d, yyyy")&amp;" and continue for as long as you live.  Should your spouse survive you, monthly payments of "&amp;TEXT(AO67,"$#,##0.00")&amp;" will continue to be paid to your spouse for his/her remaining lifetime."</f>
        <v>This option will pay $800.00 monthly commencing December 1, 2006 and continue for as long as you live.  Should your spouse survive you, monthly payments of $800.00 will continue to be paid to your spouse for his/her remaining lifetime.</v>
      </c>
      <c r="AM67" s="444"/>
      <c r="AN67" s="442">
        <v>800</v>
      </c>
      <c r="AO67" s="445">
        <f>ROUND(AN67,2)</f>
        <v>800</v>
      </c>
      <c r="AP67" s="332"/>
    </row>
    <row r="68" spans="1:42" x14ac:dyDescent="0.2">
      <c r="R68" s="424" t="s">
        <v>1319</v>
      </c>
      <c r="S68" s="417">
        <f t="shared" si="8"/>
        <v>1</v>
      </c>
      <c r="T68" s="417"/>
      <c r="U68" s="417"/>
      <c r="V68" s="150">
        <f>RBLInput!A124</f>
        <v>2003</v>
      </c>
      <c r="W68" s="427">
        <f>RBLInput!B124</f>
        <v>53733.31</v>
      </c>
      <c r="AI68" s="424" t="s">
        <v>1592</v>
      </c>
      <c r="AJ68" s="417">
        <f>IF(1=1,0,IF(NOT(isMidLS),0,IF(cBenInd,1,0)))</f>
        <v>0</v>
      </c>
      <c r="AK68" s="417" t="s">
        <v>1747</v>
      </c>
      <c r="AL68" s="417" t="str">
        <f>"This option will pay "&amp;TEXT(AN68,"$#,##0.00")&amp;" monthly commencing "&amp;TEXT(iDateBenComm,"mmmm d, yyyy")&amp;" and continue for as long as you live.  Should your spouse survive you, monthly payments of "&amp;TEXT(AO68,"$#,##0.00")&amp;" will continue to be paid to your spouse for his/her remaining lifetime."</f>
        <v>This option will pay $900.00 monthly commencing December 1, 2006 and continue for as long as you live.  Should your spouse survive you, monthly payments of $450.00 will continue to be paid to your spouse for his/her remaining lifetime.</v>
      </c>
      <c r="AM68" s="444"/>
      <c r="AN68" s="442">
        <v>900</v>
      </c>
      <c r="AO68" s="445">
        <f>ROUND(AN68*0.5,2)</f>
        <v>450</v>
      </c>
      <c r="AP68" s="332"/>
    </row>
    <row r="69" spans="1:42" x14ac:dyDescent="0.2">
      <c r="R69" s="424" t="s">
        <v>1220</v>
      </c>
      <c r="S69" s="417">
        <f t="shared" si="8"/>
        <v>1</v>
      </c>
      <c r="T69" s="417"/>
      <c r="U69" s="417"/>
      <c r="V69" s="150">
        <f>RBLInput!A125</f>
        <v>2004</v>
      </c>
      <c r="W69" s="427">
        <f>RBLInput!B125</f>
        <v>54407.67</v>
      </c>
      <c r="AI69" s="424" t="s">
        <v>1599</v>
      </c>
      <c r="AJ69" s="417">
        <f>IF(1=1,0,IF(NOT(isMidLS),0,1))</f>
        <v>0</v>
      </c>
      <c r="AK69" s="417" t="str">
        <f>"&lt;&lt;b&gt;&gt;Without Return of Employee Contributions&lt;&lt;/b&gt;&gt;"</f>
        <v>&lt;&lt;b&gt;&gt;Without Return of Employee Contributions&lt;&lt;/b&gt;&gt;</v>
      </c>
      <c r="AL69" s="417"/>
      <c r="AM69" s="417"/>
      <c r="AN69" s="417"/>
      <c r="AO69" s="426"/>
      <c r="AP69" s="332"/>
    </row>
    <row r="70" spans="1:42" x14ac:dyDescent="0.2">
      <c r="R70" s="424" t="s">
        <v>910</v>
      </c>
      <c r="S70" s="417">
        <f t="shared" si="8"/>
        <v>1</v>
      </c>
      <c r="T70" s="417"/>
      <c r="U70" s="417"/>
      <c r="V70" s="150">
        <f>RBLInput!A126</f>
        <v>2005</v>
      </c>
      <c r="W70" s="427">
        <f>RBLInput!B126</f>
        <v>60271.43</v>
      </c>
      <c r="AI70" s="424" t="s">
        <v>1605</v>
      </c>
      <c r="AJ70" s="417">
        <f>IF(NOT(isMidLS),0,1)</f>
        <v>0</v>
      </c>
      <c r="AK70" s="417" t="s">
        <v>1724</v>
      </c>
      <c r="AL70" s="417" t="s">
        <v>1151</v>
      </c>
      <c r="AM70" s="417" t="s">
        <v>1725</v>
      </c>
      <c r="AN70" s="417" t="s">
        <v>1035</v>
      </c>
      <c r="AO70" s="426" t="s">
        <v>1255</v>
      </c>
      <c r="AP70" s="156"/>
    </row>
    <row r="71" spans="1:42" x14ac:dyDescent="0.2">
      <c r="R71" s="424" t="s">
        <v>911</v>
      </c>
      <c r="S71" s="417">
        <f t="shared" si="8"/>
        <v>0</v>
      </c>
      <c r="T71" s="417"/>
      <c r="U71" s="417"/>
      <c r="V71" s="150">
        <f>RBLInput!A127</f>
        <v>0</v>
      </c>
      <c r="W71" s="427">
        <f>RBLInput!B127</f>
        <v>0</v>
      </c>
      <c r="AI71" s="424" t="s">
        <v>657</v>
      </c>
      <c r="AJ71" s="417">
        <f>IF(NOT(isMidLS),0,1)</f>
        <v>0</v>
      </c>
      <c r="AK71" s="417" t="s">
        <v>1729</v>
      </c>
      <c r="AL71" s="417" t="str">
        <f>"Your lump sum benefit is less than $20,000 there you have the option to be paid a single lump sum payment of "&amp;TEXT(AN71,"$#,##0.00")&amp;" on "&amp;TEXT(iDateBenComm,"mmmm d, yyyy")&amp;". Your lump sum is in lieu of monthly payments and will represent a complete settlement of your plan benefits and no other payments will be due."</f>
        <v>Your lump sum benefit is less than $20,000 there you have the option to be paid a single lump sum payment of $443,367.79 on December 1, 2006. Your lump sum is in lieu of monthly payments and will represent a complete settlement of your plan benefits and no other payments will be due.</v>
      </c>
      <c r="AM71" s="417"/>
      <c r="AN71" s="442">
        <v>443367.79</v>
      </c>
      <c r="AO71" s="440" t="s">
        <v>1730</v>
      </c>
      <c r="AP71" s="156"/>
    </row>
    <row r="72" spans="1:42" x14ac:dyDescent="0.2">
      <c r="R72" s="424" t="s">
        <v>912</v>
      </c>
      <c r="S72" s="417">
        <f t="shared" si="8"/>
        <v>0</v>
      </c>
      <c r="T72" s="417"/>
      <c r="U72" s="417"/>
      <c r="V72" s="150">
        <f>RBLInput!A128</f>
        <v>0</v>
      </c>
      <c r="W72" s="427">
        <f>RBLInput!B128</f>
        <v>0</v>
      </c>
      <c r="AI72" s="424" t="s">
        <v>660</v>
      </c>
      <c r="AJ72" s="417">
        <f>IF(NOT(isMidLS),0,1)</f>
        <v>0</v>
      </c>
      <c r="AK72" s="417" t="s">
        <v>1753</v>
      </c>
      <c r="AL72" s="417" t="str">
        <f>"This option will pay "&amp;TEXT(AN72,"$#,##0.00")&amp;" monthly commencing "&amp;TEXT(iDateBenComm,"mmmm d, yyyy")&amp;" and continue for as long as you live.  Should you die before 120 payments have been made, the balance of 60 monthly payments will continue to your beneficiary."</f>
        <v>This option will pay $950.00 monthly commencing December 1, 2006 and continue for as long as you live.  Should you die before 120 payments have been made, the balance of 60 monthly payments will continue to your beneficiary.</v>
      </c>
      <c r="AM72" s="444"/>
      <c r="AN72" s="442">
        <v>950</v>
      </c>
      <c r="AO72" s="445">
        <f>ROUND(AN72,2)</f>
        <v>950</v>
      </c>
      <c r="AP72" s="156"/>
    </row>
    <row r="73" spans="1:42" x14ac:dyDescent="0.2">
      <c r="R73" s="424" t="s">
        <v>913</v>
      </c>
      <c r="S73" s="417">
        <f t="shared" si="8"/>
        <v>0</v>
      </c>
      <c r="T73" s="417"/>
      <c r="U73" s="417"/>
      <c r="V73" s="150">
        <f>RBLInput!A129</f>
        <v>0</v>
      </c>
      <c r="W73" s="427">
        <f>RBLInput!B129</f>
        <v>0</v>
      </c>
      <c r="AI73" s="424" t="s">
        <v>662</v>
      </c>
      <c r="AJ73" s="417">
        <f>IF(NOT(isMidLS),0,IF(cBenInd,1,0))</f>
        <v>0</v>
      </c>
      <c r="AK73" s="417" t="s">
        <v>1738</v>
      </c>
      <c r="AL73" s="417" t="str">
        <f>"This option will pay "&amp;TEXT(AN73,"$#,##0.00")&amp;" monthly commencing "&amp;TEXT(iDateBenComm,"mmmm d, yyyy")&amp;" and continue for as long as you live.  Should your spouse survive you, monthly payments of "&amp;TEXT(AO73,"$#,##0.00")&amp;" will continue to be paid to your spouse for his/her remaining lifetime."</f>
        <v>This option will pay $800.00 monthly commencing December 1, 2006 and continue for as long as you live.  Should your spouse survive you, monthly payments of $800.00 will continue to be paid to your spouse for his/her remaining lifetime.</v>
      </c>
      <c r="AM73" s="444"/>
      <c r="AN73" s="442">
        <v>800</v>
      </c>
      <c r="AO73" s="445">
        <f>ROUND(AN73,2)</f>
        <v>800</v>
      </c>
      <c r="AP73" s="156"/>
    </row>
    <row r="74" spans="1:42" x14ac:dyDescent="0.2">
      <c r="R74" s="424" t="s">
        <v>914</v>
      </c>
      <c r="S74" s="417">
        <f t="shared" si="8"/>
        <v>0</v>
      </c>
      <c r="T74" s="417"/>
      <c r="U74" s="417"/>
      <c r="V74" s="150">
        <f>RBLInput!A130</f>
        <v>0</v>
      </c>
      <c r="W74" s="427">
        <f>RBLInput!B130</f>
        <v>0</v>
      </c>
      <c r="AI74" s="424" t="s">
        <v>664</v>
      </c>
      <c r="AJ74" s="417">
        <f>IF(NOT(isMidLS),0,IF(cBenInd,1,0))</f>
        <v>0</v>
      </c>
      <c r="AK74" s="417" t="s">
        <v>1747</v>
      </c>
      <c r="AL74" s="417" t="str">
        <f>"This option will pay "&amp;TEXT(AN74,"$#,##0.00")&amp;" monthly commencing "&amp;TEXT(iDateBenComm,"mmmm d, yyyy")&amp;" and continue for as long as you live.  Should your spouse survive you, monthly payments of "&amp;TEXT(AO74,"$#,##0.00")&amp;" will continue to be paid to your spouse for his/her remaining lifetime."</f>
        <v>This option will pay $900.00 monthly commencing December 1, 2006 and continue for as long as you live.  Should your spouse survive you, monthly payments of $450.00 will continue to be paid to your spouse for his/her remaining lifetime.</v>
      </c>
      <c r="AM74" s="444"/>
      <c r="AN74" s="442">
        <v>900</v>
      </c>
      <c r="AO74" s="445">
        <f>ROUND(AN74*0.5,2)</f>
        <v>450</v>
      </c>
      <c r="AP74" s="156"/>
    </row>
    <row r="75" spans="1:42" x14ac:dyDescent="0.2">
      <c r="R75" s="424" t="s">
        <v>917</v>
      </c>
      <c r="S75" s="417">
        <f t="shared" si="8"/>
        <v>0</v>
      </c>
      <c r="T75" s="417"/>
      <c r="U75" s="417"/>
      <c r="V75" s="150">
        <f>RBLInput!A131</f>
        <v>0</v>
      </c>
      <c r="W75" s="427">
        <f>RBLInput!B131</f>
        <v>0</v>
      </c>
      <c r="AI75" s="424" t="s">
        <v>1579</v>
      </c>
      <c r="AJ75" s="417">
        <v>0</v>
      </c>
      <c r="AK75" s="425" t="s">
        <v>670</v>
      </c>
      <c r="AL75" s="417"/>
      <c r="AM75" s="417"/>
      <c r="AN75" s="417"/>
      <c r="AO75" s="440" t="s">
        <v>775</v>
      </c>
      <c r="AP75" s="439" t="b">
        <f>IF(AND(iMHACalcType=3,NOT(isDeminimus)),TRUE,FALSE)</f>
        <v>0</v>
      </c>
    </row>
    <row r="76" spans="1:42" x14ac:dyDescent="0.2">
      <c r="R76" s="424" t="s">
        <v>918</v>
      </c>
      <c r="S76" s="417">
        <f t="shared" si="8"/>
        <v>0</v>
      </c>
      <c r="T76" s="417"/>
      <c r="U76" s="417"/>
      <c r="V76" s="150">
        <f>RBLInput!A132</f>
        <v>0</v>
      </c>
      <c r="W76" s="427">
        <f>RBLInput!B132</f>
        <v>0</v>
      </c>
      <c r="AI76" s="424" t="s">
        <v>672</v>
      </c>
      <c r="AJ76" s="417">
        <f>IF(NOT(isTV),0,1)</f>
        <v>0</v>
      </c>
      <c r="AK76" s="417" t="str">
        <f>"&lt;&lt;b&gt;&gt;Without Return of Employee Contributions&lt;&lt;/b&gt;&gt;"</f>
        <v>&lt;&lt;b&gt;&gt;Without Return of Employee Contributions&lt;&lt;/b&gt;&gt;</v>
      </c>
      <c r="AL76" s="417"/>
      <c r="AM76" s="417"/>
      <c r="AN76" s="417"/>
      <c r="AO76" s="426"/>
      <c r="AP76" s="156"/>
    </row>
    <row r="77" spans="1:42" x14ac:dyDescent="0.2">
      <c r="R77" s="424" t="s">
        <v>920</v>
      </c>
      <c r="S77" s="417">
        <f t="shared" si="8"/>
        <v>0</v>
      </c>
      <c r="T77" s="417"/>
      <c r="U77" s="417"/>
      <c r="V77" s="150">
        <f>RBLInput!A133</f>
        <v>0</v>
      </c>
      <c r="W77" s="427">
        <f>RBLInput!B133</f>
        <v>0</v>
      </c>
      <c r="AI77" s="424" t="s">
        <v>989</v>
      </c>
      <c r="AJ77" s="417">
        <f>IF(NOT(isTV),0,1)</f>
        <v>0</v>
      </c>
      <c r="AK77" s="417" t="s">
        <v>1724</v>
      </c>
      <c r="AL77" s="417" t="s">
        <v>1151</v>
      </c>
      <c r="AM77" s="417" t="s">
        <v>1725</v>
      </c>
      <c r="AN77" s="417" t="s">
        <v>1035</v>
      </c>
      <c r="AO77" s="426" t="s">
        <v>1255</v>
      </c>
      <c r="AP77" s="332"/>
    </row>
    <row r="78" spans="1:42" x14ac:dyDescent="0.2">
      <c r="R78" s="424" t="s">
        <v>1581</v>
      </c>
      <c r="S78" s="417">
        <f t="shared" si="8"/>
        <v>0</v>
      </c>
      <c r="T78" s="417"/>
      <c r="U78" s="417"/>
      <c r="V78" s="150">
        <f>RBLInput!A134</f>
        <v>0</v>
      </c>
      <c r="W78" s="427">
        <f>RBLInput!B134</f>
        <v>0</v>
      </c>
      <c r="AI78" s="424" t="s">
        <v>1760</v>
      </c>
      <c r="AJ78" s="417">
        <f>IF(NOT(isTV),0,1)</f>
        <v>0</v>
      </c>
      <c r="AK78" s="417" t="s">
        <v>1753</v>
      </c>
      <c r="AL78" s="417" t="str">
        <f>"You have a vested benefit of "&amp;TEXT(AN78,"$#,##0.00")&amp;" payable monthly commencing at your Normal Retirement Date of "&amp;TEXT(iDateBenComm,"mmmm d, yyyy")&amp;" and continuinig for as long as you live.  Should you die before 60 payments have been made, the balance of 60 monthly payments will continue to your beneficiary."</f>
        <v>You have a vested benefit of $950.00 payable monthly commencing at your Normal Retirement Date of December 1, 2006 and continuinig for as long as you live.  Should you die before 60 payments have been made, the balance of 60 monthly payments will continue to your beneficiary.</v>
      </c>
      <c r="AM78" s="444"/>
      <c r="AN78" s="442">
        <v>950</v>
      </c>
      <c r="AO78" s="445">
        <f>ROUND(AN78,2)</f>
        <v>950</v>
      </c>
      <c r="AP78" s="332"/>
    </row>
    <row r="79" spans="1:42" x14ac:dyDescent="0.2">
      <c r="R79" s="424" t="s">
        <v>1583</v>
      </c>
      <c r="S79" s="417">
        <f t="shared" si="8"/>
        <v>0</v>
      </c>
      <c r="T79" s="417"/>
      <c r="U79" s="417"/>
      <c r="V79" s="150">
        <f>RBLInput!A135</f>
        <v>0</v>
      </c>
      <c r="W79" s="427">
        <f>RBLInput!B135</f>
        <v>0</v>
      </c>
      <c r="AI79" s="424"/>
      <c r="AJ79" s="417"/>
      <c r="AK79" s="417"/>
      <c r="AL79" s="97"/>
      <c r="AM79" s="97"/>
      <c r="AN79" s="97"/>
      <c r="AO79" s="346"/>
    </row>
    <row r="80" spans="1:42" ht="13.5" thickBot="1" x14ac:dyDescent="0.25">
      <c r="R80" s="424" t="s">
        <v>1584</v>
      </c>
      <c r="S80" s="417">
        <f t="shared" si="8"/>
        <v>0</v>
      </c>
      <c r="T80" s="417"/>
      <c r="U80" s="417"/>
      <c r="V80" s="150">
        <f>RBLInput!A136</f>
        <v>0</v>
      </c>
      <c r="W80" s="427">
        <f>RBLInput!B136</f>
        <v>0</v>
      </c>
      <c r="AI80" s="435"/>
      <c r="AJ80" s="436"/>
      <c r="AK80" s="436"/>
      <c r="AL80" s="436"/>
      <c r="AM80" s="436"/>
      <c r="AN80" s="436"/>
      <c r="AO80" s="437"/>
    </row>
    <row r="81" spans="18:23" x14ac:dyDescent="0.2">
      <c r="R81" s="424" t="s">
        <v>1585</v>
      </c>
      <c r="S81" s="417">
        <f t="shared" si="8"/>
        <v>0</v>
      </c>
      <c r="T81" s="417"/>
      <c r="U81" s="417"/>
      <c r="V81" s="150">
        <f>RBLInput!A137</f>
        <v>0</v>
      </c>
      <c r="W81" s="427">
        <f>RBLInput!B137</f>
        <v>0</v>
      </c>
    </row>
    <row r="82" spans="18:23" x14ac:dyDescent="0.2">
      <c r="R82" s="424" t="s">
        <v>1587</v>
      </c>
      <c r="S82" s="417">
        <f t="shared" si="8"/>
        <v>0</v>
      </c>
      <c r="T82" s="417"/>
      <c r="U82" s="417"/>
      <c r="V82" s="150">
        <f>RBLInput!A138</f>
        <v>0</v>
      </c>
      <c r="W82" s="427">
        <f>RBLInput!B138</f>
        <v>0</v>
      </c>
    </row>
    <row r="83" spans="18:23" x14ac:dyDescent="0.2">
      <c r="R83" s="424" t="s">
        <v>1589</v>
      </c>
      <c r="S83" s="417">
        <f t="shared" si="8"/>
        <v>0</v>
      </c>
      <c r="T83" s="417"/>
      <c r="U83" s="417"/>
      <c r="V83" s="150">
        <f>RBLInput!A139</f>
        <v>0</v>
      </c>
      <c r="W83" s="427">
        <f>RBLInput!B139</f>
        <v>0</v>
      </c>
    </row>
    <row r="84" spans="18:23" x14ac:dyDescent="0.2">
      <c r="R84" s="424" t="s">
        <v>1591</v>
      </c>
      <c r="S84" s="417">
        <f t="shared" si="8"/>
        <v>0</v>
      </c>
      <c r="T84" s="417"/>
      <c r="U84" s="417"/>
      <c r="V84" s="150">
        <f>RBLInput!A140</f>
        <v>0</v>
      </c>
      <c r="W84" s="427">
        <f>RBLInput!B140</f>
        <v>0</v>
      </c>
    </row>
    <row r="85" spans="18:23" x14ac:dyDescent="0.2">
      <c r="R85" s="424" t="s">
        <v>1593</v>
      </c>
      <c r="S85" s="417">
        <f t="shared" si="8"/>
        <v>0</v>
      </c>
      <c r="T85" s="417"/>
      <c r="U85" s="417"/>
      <c r="V85" s="150">
        <f>RBLInput!A141</f>
        <v>0</v>
      </c>
      <c r="W85" s="427">
        <f>RBLInput!B141</f>
        <v>0</v>
      </c>
    </row>
    <row r="86" spans="18:23" x14ac:dyDescent="0.2">
      <c r="R86" s="424" t="s">
        <v>1594</v>
      </c>
      <c r="S86" s="417">
        <f t="shared" si="8"/>
        <v>0</v>
      </c>
      <c r="T86" s="417"/>
      <c r="U86" s="417"/>
      <c r="V86" s="150">
        <f>RBLInput!A142</f>
        <v>0</v>
      </c>
      <c r="W86" s="427">
        <f>RBLInput!B142</f>
        <v>0</v>
      </c>
    </row>
    <row r="87" spans="18:23" x14ac:dyDescent="0.2">
      <c r="R87" s="424" t="s">
        <v>1596</v>
      </c>
      <c r="S87" s="417">
        <f t="shared" si="8"/>
        <v>0</v>
      </c>
      <c r="T87" s="417"/>
      <c r="U87" s="417"/>
      <c r="V87" s="150">
        <f>RBLInput!A143</f>
        <v>0</v>
      </c>
      <c r="W87" s="427">
        <f>RBLInput!B143</f>
        <v>0</v>
      </c>
    </row>
    <row r="88" spans="18:23" x14ac:dyDescent="0.2">
      <c r="R88" s="424" t="s">
        <v>1598</v>
      </c>
      <c r="S88" s="417">
        <f t="shared" si="8"/>
        <v>0</v>
      </c>
      <c r="T88" s="417"/>
      <c r="U88" s="417"/>
      <c r="V88" s="150">
        <f>RBLInput!A144</f>
        <v>0</v>
      </c>
      <c r="W88" s="427">
        <f>RBLInput!B144</f>
        <v>0</v>
      </c>
    </row>
    <row r="89" spans="18:23" x14ac:dyDescent="0.2">
      <c r="R89" s="424" t="s">
        <v>1600</v>
      </c>
      <c r="S89" s="417">
        <f t="shared" si="8"/>
        <v>0</v>
      </c>
      <c r="T89" s="417"/>
      <c r="U89" s="417"/>
      <c r="V89" s="150">
        <f>RBLInput!A145</f>
        <v>0</v>
      </c>
      <c r="W89" s="427">
        <f>RBLInput!B145</f>
        <v>0</v>
      </c>
    </row>
    <row r="90" spans="18:23" x14ac:dyDescent="0.2">
      <c r="R90" s="424" t="s">
        <v>1601</v>
      </c>
      <c r="S90" s="417">
        <v>1</v>
      </c>
      <c r="T90" s="417"/>
      <c r="U90" s="417"/>
      <c r="V90" s="425" t="s">
        <v>1602</v>
      </c>
      <c r="W90" s="426"/>
    </row>
    <row r="91" spans="18:23" x14ac:dyDescent="0.2">
      <c r="R91" s="424" t="s">
        <v>1603</v>
      </c>
      <c r="S91" s="417">
        <f>IF(OR(W91=0,W91=""),0,1)</f>
        <v>1</v>
      </c>
      <c r="T91" s="417"/>
      <c r="U91" s="417"/>
      <c r="V91" s="425" t="s">
        <v>1604</v>
      </c>
      <c r="W91" s="428">
        <f>iDateBenComm</f>
        <v>39052</v>
      </c>
    </row>
    <row r="92" spans="18:23" x14ac:dyDescent="0.2">
      <c r="R92" s="424" t="s">
        <v>1606</v>
      </c>
      <c r="S92" s="417">
        <f>IF(OR(W92=0,W92=""),0,1)</f>
        <v>1</v>
      </c>
      <c r="T92" s="417"/>
      <c r="U92" s="417"/>
      <c r="V92" s="425" t="str">
        <f>AS44</f>
        <v>Benefit payable as a 5 Year certain &amp; life</v>
      </c>
      <c r="W92" s="429">
        <f>AT44</f>
        <v>975</v>
      </c>
    </row>
    <row r="93" spans="18:23" x14ac:dyDescent="0.2">
      <c r="R93" s="424" t="s">
        <v>658</v>
      </c>
      <c r="S93" s="417">
        <f>IF(SUM(S94:S102)=0,0,1)</f>
        <v>1</v>
      </c>
      <c r="T93" s="417"/>
      <c r="U93" s="417"/>
      <c r="V93" s="425" t="s">
        <v>659</v>
      </c>
      <c r="W93" s="426"/>
    </row>
    <row r="94" spans="18:23" x14ac:dyDescent="0.2">
      <c r="R94" s="424" t="s">
        <v>661</v>
      </c>
      <c r="S94" s="417">
        <v>1</v>
      </c>
      <c r="T94" s="417"/>
      <c r="U94" s="417"/>
      <c r="V94" s="417" t="str">
        <f>RBLInput!E95</f>
        <v>Date from which to project DC account balances</v>
      </c>
      <c r="W94" s="430">
        <f ca="1">RBLInput!D95</f>
        <v>42369</v>
      </c>
    </row>
    <row r="95" spans="18:23" x14ac:dyDescent="0.2">
      <c r="R95" s="424" t="s">
        <v>663</v>
      </c>
      <c r="S95" s="417">
        <v>1</v>
      </c>
      <c r="T95" s="417"/>
      <c r="U95" s="417"/>
      <c r="V95" s="417" t="str">
        <f>RBLInput!E96</f>
        <v>Current Year</v>
      </c>
      <c r="W95" s="431">
        <f ca="1">RBLInput!D96</f>
        <v>2016</v>
      </c>
    </row>
    <row r="96" spans="18:23" x14ac:dyDescent="0.2">
      <c r="R96" s="424" t="s">
        <v>665</v>
      </c>
      <c r="S96" s="417">
        <v>1</v>
      </c>
      <c r="T96" s="417"/>
      <c r="U96" s="417"/>
      <c r="V96" s="417" t="str">
        <f>RBLInput!E97</f>
        <v>Projection of IRS Pay Limit</v>
      </c>
      <c r="W96" s="432">
        <f>RBLInput!D97</f>
        <v>0.03</v>
      </c>
    </row>
    <row r="97" spans="18:23" x14ac:dyDescent="0.2">
      <c r="R97" s="424" t="s">
        <v>666</v>
      </c>
      <c r="S97" s="417">
        <v>1</v>
      </c>
      <c r="T97" s="417"/>
      <c r="U97" s="417"/>
      <c r="V97" s="417" t="str">
        <f>RBLInput!E98</f>
        <v>Projection of IRS DC Deferral Limit</v>
      </c>
      <c r="W97" s="432">
        <f>RBLInput!D98</f>
        <v>0.03</v>
      </c>
    </row>
    <row r="98" spans="18:23" x14ac:dyDescent="0.2">
      <c r="R98" s="424" t="s">
        <v>667</v>
      </c>
      <c r="S98" s="417">
        <v>1</v>
      </c>
      <c r="T98" s="417"/>
      <c r="U98" s="417"/>
      <c r="V98" s="417" t="str">
        <f>RBLInput!E99</f>
        <v>Past pay regression for PIA calculation: "N" is NAW, "C" is constant rate, "S" is NAW and constant split (see below).</v>
      </c>
      <c r="W98" s="433" t="str">
        <f>RBLInput!D99</f>
        <v>N</v>
      </c>
    </row>
    <row r="99" spans="18:23" x14ac:dyDescent="0.2">
      <c r="R99" s="424" t="s">
        <v>668</v>
      </c>
      <c r="S99" s="417">
        <v>1</v>
      </c>
      <c r="T99" s="417"/>
      <c r="U99" s="417"/>
      <c r="V99" s="417" t="str">
        <f>RBLInput!E100</f>
        <v>Back pay regression rate for PIA calculation.  If NAW (N), this rate is added to the NAW rate.  If NAW split (S), this applied only to years after last-known NAW rate (the NAW rate is used for earlier years).</v>
      </c>
      <c r="W99" s="432">
        <f>RBLInput!D100</f>
        <v>0</v>
      </c>
    </row>
    <row r="100" spans="18:23" x14ac:dyDescent="0.2">
      <c r="R100" s="424" t="s">
        <v>669</v>
      </c>
      <c r="S100" s="417">
        <v>1</v>
      </c>
      <c r="T100" s="417"/>
      <c r="U100" s="417"/>
      <c r="V100" s="417" t="str">
        <f>RBLInput!E101</f>
        <v>Beneficiary exists</v>
      </c>
      <c r="W100" s="421" t="b">
        <f>RBLInput!D101</f>
        <v>0</v>
      </c>
    </row>
    <row r="101" spans="18:23" x14ac:dyDescent="0.2">
      <c r="R101" s="424" t="s">
        <v>671</v>
      </c>
      <c r="S101" s="417">
        <v>1</v>
      </c>
      <c r="T101" s="417"/>
      <c r="U101" s="417"/>
      <c r="V101" s="417" t="str">
        <f>RBLInput!E102</f>
        <v>Current Date for System</v>
      </c>
      <c r="W101" s="421">
        <f ca="1">RBLInput!D102</f>
        <v>42370</v>
      </c>
    </row>
    <row r="102" spans="18:23" x14ac:dyDescent="0.2">
      <c r="R102" s="424" t="s">
        <v>673</v>
      </c>
      <c r="S102" s="417">
        <v>1</v>
      </c>
      <c r="T102" s="417"/>
      <c r="U102" s="417"/>
      <c r="V102" s="417" t="str">
        <f>RBLInput!E103</f>
        <v>Interest Rate for Lump Sum Projections</v>
      </c>
      <c r="W102" s="432">
        <f>RBLInput!D103</f>
        <v>4.8599999999999997E-2</v>
      </c>
    </row>
    <row r="103" spans="18:23" x14ac:dyDescent="0.2">
      <c r="R103" s="424" t="s">
        <v>1758</v>
      </c>
      <c r="S103" s="417">
        <v>1</v>
      </c>
      <c r="T103" s="97"/>
      <c r="U103" s="97"/>
      <c r="V103" s="417" t="str">
        <f>RBLInput!E104</f>
        <v>Mortality Rate for Lump Sum Calculations</v>
      </c>
      <c r="W103" s="433" t="str">
        <f>RBLInput!D104</f>
        <v>t2002irs</v>
      </c>
    </row>
    <row r="104" spans="18:23" x14ac:dyDescent="0.2">
      <c r="R104" s="424" t="s">
        <v>1759</v>
      </c>
      <c r="S104" s="417">
        <v>1</v>
      </c>
      <c r="T104" s="417"/>
      <c r="U104" s="417"/>
      <c r="V104" s="417" t="str">
        <f>RBLInput!E105</f>
        <v>Interest Rate for Actuarial Equivalence</v>
      </c>
      <c r="W104" s="432">
        <f>RBLInput!D105</f>
        <v>4.8599999999999997E-2</v>
      </c>
    </row>
    <row r="105" spans="18:23" x14ac:dyDescent="0.2">
      <c r="R105" s="424" t="s">
        <v>1761</v>
      </c>
      <c r="S105" s="417">
        <v>1</v>
      </c>
      <c r="T105" s="97"/>
      <c r="U105" s="97"/>
      <c r="V105" s="417" t="str">
        <f>RBLInput!E106</f>
        <v>Mortality Rate for Actuarial Equivalence</v>
      </c>
      <c r="W105" s="433" t="str">
        <f>RBLInput!D106</f>
        <v>t2002irs</v>
      </c>
    </row>
    <row r="106" spans="18:23" x14ac:dyDescent="0.2">
      <c r="R106" s="424" t="s">
        <v>1762</v>
      </c>
      <c r="S106" s="417">
        <v>1</v>
      </c>
      <c r="T106" s="97"/>
      <c r="U106" s="97"/>
      <c r="V106" s="417" t="str">
        <f>RBLInput!E107</f>
        <v>Law Year for PIA calculations</v>
      </c>
      <c r="W106" s="431">
        <f ca="1">RBLInput!D107</f>
        <v>2015</v>
      </c>
    </row>
    <row r="107" spans="18:23" x14ac:dyDescent="0.2">
      <c r="R107" s="424" t="s">
        <v>1763</v>
      </c>
      <c r="S107" s="417">
        <v>1</v>
      </c>
      <c r="T107" s="97"/>
      <c r="U107" s="97"/>
      <c r="V107" s="417" t="str">
        <f>RBLInput!E108</f>
        <v>Projected NAW rate to event.</v>
      </c>
      <c r="W107" s="432">
        <f>RBLInput!D108</f>
        <v>0.03</v>
      </c>
    </row>
    <row r="108" spans="18:23" x14ac:dyDescent="0.2">
      <c r="R108" s="424" t="s">
        <v>1764</v>
      </c>
      <c r="S108" s="417">
        <v>1</v>
      </c>
      <c r="T108" s="97"/>
      <c r="U108" s="97"/>
      <c r="V108" s="417" t="str">
        <f>RBLInput!E109</f>
        <v>Projected CPI rate to event.</v>
      </c>
      <c r="W108" s="432">
        <f>RBLInput!D109</f>
        <v>0.03</v>
      </c>
    </row>
    <row r="109" spans="18:23" x14ac:dyDescent="0.2">
      <c r="R109" s="424" t="s">
        <v>1765</v>
      </c>
      <c r="S109" s="417">
        <v>1</v>
      </c>
      <c r="T109" s="97"/>
      <c r="U109" s="97"/>
      <c r="V109" s="417" t="str">
        <f>RBLInput!E110</f>
        <v>Law Year for Covered Compensation Calcualtions</v>
      </c>
      <c r="W109" s="434">
        <f ca="1">RBLInput!D110</f>
        <v>2015</v>
      </c>
    </row>
    <row r="110" spans="18:23" x14ac:dyDescent="0.2">
      <c r="R110" s="424" t="s">
        <v>1766</v>
      </c>
      <c r="S110" s="417">
        <v>1</v>
      </c>
      <c r="T110" s="97"/>
      <c r="U110" s="97"/>
      <c r="V110" s="417" t="str">
        <f>RBLInput!E111</f>
        <v>Projection Rate for Covered Compensation Calculations</v>
      </c>
      <c r="W110" s="433">
        <f>RBLInput!D111</f>
        <v>0</v>
      </c>
    </row>
    <row r="111" spans="18:23" x14ac:dyDescent="0.2">
      <c r="R111" s="345"/>
      <c r="S111" s="97"/>
      <c r="T111" s="97"/>
      <c r="U111" s="97"/>
      <c r="V111" s="97"/>
      <c r="W111" s="346"/>
    </row>
    <row r="112" spans="18:23" ht="13.5" thickBot="1" x14ac:dyDescent="0.25">
      <c r="R112" s="435"/>
      <c r="S112" s="436"/>
      <c r="T112" s="436"/>
      <c r="U112" s="436"/>
      <c r="V112" s="436"/>
      <c r="W112" s="437"/>
    </row>
  </sheetData>
  <phoneticPr fontId="0" type="noConversion"/>
  <dataValidations count="3">
    <dataValidation type="list" allowBlank="1" showInputMessage="1" showErrorMessage="1" sqref="B4">
      <formula1>"ResultXml,FolderItem,Update,ReportData"</formula1>
    </dataValidation>
    <dataValidation type="list" allowBlank="1" showInputMessage="1" showErrorMessage="1" sqref="B24:B25 B6:B9">
      <formula1>"True, False, Keep5, Keep10, Keep15"</formula1>
    </dataValidation>
    <dataValidation type="list" allowBlank="1" showInputMessage="1" showErrorMessage="1" sqref="H30:H38">
      <formula1>"RBL,DocumentDownload,DataUpdates,CalculationStatus,FinalCalculation,IncompleteForms"</formula1>
    </dataValidation>
  </dataValidations>
  <pageMargins left="0.75" right="0.75" top="1" bottom="1" header="0.5" footer="0.5"/>
  <pageSetup orientation="portrait" horizontalDpi="4294967293"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BLWorkTables"/>
  <dimension ref="A2:CH48"/>
  <sheetViews>
    <sheetView workbookViewId="0">
      <selection activeCell="B14" sqref="B14"/>
    </sheetView>
  </sheetViews>
  <sheetFormatPr defaultRowHeight="12.75" x14ac:dyDescent="0.2"/>
  <cols>
    <col min="1" max="1" width="27.140625" customWidth="1"/>
    <col min="2" max="2" width="13.7109375" customWidth="1"/>
    <col min="3" max="3" width="15.5703125" customWidth="1"/>
    <col min="4" max="5" width="13.7109375" customWidth="1"/>
    <col min="6" max="6" width="11.7109375" customWidth="1"/>
    <col min="7" max="7" width="13.28515625" customWidth="1"/>
    <col min="8" max="8" width="11.7109375" customWidth="1"/>
    <col min="9" max="9" width="27.140625" bestFit="1" customWidth="1"/>
    <col min="10" max="10" width="15.5703125" customWidth="1"/>
    <col min="11" max="11" width="10.42578125" customWidth="1"/>
    <col min="14" max="14" width="10.85546875" customWidth="1"/>
    <col min="18" max="18" width="11.42578125" customWidth="1"/>
    <col min="19" max="19" width="11.7109375" customWidth="1"/>
    <col min="20" max="20" width="10.140625" customWidth="1"/>
    <col min="21" max="21" width="11.140625" customWidth="1"/>
    <col min="25" max="25" width="11.85546875" customWidth="1"/>
    <col min="26" max="26" width="10.7109375" customWidth="1"/>
    <col min="27" max="27" width="11.7109375" customWidth="1"/>
    <col min="28" max="28" width="11.5703125" customWidth="1"/>
    <col min="31" max="31" width="12" customWidth="1"/>
    <col min="42" max="42" width="10.5703125" customWidth="1"/>
  </cols>
  <sheetData>
    <row r="2" spans="1:86" s="359" customFormat="1" ht="13.5" thickBot="1" x14ac:dyDescent="0.25">
      <c r="A2" s="27" t="s">
        <v>97</v>
      </c>
      <c r="CB2" s="3"/>
      <c r="CC2" s="3"/>
      <c r="CD2" s="3"/>
      <c r="CE2" s="3"/>
      <c r="CF2" s="3"/>
      <c r="CG2" s="3"/>
      <c r="CH2" s="3"/>
    </row>
    <row r="3" spans="1:86" s="29" customFormat="1" ht="13.5" thickBot="1" x14ac:dyDescent="0.25">
      <c r="A3" s="29" t="s">
        <v>98</v>
      </c>
      <c r="B3" s="515" t="s">
        <v>759</v>
      </c>
      <c r="D3" s="238" t="s">
        <v>1561</v>
      </c>
      <c r="E3" s="360"/>
      <c r="F3" s="360"/>
      <c r="G3" s="360"/>
      <c r="H3" s="360"/>
      <c r="I3" s="242"/>
      <c r="CB3" s="61"/>
      <c r="CC3" s="61"/>
      <c r="CD3" s="61"/>
      <c r="CE3" s="61"/>
      <c r="CF3" s="61"/>
      <c r="CG3" s="61"/>
      <c r="CH3" s="61"/>
    </row>
    <row r="4" spans="1:86" s="29" customFormat="1" x14ac:dyDescent="0.2">
      <c r="B4" s="361"/>
      <c r="D4" s="362" t="s">
        <v>725</v>
      </c>
      <c r="E4" s="12"/>
      <c r="F4" s="12"/>
      <c r="G4" s="12"/>
      <c r="H4" s="12"/>
      <c r="I4" s="363"/>
      <c r="CB4" s="61"/>
      <c r="CC4" s="61"/>
      <c r="CD4" s="61"/>
      <c r="CE4" s="61"/>
      <c r="CF4" s="61"/>
      <c r="CG4" s="61"/>
      <c r="CH4" s="61"/>
    </row>
    <row r="5" spans="1:86" s="29" customFormat="1" ht="12.75" customHeight="1" x14ac:dyDescent="0.2">
      <c r="B5" s="364"/>
      <c r="D5" s="362" t="s">
        <v>2672</v>
      </c>
      <c r="E5" s="12"/>
      <c r="F5" s="12"/>
      <c r="G5" s="12"/>
      <c r="H5" s="12"/>
      <c r="I5" s="363"/>
      <c r="CB5" s="61"/>
      <c r="CC5" s="61"/>
      <c r="CD5" s="61"/>
      <c r="CE5" s="61"/>
      <c r="CF5" s="61"/>
      <c r="CG5" s="61"/>
      <c r="CH5" s="61"/>
    </row>
    <row r="6" spans="1:86" s="29" customFormat="1" ht="13.5" thickBot="1" x14ac:dyDescent="0.25">
      <c r="B6" s="365"/>
      <c r="D6" s="290"/>
      <c r="E6" s="291"/>
      <c r="F6" s="291"/>
      <c r="G6" s="291"/>
      <c r="H6" s="291"/>
      <c r="I6" s="292"/>
      <c r="AT6" s="319"/>
      <c r="AU6" s="319"/>
      <c r="CB6" s="61"/>
      <c r="CC6" s="61"/>
      <c r="CD6" s="61"/>
      <c r="CE6" s="61"/>
      <c r="CF6" s="61"/>
      <c r="CG6" s="61"/>
      <c r="CH6" s="61"/>
    </row>
    <row r="7" spans="1:86" s="29" customFormat="1" ht="13.5" thickBot="1" x14ac:dyDescent="0.25">
      <c r="B7" s="361"/>
      <c r="V7" s="366"/>
      <c r="W7" s="367"/>
      <c r="X7" s="367"/>
      <c r="Y7" s="367"/>
      <c r="Z7" s="367"/>
      <c r="AA7" s="367"/>
      <c r="AB7" s="367"/>
      <c r="AC7" s="367"/>
      <c r="AT7" s="319"/>
      <c r="AU7" s="319"/>
      <c r="CB7" s="61"/>
      <c r="CC7" s="61"/>
      <c r="CD7" s="61"/>
      <c r="CE7" s="61"/>
      <c r="CF7" s="61"/>
      <c r="CG7" s="61"/>
      <c r="CH7" s="61"/>
    </row>
    <row r="8" spans="1:86" s="29" customFormat="1" ht="13.5" thickBot="1" x14ac:dyDescent="0.25">
      <c r="A8" s="746" t="s">
        <v>2674</v>
      </c>
      <c r="B8" s="747"/>
      <c r="C8" s="747"/>
      <c r="D8" s="747"/>
      <c r="E8" s="747"/>
      <c r="F8" s="747"/>
      <c r="G8" s="747"/>
      <c r="H8" s="747"/>
      <c r="I8" s="747"/>
      <c r="J8" s="747"/>
      <c r="K8" s="748"/>
      <c r="V8" s="366"/>
      <c r="W8" s="367"/>
      <c r="X8" s="367"/>
      <c r="Y8" s="367"/>
      <c r="Z8" s="367"/>
      <c r="AA8" s="367"/>
      <c r="AB8" s="367"/>
      <c r="AC8" s="367"/>
      <c r="AT8" s="319"/>
      <c r="AU8" s="319"/>
      <c r="CB8" s="61"/>
      <c r="CC8" s="61"/>
      <c r="CD8" s="61"/>
      <c r="CE8" s="61"/>
      <c r="CF8" s="61"/>
      <c r="CG8" s="61"/>
      <c r="CH8" s="61"/>
    </row>
    <row r="9" spans="1:86" s="29" customFormat="1" ht="13.5" thickBot="1" x14ac:dyDescent="0.25">
      <c r="A9" s="469" t="str">
        <f>RBLResult!CD76</f>
        <v>Projected Monthly Pay</v>
      </c>
      <c r="B9" s="749" t="e">
        <f>RBLResult!CF76</f>
        <v>#REF!</v>
      </c>
      <c r="C9" s="367"/>
      <c r="D9" s="238" t="s">
        <v>2673</v>
      </c>
      <c r="E9" s="360"/>
      <c r="F9" s="360"/>
      <c r="G9" s="360" t="s">
        <v>726</v>
      </c>
      <c r="H9" s="360"/>
      <c r="I9" s="368"/>
      <c r="J9" s="368"/>
      <c r="K9" s="369"/>
      <c r="V9" s="366"/>
      <c r="W9" s="367"/>
      <c r="X9" s="367"/>
      <c r="Y9" s="367"/>
      <c r="Z9" s="367"/>
      <c r="AA9" s="367"/>
      <c r="AB9" s="367"/>
      <c r="AC9" s="367"/>
      <c r="AT9" s="319"/>
      <c r="AU9" s="319"/>
      <c r="CB9" s="61"/>
      <c r="CC9" s="61"/>
      <c r="CD9" s="61"/>
      <c r="CE9" s="61"/>
      <c r="CF9" s="61"/>
      <c r="CG9" s="61"/>
      <c r="CH9" s="61"/>
    </row>
    <row r="10" spans="1:86" s="29" customFormat="1" x14ac:dyDescent="0.2">
      <c r="A10" s="469" t="str">
        <f>RBLResult!CF71</f>
        <v>Monthly Annuity</v>
      </c>
      <c r="B10" s="749" t="e">
        <f>RBLResult!CF75</f>
        <v>#REF!</v>
      </c>
      <c r="C10" s="367"/>
      <c r="D10" s="362" t="str">
        <f>"Note, if you increase your 401(k) contribution rate to 20% of pay &lt;&lt;i&gt;&gt;you will still not reach your "&amp;IF(OR(iGoalVariable=1,iGoalVariable=4),"retirement","savings")&amp;" goal&lt;&lt;/i&gt;&gt; of "&amp;IF(iGoalVariable=4,"&lt;&lt;b&gt;&gt;"&amp;TEXT(iGoal,"$#,##0")&amp;"&lt;&lt;/b&gt;&gt; per month",IF(iGoalVariable=1,"replacing &lt;&lt;b&gt;&gt;"&amp;TEXT(iGoal,"0%")&amp;"&lt;&lt;/b&gt;&gt; of your income at retirement","&lt;&lt;b&gt;&gt;"&amp;TEXT(iGoal,"$#,##0")&amp;"&lt;&lt;/b&gt;&gt;"))&amp;".  You will be "</f>
        <v xml:space="preserve">Note, if you increase your 401(k) contribution rate to 20% of pay &lt;&lt;i&gt;&gt;you will still not reach your savings goal&lt;&lt;/i&gt;&gt; of &lt;&lt;b&gt;&gt;$1,000,000&lt;&lt;/b&gt;&gt;.  You will be </v>
      </c>
      <c r="E10" s="12"/>
      <c r="F10" s="12" t="s">
        <v>727</v>
      </c>
      <c r="G10" s="834" t="e">
        <f>IF(OR(AND(iVariable=1,iReturn&lt;OriginalGoalVariable),AND(iVariable=2,iSaveRate&lt;OriginalGoalVariable)),D18,IF(IF(iGoalVariable=1,contrib.replacement,IF(iGoalVariable=4,RBLResult!$K$65,TotalSavings))&lt;0.99*iGoal,D10&amp;"&lt;&lt;b&gt;&gt;"&amp;IF(iGoalVariable=1,TEXT(iGoal-contrib.replacement,"0%"),TEXT(iGoal-IF(iGoalVariable=4,MonthlyAnnuity,TotalSavings),"$#,##0"))&amp;"&lt;&lt;/b&gt;&gt;"&amp;D11&amp;"&lt;&lt;b&gt;&gt;"&amp;TEXT(iReturn,"0.00%")&amp;"&lt;&lt;/b&gt;&gt;"&amp;D12&amp;"&lt;&lt;b&gt;&gt;"&amp;TEXT(B15,"$#,##0")&amp;"&lt;&lt;/b&gt;&gt;"&amp;D13,D15&amp;D16&amp;D17))</f>
        <v>#REF!</v>
      </c>
      <c r="H10" s="835"/>
      <c r="I10" s="835"/>
      <c r="J10" s="835"/>
      <c r="K10" s="836"/>
      <c r="V10" s="366"/>
      <c r="W10" s="367"/>
      <c r="X10" s="367"/>
      <c r="Y10" s="367"/>
      <c r="Z10" s="367"/>
      <c r="AA10" s="367"/>
      <c r="AB10" s="367"/>
      <c r="AC10" s="367"/>
      <c r="AT10" s="319"/>
      <c r="AU10" s="319"/>
      <c r="CB10" s="61"/>
      <c r="CC10" s="61"/>
      <c r="CD10" s="61"/>
      <c r="CE10" s="61"/>
      <c r="CF10" s="61"/>
      <c r="CG10" s="61"/>
      <c r="CH10" s="61"/>
    </row>
    <row r="11" spans="1:86" s="29" customFormat="1" x14ac:dyDescent="0.2">
      <c r="A11" s="469" t="s">
        <v>728</v>
      </c>
      <c r="B11" s="367">
        <v>0.5</v>
      </c>
      <c r="C11" s="367"/>
      <c r="D11" s="362" t="s">
        <v>729</v>
      </c>
      <c r="E11" s="12"/>
      <c r="F11" s="12" t="s">
        <v>727</v>
      </c>
      <c r="G11" s="837"/>
      <c r="H11" s="837"/>
      <c r="I11" s="837"/>
      <c r="J11" s="837"/>
      <c r="K11" s="838"/>
      <c r="V11" s="366"/>
      <c r="W11" s="367"/>
      <c r="X11" s="367"/>
      <c r="Y11" s="367"/>
      <c r="Z11" s="367"/>
      <c r="AA11" s="367"/>
      <c r="AB11" s="367"/>
      <c r="AC11" s="367"/>
      <c r="AT11" s="319"/>
      <c r="AU11" s="319"/>
      <c r="CB11" s="61"/>
      <c r="CC11" s="61"/>
      <c r="CD11" s="61"/>
      <c r="CE11" s="61"/>
      <c r="CF11" s="61"/>
      <c r="CG11" s="61"/>
      <c r="CH11" s="61"/>
    </row>
    <row r="12" spans="1:86" s="29" customFormat="1" x14ac:dyDescent="0.2">
      <c r="A12" s="469" t="s">
        <v>730</v>
      </c>
      <c r="B12" s="750" t="e">
        <f>ROUND(B10/B9,2)</f>
        <v>#REF!</v>
      </c>
      <c r="C12" s="367"/>
      <c r="D12" s="362" t="s">
        <v>731</v>
      </c>
      <c r="E12" s="12"/>
      <c r="F12" s="12" t="s">
        <v>727</v>
      </c>
      <c r="G12" s="837"/>
      <c r="H12" s="837"/>
      <c r="I12" s="837"/>
      <c r="J12" s="837"/>
      <c r="K12" s="838"/>
      <c r="V12" s="366"/>
      <c r="W12" s="367"/>
      <c r="X12" s="367"/>
      <c r="Y12" s="367"/>
      <c r="Z12" s="367"/>
      <c r="AA12" s="367"/>
      <c r="AB12" s="367"/>
      <c r="AC12" s="367"/>
      <c r="AT12" s="319"/>
      <c r="AU12" s="319"/>
      <c r="CB12" s="61"/>
      <c r="CC12" s="61"/>
      <c r="CD12" s="61"/>
      <c r="CE12" s="61"/>
      <c r="CF12" s="61"/>
      <c r="CG12" s="61"/>
      <c r="CH12" s="61"/>
    </row>
    <row r="13" spans="1:86" s="29" customFormat="1" x14ac:dyDescent="0.2">
      <c r="A13" s="469" t="s">
        <v>732</v>
      </c>
      <c r="B13" s="749" t="e">
        <f>RBLResult!CE73</f>
        <v>#REF!</v>
      </c>
      <c r="C13" s="367"/>
      <c r="D13" s="362" t="str">
        <f>" each month in personal savings"&amp;IF(iGoalVariable=4," to produce your goal retirement income.",".")</f>
        <v xml:space="preserve"> each month in personal savings.</v>
      </c>
      <c r="E13" s="12"/>
      <c r="F13" s="12"/>
      <c r="G13" s="837"/>
      <c r="H13" s="837"/>
      <c r="I13" s="837"/>
      <c r="J13" s="837"/>
      <c r="K13" s="838"/>
      <c r="V13" s="366"/>
      <c r="W13" s="367"/>
      <c r="X13" s="367"/>
      <c r="Y13" s="367"/>
      <c r="Z13" s="367"/>
      <c r="AA13" s="367"/>
      <c r="AB13" s="367"/>
      <c r="AC13" s="367"/>
      <c r="AT13" s="319"/>
      <c r="AU13" s="319"/>
      <c r="CB13" s="61"/>
      <c r="CC13" s="61"/>
      <c r="CD13" s="61"/>
      <c r="CE13" s="61"/>
      <c r="CF13" s="61"/>
      <c r="CG13" s="61"/>
      <c r="CH13" s="61"/>
    </row>
    <row r="14" spans="1:86" s="29" customFormat="1" x14ac:dyDescent="0.2">
      <c r="A14" s="469" t="s">
        <v>733</v>
      </c>
      <c r="B14" s="367">
        <v>0</v>
      </c>
      <c r="C14" s="367"/>
      <c r="D14" s="362"/>
      <c r="E14" s="12"/>
      <c r="F14" s="12"/>
      <c r="G14" s="837"/>
      <c r="H14" s="837"/>
      <c r="I14" s="837"/>
      <c r="J14" s="837"/>
      <c r="K14" s="838"/>
      <c r="V14" s="366"/>
      <c r="W14" s="367"/>
      <c r="X14" s="367"/>
      <c r="Y14" s="367"/>
      <c r="Z14" s="367"/>
      <c r="AA14" s="367"/>
      <c r="AB14" s="367"/>
      <c r="AC14" s="367"/>
      <c r="AT14" s="319"/>
      <c r="AU14" s="319"/>
      <c r="CB14" s="61"/>
      <c r="CC14" s="61"/>
      <c r="CD14" s="61"/>
      <c r="CE14" s="61"/>
      <c r="CF14" s="61"/>
      <c r="CG14" s="61"/>
      <c r="CH14" s="61"/>
    </row>
    <row r="15" spans="1:86" s="29" customFormat="1" x14ac:dyDescent="0.2">
      <c r="A15" s="469" t="s">
        <v>734</v>
      </c>
      <c r="B15" s="751" t="e">
        <f ca="1">PMT((1+iReturn)^(1/12)-1,12*(YEAR(iDateBenComm)-YEAR(aCurrDate)+(MONTH(iDateBenComm)-MONTH(aCurrDate))/12),0,-IF(OR(iGoalVariable=1,iGoalVariable=4),B14,iGoal-TotalSavings),0)</f>
        <v>#REF!</v>
      </c>
      <c r="C15" s="367"/>
      <c r="D15" s="362" t="str">
        <f>"In order to achieve your goal of "&amp;IF(iGoalVariable=1,"replacing "&amp;"&lt;&lt;b&gt;&gt;"&amp;TEXT(iGoal,"0%")&amp;"&lt;&lt;/b&gt;&gt; of your income at retirement at age "&amp;TEXT(iRetAge,"0")&amp;", ",IF(iGoalVariable=4,"providing a monthly income in retirement of "&amp;"&lt;&lt;b&gt;&gt;"&amp;TEXT(iGoal,"$#,##0")&amp;"&lt;&lt;/b&gt;&gt;"&amp;" at age "&amp;TEXT(iRetAge,"0")&amp;", ","saving a total of "&amp;"&lt;&lt;b&gt;&gt;"&amp;TEXT(iGoal,"$#,##0")&amp;"&lt;&lt;/b&gt;&gt;"&amp;" in your 401(k) plan by age "&amp;"&lt;&lt;b&gt;&gt;"&amp;TEXT(iRetAge,"0")&amp;"&lt;&lt;/b&gt;&gt;"&amp;", "))</f>
        <v xml:space="preserve">In order to achieve your goal of saving a total of &lt;&lt;b&gt;&gt;$1,000,000&lt;&lt;/b&gt;&gt; in your 401(k) plan by age &lt;&lt;b&gt;&gt;0&lt;&lt;/b&gt;&gt;, </v>
      </c>
      <c r="E15" s="12"/>
      <c r="F15" s="12" t="s">
        <v>727</v>
      </c>
      <c r="G15" s="837"/>
      <c r="H15" s="837"/>
      <c r="I15" s="837"/>
      <c r="J15" s="837"/>
      <c r="K15" s="838"/>
      <c r="V15" s="366"/>
      <c r="W15" s="367"/>
      <c r="X15" s="367"/>
      <c r="Y15" s="367"/>
      <c r="Z15" s="367"/>
      <c r="AA15" s="367"/>
      <c r="AB15" s="367"/>
      <c r="AC15" s="367"/>
      <c r="AT15" s="319"/>
      <c r="AU15" s="319"/>
      <c r="CB15" s="61"/>
      <c r="CC15" s="61"/>
      <c r="CD15" s="61"/>
      <c r="CE15" s="61"/>
      <c r="CF15" s="61"/>
      <c r="CG15" s="61"/>
      <c r="CH15" s="61"/>
    </row>
    <row r="16" spans="1:86" s="29" customFormat="1" x14ac:dyDescent="0.2">
      <c r="A16" s="469" t="s">
        <v>735</v>
      </c>
      <c r="B16" s="751" t="e">
        <f ca="1">FV((1+iReturn)^(1/12)-1,12*(YEAR(iDateBenComm)-YEAR(aCurrDate)+(MONTH(iDateBenComm)-MONTH(aCurrDate))/12),-B15,0,0)</f>
        <v>#REF!</v>
      </c>
      <c r="C16" s="367"/>
      <c r="D16" s="362" t="str">
        <f>"you would need to "&amp;IF(iVariable=1,"realize an annual rate of return of approximately "&amp;"&lt;&lt;b&gt;&gt;"&amp;TEXT(iReturn,"0.00%")&amp;"&lt;&lt;/b&gt;&gt;"&amp;" in your 401(k) plan.","defer approximately "&amp;"&lt;&lt;b&gt;&gt;"&amp;TEXT(iSaveRate,"0%")&amp;"&lt;&lt;/b&gt;&gt;"&amp;" of pay each year.")</f>
        <v>you would need to defer approximately &lt;&lt;b&gt;&gt;0%&lt;&lt;/b&gt;&gt; of pay each year.</v>
      </c>
      <c r="E16" s="12"/>
      <c r="F16" s="12" t="s">
        <v>727</v>
      </c>
      <c r="G16" s="837"/>
      <c r="H16" s="837"/>
      <c r="I16" s="837"/>
      <c r="J16" s="837"/>
      <c r="K16" s="838"/>
      <c r="V16" s="366"/>
      <c r="W16" s="367"/>
      <c r="X16" s="367"/>
      <c r="Y16" s="367"/>
      <c r="Z16" s="367"/>
      <c r="AA16" s="367"/>
      <c r="AB16" s="367"/>
      <c r="AC16" s="367"/>
      <c r="AT16" s="319"/>
      <c r="AU16" s="319"/>
      <c r="CB16" s="61"/>
      <c r="CC16" s="61"/>
      <c r="CD16" s="61"/>
      <c r="CE16" s="61"/>
      <c r="CF16" s="61"/>
      <c r="CG16" s="61"/>
      <c r="CH16" s="61"/>
    </row>
    <row r="17" spans="1:86" s="29" customFormat="1" x14ac:dyDescent="0.2">
      <c r="A17" s="469" t="s">
        <v>736</v>
      </c>
      <c r="B17" s="751">
        <v>4236.4450113095199</v>
      </c>
      <c r="C17" s="367"/>
      <c r="D17" s="362"/>
      <c r="E17" s="12"/>
      <c r="F17" s="12"/>
      <c r="G17" s="837"/>
      <c r="H17" s="837"/>
      <c r="I17" s="837"/>
      <c r="J17" s="837"/>
      <c r="K17" s="838"/>
      <c r="V17" s="366"/>
      <c r="W17" s="367"/>
      <c r="X17" s="367"/>
      <c r="Y17" s="367"/>
      <c r="Z17" s="367"/>
      <c r="AA17" s="367"/>
      <c r="AB17" s="367"/>
      <c r="AC17" s="367"/>
      <c r="AT17" s="319"/>
      <c r="AU17" s="319"/>
      <c r="CB17" s="61"/>
      <c r="CC17" s="61"/>
      <c r="CD17" s="61"/>
      <c r="CE17" s="61"/>
      <c r="CF17" s="61"/>
      <c r="CG17" s="61"/>
      <c r="CH17" s="61"/>
    </row>
    <row r="18" spans="1:86" s="29" customFormat="1" x14ac:dyDescent="0.2">
      <c r="A18" s="469" t="s">
        <v>737</v>
      </c>
      <c r="B18" s="749" t="e">
        <f>B17+MonthlyAnnuity</f>
        <v>#REF!</v>
      </c>
      <c r="C18" s="367"/>
      <c r="D18" s="362" t="s">
        <v>828</v>
      </c>
      <c r="E18" s="12"/>
      <c r="F18" s="12" t="s">
        <v>727</v>
      </c>
      <c r="G18" s="837"/>
      <c r="H18" s="837"/>
      <c r="I18" s="837"/>
      <c r="J18" s="837"/>
      <c r="K18" s="838"/>
      <c r="V18" s="366"/>
      <c r="W18" s="367"/>
      <c r="X18" s="367"/>
      <c r="Y18" s="367"/>
      <c r="Z18" s="367"/>
      <c r="AA18" s="367"/>
      <c r="AB18" s="367"/>
      <c r="AC18" s="367"/>
      <c r="AT18" s="319"/>
      <c r="AU18" s="319"/>
      <c r="CB18" s="61"/>
      <c r="CC18" s="61"/>
      <c r="CD18" s="61"/>
      <c r="CE18" s="61"/>
      <c r="CF18" s="61"/>
      <c r="CG18" s="61"/>
      <c r="CH18" s="61"/>
    </row>
    <row r="19" spans="1:86" s="29" customFormat="1" x14ac:dyDescent="0.2">
      <c r="A19" s="469" t="s">
        <v>829</v>
      </c>
      <c r="B19" s="750" t="e">
        <f>B18/B9</f>
        <v>#REF!</v>
      </c>
      <c r="C19" s="367"/>
      <c r="D19" s="362"/>
      <c r="E19" s="12"/>
      <c r="F19" s="12"/>
      <c r="G19" s="837"/>
      <c r="H19" s="837"/>
      <c r="I19" s="837"/>
      <c r="J19" s="837"/>
      <c r="K19" s="838"/>
      <c r="V19" s="366"/>
      <c r="W19" s="367"/>
      <c r="X19" s="367"/>
      <c r="Y19" s="367"/>
      <c r="Z19" s="367"/>
      <c r="AA19" s="367"/>
      <c r="AB19" s="367"/>
      <c r="AC19" s="367"/>
      <c r="AT19" s="319"/>
      <c r="AU19" s="319"/>
      <c r="CB19" s="61"/>
      <c r="CC19" s="61"/>
      <c r="CD19" s="61"/>
      <c r="CE19" s="61"/>
      <c r="CF19" s="61"/>
      <c r="CG19" s="61"/>
      <c r="CH19" s="61"/>
    </row>
    <row r="20" spans="1:86" s="29" customFormat="1" ht="13.5" thickBot="1" x14ac:dyDescent="0.25">
      <c r="A20" s="471"/>
      <c r="B20" s="236"/>
      <c r="C20" s="236"/>
      <c r="D20" s="290"/>
      <c r="E20" s="291"/>
      <c r="F20" s="291"/>
      <c r="G20" s="839"/>
      <c r="H20" s="839"/>
      <c r="I20" s="839"/>
      <c r="J20" s="839"/>
      <c r="K20" s="840"/>
      <c r="V20" s="366"/>
      <c r="W20" s="367"/>
      <c r="X20" s="367"/>
      <c r="Y20" s="367"/>
      <c r="Z20" s="367"/>
      <c r="AA20" s="367"/>
      <c r="AB20" s="367"/>
      <c r="AC20" s="367"/>
      <c r="AT20" s="319"/>
      <c r="AU20" s="319"/>
      <c r="CB20" s="61"/>
      <c r="CC20" s="61"/>
      <c r="CD20" s="61"/>
      <c r="CE20" s="61"/>
      <c r="CF20" s="61"/>
      <c r="CG20" s="61"/>
      <c r="CH20" s="61"/>
    </row>
    <row r="21" spans="1:86" s="29" customFormat="1" x14ac:dyDescent="0.2">
      <c r="B21" s="361"/>
      <c r="V21" s="366"/>
      <c r="W21" s="367"/>
      <c r="X21" s="367"/>
      <c r="Y21" s="367"/>
      <c r="Z21" s="367"/>
      <c r="AA21" s="367"/>
      <c r="AB21" s="367"/>
      <c r="AC21" s="367"/>
      <c r="AT21" s="319"/>
      <c r="AU21" s="319"/>
      <c r="CB21" s="61"/>
      <c r="CC21" s="61"/>
      <c r="CD21" s="61"/>
      <c r="CE21" s="61"/>
      <c r="CF21" s="61"/>
      <c r="CG21" s="61"/>
      <c r="CH21" s="61"/>
    </row>
    <row r="22" spans="1:86" s="3" customFormat="1" ht="13.5" thickBot="1" x14ac:dyDescent="0.25">
      <c r="A22" s="27" t="s">
        <v>1087</v>
      </c>
    </row>
    <row r="23" spans="1:86" ht="13.5" thickBot="1" x14ac:dyDescent="0.25">
      <c r="A23" t="s">
        <v>375</v>
      </c>
      <c r="B23" s="44">
        <f>datebirth</f>
        <v>16345</v>
      </c>
      <c r="D23" s="284" t="s">
        <v>1088</v>
      </c>
      <c r="E23" s="285"/>
      <c r="F23" s="285"/>
      <c r="G23" s="285"/>
      <c r="H23" s="285"/>
      <c r="I23" s="285"/>
      <c r="J23" s="285"/>
      <c r="K23" s="286"/>
    </row>
    <row r="24" spans="1:86" x14ac:dyDescent="0.2">
      <c r="A24" t="s">
        <v>1089</v>
      </c>
      <c r="B24" s="44">
        <f ca="1">aCurrDate</f>
        <v>42370</v>
      </c>
      <c r="D24" s="287" t="s">
        <v>714</v>
      </c>
      <c r="E24" s="288"/>
      <c r="F24" s="288"/>
      <c r="G24" s="288"/>
      <c r="H24" s="288"/>
      <c r="I24" s="288"/>
      <c r="J24" s="288"/>
      <c r="K24" s="289"/>
    </row>
    <row r="25" spans="1:86" ht="13.5" thickBot="1" x14ac:dyDescent="0.25">
      <c r="A25" t="s">
        <v>1090</v>
      </c>
      <c r="B25">
        <f ca="1">YEARFRAC(B23,B24)</f>
        <v>71.25277777777778</v>
      </c>
      <c r="D25" s="290" t="s">
        <v>715</v>
      </c>
      <c r="E25" s="291"/>
      <c r="F25" s="291"/>
      <c r="G25" s="291"/>
      <c r="H25" s="291"/>
      <c r="I25" s="291"/>
      <c r="J25" s="291"/>
      <c r="K25" s="292"/>
    </row>
    <row r="26" spans="1:86" x14ac:dyDescent="0.2">
      <c r="A26" s="29" t="s">
        <v>550</v>
      </c>
      <c r="B26" s="44">
        <f>iDateTerm</f>
        <v>38930</v>
      </c>
    </row>
    <row r="27" spans="1:86" x14ac:dyDescent="0.2">
      <c r="A27" s="29" t="s">
        <v>1091</v>
      </c>
      <c r="B27" s="44">
        <f>iDateBenComm</f>
        <v>39052</v>
      </c>
    </row>
    <row r="28" spans="1:86" x14ac:dyDescent="0.2">
      <c r="A28" s="29" t="s">
        <v>1560</v>
      </c>
      <c r="B28">
        <f>MIN(11,MAX(5,65-A36+1))</f>
        <v>11</v>
      </c>
    </row>
    <row r="29" spans="1:86" ht="13.5" thickBot="1" x14ac:dyDescent="0.25"/>
    <row r="30" spans="1:86" ht="13.5" thickTop="1" x14ac:dyDescent="0.2">
      <c r="A30" s="293" t="s">
        <v>1561</v>
      </c>
      <c r="B30" s="294"/>
      <c r="C30" s="294"/>
      <c r="D30" s="294"/>
      <c r="E30" s="294"/>
      <c r="F30" s="294"/>
      <c r="G30" s="295"/>
    </row>
    <row r="31" spans="1:86" x14ac:dyDescent="0.2">
      <c r="A31" s="296" t="s">
        <v>1383</v>
      </c>
      <c r="B31" s="10"/>
      <c r="C31" s="10"/>
      <c r="D31" s="10"/>
      <c r="E31" s="10"/>
      <c r="F31" s="10"/>
      <c r="G31" s="297"/>
    </row>
    <row r="32" spans="1:86" x14ac:dyDescent="0.2">
      <c r="A32" s="296" t="s">
        <v>716</v>
      </c>
      <c r="B32" s="10"/>
      <c r="C32" s="10"/>
      <c r="D32" s="10"/>
      <c r="E32" s="10"/>
      <c r="F32" s="10"/>
      <c r="G32" s="297"/>
    </row>
    <row r="33" spans="1:8" ht="13.5" thickBot="1" x14ac:dyDescent="0.25">
      <c r="A33" s="298" t="s">
        <v>1384</v>
      </c>
      <c r="B33" s="299"/>
      <c r="C33" s="299"/>
      <c r="D33" s="299"/>
      <c r="E33" s="299"/>
      <c r="F33" s="299"/>
      <c r="G33" s="300"/>
    </row>
    <row r="34" spans="1:8" ht="27" customHeight="1" thickTop="1" thickBot="1" x14ac:dyDescent="0.25">
      <c r="A34" s="301" t="s">
        <v>1077</v>
      </c>
      <c r="B34" s="302" t="s">
        <v>550</v>
      </c>
      <c r="C34" s="302" t="s">
        <v>1091</v>
      </c>
      <c r="D34" s="303" t="s">
        <v>1385</v>
      </c>
      <c r="E34" s="303" t="s">
        <v>203</v>
      </c>
      <c r="F34" s="303" t="s">
        <v>1386</v>
      </c>
      <c r="G34" s="304" t="s">
        <v>1387</v>
      </c>
    </row>
    <row r="35" spans="1:8" ht="14.25" thickTop="1" thickBot="1" x14ac:dyDescent="0.25">
      <c r="A35" s="305" t="s">
        <v>1388</v>
      </c>
      <c r="B35" s="306">
        <v>39417</v>
      </c>
      <c r="C35" s="306">
        <v>39417</v>
      </c>
      <c r="D35" s="307">
        <f>RBLBenCalc!AN35</f>
        <v>1000</v>
      </c>
      <c r="E35" s="307" t="e">
        <f>#REF!/12</f>
        <v>#REF!</v>
      </c>
      <c r="F35" s="308"/>
      <c r="G35" s="309"/>
    </row>
    <row r="36" spans="1:8" ht="13.5" thickTop="1" x14ac:dyDescent="0.2">
      <c r="A36" s="296">
        <f>MAX(TRUNC(E1)+1,55)</f>
        <v>55</v>
      </c>
      <c r="B36" s="243">
        <f>DATE(YEAR(B23)+A36,MONTH(B23),DAY(B23))</f>
        <v>36433</v>
      </c>
      <c r="C36" s="243">
        <f t="shared" ref="C36:C46" si="0">DATE(YEAR(B36),MONTH(B36)+IF(DAY(B36)=1,0,1),1)</f>
        <v>36434</v>
      </c>
      <c r="D36" s="310">
        <v>2408.8000000000002</v>
      </c>
      <c r="E36" s="310">
        <v>2358.83</v>
      </c>
      <c r="F36" s="311"/>
      <c r="G36" s="297"/>
    </row>
    <row r="37" spans="1:8" x14ac:dyDescent="0.2">
      <c r="A37" s="296">
        <f t="shared" ref="A37:A46" si="1">A36+1</f>
        <v>56</v>
      </c>
      <c r="B37" s="243">
        <f>DATE(YEAR(B23)+A37,MONTH(B23),DAY(B23))</f>
        <v>36799</v>
      </c>
      <c r="C37" s="243">
        <f t="shared" si="0"/>
        <v>36800</v>
      </c>
      <c r="D37" s="310">
        <v>2692.98</v>
      </c>
      <c r="E37" s="310">
        <v>2520.08</v>
      </c>
      <c r="F37" s="311"/>
      <c r="G37" s="297"/>
    </row>
    <row r="38" spans="1:8" x14ac:dyDescent="0.2">
      <c r="A38" s="296">
        <f t="shared" si="1"/>
        <v>57</v>
      </c>
      <c r="B38" s="243">
        <f>DATE(YEAR(B23)+A38,MONTH(B23),DAY(B23))</f>
        <v>37164</v>
      </c>
      <c r="C38" s="243">
        <f t="shared" si="0"/>
        <v>37165</v>
      </c>
      <c r="D38" s="310">
        <v>3045.19</v>
      </c>
      <c r="E38" s="310">
        <v>2737.2</v>
      </c>
      <c r="F38" s="311"/>
      <c r="G38" s="297"/>
    </row>
    <row r="39" spans="1:8" x14ac:dyDescent="0.2">
      <c r="A39" s="296">
        <f t="shared" si="1"/>
        <v>58</v>
      </c>
      <c r="B39" s="243">
        <f>DATE(YEAR(B23)+A39,MONTH(B23),DAY(B23))</f>
        <v>37529</v>
      </c>
      <c r="C39" s="243">
        <f t="shared" si="0"/>
        <v>37530</v>
      </c>
      <c r="D39" s="310">
        <v>3257.23</v>
      </c>
      <c r="E39" s="310">
        <v>2988.81</v>
      </c>
      <c r="F39" s="311"/>
      <c r="G39" s="297"/>
    </row>
    <row r="40" spans="1:8" x14ac:dyDescent="0.2">
      <c r="A40" s="296">
        <f t="shared" si="1"/>
        <v>59</v>
      </c>
      <c r="B40" s="243">
        <f>DATE(YEAR(B23)+A40,MONTH(B23),DAY(B23))</f>
        <v>37894</v>
      </c>
      <c r="C40" s="243">
        <f t="shared" si="0"/>
        <v>37895</v>
      </c>
      <c r="D40" s="310">
        <v>3479.41</v>
      </c>
      <c r="E40" s="310">
        <v>3258.71</v>
      </c>
      <c r="F40" s="311"/>
      <c r="G40" s="297"/>
    </row>
    <row r="41" spans="1:8" x14ac:dyDescent="0.2">
      <c r="A41" s="296">
        <f t="shared" si="1"/>
        <v>60</v>
      </c>
      <c r="B41" s="243">
        <f>DATE(YEAR(B23)+A41,MONTH(B23),DAY(B23))</f>
        <v>38260</v>
      </c>
      <c r="C41" s="243">
        <f t="shared" si="0"/>
        <v>38261</v>
      </c>
      <c r="D41" s="310">
        <v>3711.47</v>
      </c>
      <c r="E41" s="310">
        <v>3548.02</v>
      </c>
      <c r="F41" s="311"/>
      <c r="G41" s="297"/>
    </row>
    <row r="42" spans="1:8" x14ac:dyDescent="0.2">
      <c r="A42" s="296">
        <f t="shared" si="1"/>
        <v>61</v>
      </c>
      <c r="B42" s="243">
        <f>DATE(YEAR(B23)+A42,MONTH(B23),DAY(B23))</f>
        <v>38625</v>
      </c>
      <c r="C42" s="243">
        <f t="shared" si="0"/>
        <v>38626</v>
      </c>
      <c r="D42" s="310">
        <v>3953.02</v>
      </c>
      <c r="E42" s="310">
        <v>3858.01</v>
      </c>
      <c r="F42" s="311"/>
      <c r="G42" s="297"/>
    </row>
    <row r="43" spans="1:8" x14ac:dyDescent="0.2">
      <c r="A43" s="296">
        <f t="shared" si="1"/>
        <v>62</v>
      </c>
      <c r="B43" s="243">
        <f>DATE(YEAR(B23)+A43,MONTH(B23),DAY(B23))</f>
        <v>38990</v>
      </c>
      <c r="C43" s="243">
        <f t="shared" si="0"/>
        <v>38991</v>
      </c>
      <c r="D43" s="310">
        <v>4203.45</v>
      </c>
      <c r="E43" s="310">
        <v>4203.45</v>
      </c>
      <c r="F43" s="311"/>
      <c r="G43" s="297"/>
    </row>
    <row r="44" spans="1:8" x14ac:dyDescent="0.2">
      <c r="A44" s="296">
        <f t="shared" si="1"/>
        <v>63</v>
      </c>
      <c r="B44" s="243">
        <f>DATE(YEAR(B23)+A44,MONTH(B23),DAY(B23))</f>
        <v>39355</v>
      </c>
      <c r="C44" s="243">
        <f t="shared" si="0"/>
        <v>39356</v>
      </c>
      <c r="D44" s="310">
        <v>4579.79</v>
      </c>
      <c r="E44" s="310">
        <v>4579.79</v>
      </c>
      <c r="F44" s="311"/>
      <c r="G44" s="297"/>
      <c r="H44" s="312"/>
    </row>
    <row r="45" spans="1:8" x14ac:dyDescent="0.2">
      <c r="A45" s="296">
        <f t="shared" si="1"/>
        <v>64</v>
      </c>
      <c r="B45" s="243">
        <f>DATE(YEAR(B23)+A45,MONTH(B23),DAY(B23))</f>
        <v>39721</v>
      </c>
      <c r="C45" s="243">
        <f t="shared" si="0"/>
        <v>39722</v>
      </c>
      <c r="D45" s="310">
        <v>4980.8900000000003</v>
      </c>
      <c r="E45" s="310">
        <v>4980.8900000000003</v>
      </c>
      <c r="F45" s="311"/>
      <c r="G45" s="297"/>
    </row>
    <row r="46" spans="1:8" ht="13.5" thickBot="1" x14ac:dyDescent="0.25">
      <c r="A46" s="296">
        <f t="shared" si="1"/>
        <v>65</v>
      </c>
      <c r="B46" s="243">
        <f>DATE(YEAR(B23)+A46,MONTH(B23),DAY(B23))</f>
        <v>40086</v>
      </c>
      <c r="C46" s="243">
        <f t="shared" si="0"/>
        <v>40087</v>
      </c>
      <c r="D46" s="310">
        <v>5408.29</v>
      </c>
      <c r="E46" s="310">
        <v>5408.29</v>
      </c>
      <c r="F46" s="311"/>
      <c r="G46" s="297"/>
    </row>
    <row r="47" spans="1:8" ht="14.25" thickTop="1" thickBot="1" x14ac:dyDescent="0.25">
      <c r="A47" s="313" t="s">
        <v>1681</v>
      </c>
      <c r="B47" s="314">
        <f>B26</f>
        <v>38930</v>
      </c>
      <c r="C47" s="315">
        <f>B27</f>
        <v>39052</v>
      </c>
      <c r="D47" s="316">
        <v>2288.4899999999998</v>
      </c>
      <c r="E47" s="316">
        <v>2244.5100000000002</v>
      </c>
      <c r="F47" s="317"/>
      <c r="G47" s="300"/>
    </row>
    <row r="48" spans="1:8" ht="13.5" thickTop="1" x14ac:dyDescent="0.2"/>
  </sheetData>
  <mergeCells count="1">
    <mergeCell ref="G10:K20"/>
  </mergeCells>
  <phoneticPr fontId="26" type="noConversion"/>
  <pageMargins left="0.75" right="0.75" top="1" bottom="1" header="0.5" footer="0.5"/>
  <pageSetup orientation="portrait" horizontalDpi="4294967293" verticalDpi="4294967293"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RBLUpdate"/>
  <dimension ref="A1:S25"/>
  <sheetViews>
    <sheetView workbookViewId="0"/>
  </sheetViews>
  <sheetFormatPr defaultColWidth="10.28515625" defaultRowHeight="12.75" x14ac:dyDescent="0.2"/>
  <cols>
    <col min="1" max="1" width="21.85546875" style="352" bestFit="1" customWidth="1"/>
    <col min="2" max="2" width="15.7109375" style="352" customWidth="1"/>
    <col min="3" max="3" width="4.28515625" style="352" customWidth="1"/>
    <col min="4" max="4" width="15.7109375" style="352" customWidth="1"/>
    <col min="5" max="5" width="10.85546875" style="352" bestFit="1" customWidth="1"/>
    <col min="6" max="11" width="15.140625" style="352" customWidth="1"/>
    <col min="12" max="12" width="10.28515625" style="352"/>
    <col min="13" max="13" width="6.5703125" style="352" bestFit="1" customWidth="1"/>
    <col min="14" max="14" width="6.140625" style="352" bestFit="1" customWidth="1"/>
    <col min="15" max="15" width="6.7109375" style="352" customWidth="1"/>
    <col min="16" max="16" width="6.7109375" style="352" bestFit="1" customWidth="1"/>
    <col min="17" max="17" width="10.28515625" style="352"/>
    <col min="18" max="18" width="14.140625" style="352" customWidth="1"/>
    <col min="19" max="19" width="5.85546875" style="352" customWidth="1"/>
    <col min="20" max="16384" width="10.28515625" style="352"/>
  </cols>
  <sheetData>
    <row r="1" spans="1:7" s="351" customFormat="1" ht="13.5" thickBot="1" x14ac:dyDescent="0.25">
      <c r="A1" s="350" t="s">
        <v>576</v>
      </c>
    </row>
    <row r="2" spans="1:7" x14ac:dyDescent="0.2">
      <c r="A2" s="519" t="s">
        <v>1151</v>
      </c>
      <c r="B2" s="520" t="s">
        <v>508</v>
      </c>
      <c r="C2" s="520"/>
      <c r="D2" s="520"/>
      <c r="E2" s="520"/>
      <c r="F2" s="520"/>
      <c r="G2" s="521"/>
    </row>
    <row r="3" spans="1:7" customFormat="1" x14ac:dyDescent="0.2">
      <c r="A3" s="512" t="s">
        <v>509</v>
      </c>
      <c r="B3" s="9">
        <v>6</v>
      </c>
      <c r="C3" s="10"/>
      <c r="D3" s="10"/>
      <c r="E3" s="10"/>
      <c r="F3" s="10"/>
      <c r="G3" s="438"/>
    </row>
    <row r="4" spans="1:7" x14ac:dyDescent="0.2">
      <c r="A4" s="522" t="s">
        <v>1149</v>
      </c>
      <c r="B4" s="523" t="s">
        <v>1767</v>
      </c>
      <c r="C4" s="524"/>
      <c r="D4" s="524"/>
      <c r="E4" s="524"/>
      <c r="F4" s="524"/>
      <c r="G4" s="525"/>
    </row>
    <row r="5" spans="1:7" x14ac:dyDescent="0.2">
      <c r="A5" s="522"/>
      <c r="B5" s="523"/>
      <c r="C5" s="524"/>
      <c r="D5" s="524"/>
      <c r="E5" s="524"/>
      <c r="F5" s="524"/>
      <c r="G5" s="525"/>
    </row>
    <row r="6" spans="1:7" x14ac:dyDescent="0.2">
      <c r="A6" s="522" t="s">
        <v>451</v>
      </c>
      <c r="B6" s="523"/>
      <c r="C6" s="524"/>
      <c r="D6" s="524"/>
      <c r="E6" s="524"/>
      <c r="F6" s="524"/>
      <c r="G6" s="525"/>
    </row>
    <row r="7" spans="1:7" x14ac:dyDescent="0.2">
      <c r="A7" s="522" t="s">
        <v>452</v>
      </c>
      <c r="B7" s="523"/>
      <c r="C7" s="524"/>
      <c r="D7" s="524"/>
      <c r="E7" s="524"/>
      <c r="F7" s="524"/>
      <c r="G7" s="525"/>
    </row>
    <row r="8" spans="1:7" x14ac:dyDescent="0.2">
      <c r="A8" s="522"/>
      <c r="B8" s="523"/>
      <c r="C8" s="524"/>
      <c r="D8" s="524"/>
      <c r="E8" s="524"/>
      <c r="F8" s="524"/>
      <c r="G8" s="525"/>
    </row>
    <row r="9" spans="1:7" x14ac:dyDescent="0.2">
      <c r="A9" s="526" t="s">
        <v>453</v>
      </c>
      <c r="B9" s="523"/>
      <c r="C9" s="524"/>
      <c r="D9" s="524"/>
      <c r="E9" s="524"/>
      <c r="F9" s="524"/>
      <c r="G9" s="525"/>
    </row>
    <row r="10" spans="1:7" x14ac:dyDescent="0.2">
      <c r="A10" s="522" t="s">
        <v>573</v>
      </c>
      <c r="B10" s="523"/>
      <c r="C10" s="524"/>
      <c r="D10" s="524"/>
      <c r="E10" s="524"/>
      <c r="F10" s="524"/>
      <c r="G10" s="525"/>
    </row>
    <row r="11" spans="1:7" x14ac:dyDescent="0.2">
      <c r="A11" s="522" t="s">
        <v>574</v>
      </c>
      <c r="B11" s="523"/>
      <c r="C11" s="524"/>
      <c r="D11" s="524"/>
      <c r="E11" s="524"/>
      <c r="F11" s="524"/>
      <c r="G11" s="525"/>
    </row>
    <row r="12" spans="1:7" x14ac:dyDescent="0.2">
      <c r="A12" s="522" t="s">
        <v>575</v>
      </c>
      <c r="B12" s="523"/>
      <c r="C12" s="524"/>
      <c r="D12" s="524"/>
      <c r="E12" s="524"/>
      <c r="F12" s="524"/>
      <c r="G12" s="525"/>
    </row>
    <row r="13" spans="1:7" x14ac:dyDescent="0.2">
      <c r="A13" s="522" t="s">
        <v>454</v>
      </c>
      <c r="B13" s="523"/>
      <c r="C13" s="524"/>
      <c r="D13" s="524"/>
      <c r="E13" s="524"/>
      <c r="F13" s="524"/>
      <c r="G13" s="525"/>
    </row>
    <row r="14" spans="1:7" ht="13.5" thickBot="1" x14ac:dyDescent="0.25">
      <c r="A14" s="527"/>
      <c r="B14" s="528"/>
      <c r="C14" s="529"/>
      <c r="D14" s="529"/>
      <c r="E14" s="529"/>
      <c r="F14" s="529"/>
      <c r="G14" s="530"/>
    </row>
    <row r="15" spans="1:7" x14ac:dyDescent="0.2">
      <c r="B15" s="353"/>
    </row>
    <row r="16" spans="1:7" x14ac:dyDescent="0.2">
      <c r="B16" s="353"/>
    </row>
    <row r="17" spans="1:19" s="351" customFormat="1" x14ac:dyDescent="0.2">
      <c r="A17" s="350" t="s">
        <v>578</v>
      </c>
    </row>
    <row r="18" spans="1:19" s="351" customFormat="1" ht="13.5" thickBot="1" x14ac:dyDescent="0.25">
      <c r="A18" s="350" t="s">
        <v>1072</v>
      </c>
    </row>
    <row r="19" spans="1:19" x14ac:dyDescent="0.2">
      <c r="A19" s="407" t="s">
        <v>1777</v>
      </c>
      <c r="B19" s="408"/>
      <c r="D19" s="407" t="s">
        <v>1768</v>
      </c>
      <c r="E19" s="408"/>
      <c r="F19" s="408"/>
      <c r="H19" s="407" t="s">
        <v>1769</v>
      </c>
      <c r="I19" s="408"/>
      <c r="J19" s="408"/>
      <c r="K19" s="408"/>
      <c r="L19" s="408"/>
      <c r="M19" s="408"/>
      <c r="N19" s="409"/>
      <c r="P19" s="407" t="s">
        <v>2045</v>
      </c>
      <c r="Q19" s="408"/>
      <c r="R19" s="408"/>
      <c r="S19" s="408"/>
    </row>
    <row r="20" spans="1:19" ht="13.5" thickBot="1" x14ac:dyDescent="0.25">
      <c r="A20" s="410" t="s">
        <v>1993</v>
      </c>
      <c r="B20" s="411" t="s">
        <v>1977</v>
      </c>
      <c r="D20" s="410" t="s">
        <v>1770</v>
      </c>
      <c r="E20" s="411" t="s">
        <v>1976</v>
      </c>
      <c r="F20" s="411" t="s">
        <v>1977</v>
      </c>
      <c r="H20" s="410" t="s">
        <v>1079</v>
      </c>
      <c r="I20" s="411" t="s">
        <v>1549</v>
      </c>
      <c r="J20" s="411" t="s">
        <v>1771</v>
      </c>
      <c r="K20" s="411" t="s">
        <v>1772</v>
      </c>
      <c r="L20" s="411" t="s">
        <v>1773</v>
      </c>
      <c r="M20" s="411" t="s">
        <v>1774</v>
      </c>
      <c r="N20" s="412" t="s">
        <v>1775</v>
      </c>
      <c r="P20" s="410" t="s">
        <v>1079</v>
      </c>
      <c r="Q20" s="411" t="s">
        <v>1977</v>
      </c>
      <c r="R20" s="411" t="s">
        <v>2044</v>
      </c>
      <c r="S20" s="411" t="s">
        <v>1776</v>
      </c>
    </row>
    <row r="21" spans="1:19" x14ac:dyDescent="0.2">
      <c r="A21" s="413" t="s">
        <v>1769</v>
      </c>
      <c r="B21" s="415">
        <v>0</v>
      </c>
      <c r="D21" s="531" t="s">
        <v>45</v>
      </c>
      <c r="E21" s="532" t="s">
        <v>1778</v>
      </c>
      <c r="F21" s="533">
        <v>1</v>
      </c>
      <c r="H21" s="540" t="s">
        <v>1779</v>
      </c>
      <c r="I21" s="541">
        <v>33</v>
      </c>
      <c r="J21" s="541">
        <v>75156.12</v>
      </c>
      <c r="K21" s="541">
        <v>1905.21</v>
      </c>
      <c r="L21" s="541">
        <v>1355.85</v>
      </c>
      <c r="M21" s="541">
        <v>78417.179999999993</v>
      </c>
      <c r="N21" s="542">
        <v>2272.4299999999998</v>
      </c>
      <c r="P21" s="531" t="s">
        <v>1780</v>
      </c>
      <c r="Q21" s="532">
        <v>1</v>
      </c>
      <c r="R21" s="532">
        <v>2</v>
      </c>
      <c r="S21" s="533">
        <v>0</v>
      </c>
    </row>
    <row r="22" spans="1:19" x14ac:dyDescent="0.2">
      <c r="A22" s="345" t="s">
        <v>2045</v>
      </c>
      <c r="B22" s="346">
        <f>B21</f>
        <v>0</v>
      </c>
      <c r="D22" s="534"/>
      <c r="E22" s="535"/>
      <c r="F22" s="536"/>
      <c r="H22" s="534"/>
      <c r="I22" s="543"/>
      <c r="J22" s="543"/>
      <c r="K22" s="543"/>
      <c r="L22" s="543"/>
      <c r="M22" s="543"/>
      <c r="N22" s="544"/>
      <c r="P22" s="534" t="s">
        <v>1779</v>
      </c>
      <c r="Q22" s="535">
        <v>1</v>
      </c>
      <c r="R22" s="535">
        <v>1</v>
      </c>
      <c r="S22" s="536">
        <v>0</v>
      </c>
    </row>
    <row r="23" spans="1:19" ht="13.5" thickBot="1" x14ac:dyDescent="0.25">
      <c r="A23" s="534"/>
      <c r="B23" s="536"/>
      <c r="D23" s="537"/>
      <c r="E23" s="538"/>
      <c r="F23" s="539"/>
      <c r="H23" s="537"/>
      <c r="I23" s="538"/>
      <c r="J23" s="538"/>
      <c r="K23" s="538"/>
      <c r="L23" s="538"/>
      <c r="M23" s="538"/>
      <c r="N23" s="539"/>
      <c r="P23" s="534"/>
      <c r="Q23" s="535"/>
      <c r="R23" s="535"/>
      <c r="S23" s="536"/>
    </row>
    <row r="24" spans="1:19" ht="13.5" thickBot="1" x14ac:dyDescent="0.25">
      <c r="A24" s="537"/>
      <c r="B24" s="539"/>
      <c r="P24" s="537"/>
      <c r="Q24" s="538"/>
      <c r="R24" s="538"/>
      <c r="S24" s="539"/>
    </row>
    <row r="25" spans="1:19" x14ac:dyDescent="0.2">
      <c r="A25" s="354"/>
    </row>
  </sheetData>
  <phoneticPr fontId="37" type="noConversion"/>
  <dataValidations count="1">
    <dataValidation type="list" showInputMessage="1" showErrorMessage="1" sqref="B4:B16">
      <formula1>"Update"</formula1>
    </dataValidation>
  </dataValidations>
  <pageMargins left="0.75" right="0.75" top="1" bottom="1" header="0.5" footer="0.5"/>
  <pageSetup orientation="portrait" horizontalDpi="4294967293" verticalDpi="4294967293"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29</vt:i4>
      </vt:variant>
      <vt:variant>
        <vt:lpstr>Named Ranges</vt:lpstr>
      </vt:variant>
      <vt:variant>
        <vt:i4>290</vt:i4>
      </vt:variant>
    </vt:vector>
  </HeadingPairs>
  <TitlesOfParts>
    <vt:vector size="319" baseType="lpstr">
      <vt:lpstr>Version History</vt:lpstr>
      <vt:lpstr>RBLInfo</vt:lpstr>
      <vt:lpstr>RBLInput</vt:lpstr>
      <vt:lpstr>RBLeMacro</vt:lpstr>
      <vt:lpstr>RBLResult</vt:lpstr>
      <vt:lpstr>RBLBenCalc</vt:lpstr>
      <vt:lpstr>RBLProjection</vt:lpstr>
      <vt:lpstr>RBLUpdate</vt:lpstr>
      <vt:lpstr>RBLReportLS_Sample</vt:lpstr>
      <vt:lpstr>RBLAdHoc</vt:lpstr>
      <vt:lpstr>HighCharts</vt:lpstr>
      <vt:lpstr>Docs - RBLe Macro</vt:lpstr>
      <vt:lpstr>Docs - Export Samples</vt:lpstr>
      <vt:lpstr>Web Service Field Mapping</vt:lpstr>
      <vt:lpstr>Xml Data Mapping</vt:lpstr>
      <vt:lpstr>Plan Info</vt:lpstr>
      <vt:lpstr>Flat Data</vt:lpstr>
      <vt:lpstr>Historical Data</vt:lpstr>
      <vt:lpstr>Reports</vt:lpstr>
      <vt:lpstr>Data Lookup Tables</vt:lpstr>
      <vt:lpstr>Framework Lookup Tables</vt:lpstr>
      <vt:lpstr>Calc Inputs</vt:lpstr>
      <vt:lpstr>Rate Tables</vt:lpstr>
      <vt:lpstr>Localization</vt:lpstr>
      <vt:lpstr>Site Access</vt:lpstr>
      <vt:lpstr>Site Settings - Template</vt:lpstr>
      <vt:lpstr>Site Settings - Modeling</vt:lpstr>
      <vt:lpstr>Site Settings - Administration</vt:lpstr>
      <vt:lpstr>Docs - Formula Helpers</vt:lpstr>
      <vt:lpstr>a401a17</vt:lpstr>
      <vt:lpstr>a402g</vt:lpstr>
      <vt:lpstr>aAcctBalDate</vt:lpstr>
      <vt:lpstr>aBackSalRate</vt:lpstr>
      <vt:lpstr>aBackSalType</vt:lpstr>
      <vt:lpstr>aCCLawYear</vt:lpstr>
      <vt:lpstr>aCCProj</vt:lpstr>
      <vt:lpstr>aCurrDate</vt:lpstr>
      <vt:lpstr>aCurrentYear</vt:lpstr>
      <vt:lpstr>address1</vt:lpstr>
      <vt:lpstr>address2</vt:lpstr>
      <vt:lpstr>Reports!AdHoc</vt:lpstr>
      <vt:lpstr>aIntRate</vt:lpstr>
      <vt:lpstr>aMortTable</vt:lpstr>
      <vt:lpstr>'Site Settings - Administration'!ApplicationSettings</vt:lpstr>
      <vt:lpstr>'Site Settings - Modeling'!ApplicationSettings</vt:lpstr>
      <vt:lpstr>'Site Settings - Template'!ApplicationSettings</vt:lpstr>
      <vt:lpstr>aProjCPI</vt:lpstr>
      <vt:lpstr>aProjNAW</vt:lpstr>
      <vt:lpstr>aSSLawYear</vt:lpstr>
      <vt:lpstr>'Xml Data Mapping'!AuthIdElement</vt:lpstr>
      <vt:lpstr>'Plan Info'!AuthIDField</vt:lpstr>
      <vt:lpstr>'Plan Info'!BatchJobsExpiration</vt:lpstr>
      <vt:lpstr>benfrz1</vt:lpstr>
      <vt:lpstr>benfrz2</vt:lpstr>
      <vt:lpstr>benfrz3</vt:lpstr>
      <vt:lpstr>benfrz4</vt:lpstr>
      <vt:lpstr>'Site Settings - Administration'!BridgedSiteSSOInformation</vt:lpstr>
      <vt:lpstr>'Site Settings - Template'!BridgedSiteSSOInformation</vt:lpstr>
      <vt:lpstr>RBLeMacro!calcresult</vt:lpstr>
      <vt:lpstr>calcresult</vt:lpstr>
      <vt:lpstr>'Plan Info'!CalculatedDataLoadExpiration</vt:lpstr>
      <vt:lpstr>'Calc Inputs'!CalculationLayouts</vt:lpstr>
      <vt:lpstr>cBenInd</vt:lpstr>
      <vt:lpstr>RBLeMacro!cExecutionLog</vt:lpstr>
      <vt:lpstr>cExecutionLog</vt:lpstr>
      <vt:lpstr>city</vt:lpstr>
      <vt:lpstr>'Calc Inputs'!ClientInputDefinitions</vt:lpstr>
      <vt:lpstr>'Plan Info'!ClientName</vt:lpstr>
      <vt:lpstr>cLumpSum</vt:lpstr>
      <vt:lpstr>company.name</vt:lpstr>
      <vt:lpstr>RBLResult!contrib.replacement</vt:lpstr>
      <vt:lpstr>RBLeMacro!cStatus</vt:lpstr>
      <vt:lpstr>cStatus</vt:lpstr>
      <vt:lpstr>'Plan Info'!CurrentVersion</vt:lpstr>
      <vt:lpstr>'Version History'!CurrentVersion</vt:lpstr>
      <vt:lpstr>Reports!Custom</vt:lpstr>
      <vt:lpstr>Reports!DataListings</vt:lpstr>
      <vt:lpstr>'Plan Info'!DataLoadExpiration</vt:lpstr>
      <vt:lpstr>'Site Settings - Administration'!DataLoadGroupings</vt:lpstr>
      <vt:lpstr>'Site Settings - Template'!DataLoadGroupings</vt:lpstr>
      <vt:lpstr>datebirth</vt:lpstr>
      <vt:lpstr>datebirthben</vt:lpstr>
      <vt:lpstr>'Plan Info'!DateBirthField</vt:lpstr>
      <vt:lpstr>datedeath</vt:lpstr>
      <vt:lpstr>datehire</vt:lpstr>
      <vt:lpstr>'Calc Inputs'!DefaultCalcEngine</vt:lpstr>
      <vt:lpstr>'Calc Inputs'!DefaultInputTab</vt:lpstr>
      <vt:lpstr>'Plan Info'!DefaultListingColumnsPerPage</vt:lpstr>
      <vt:lpstr>'Plan Info'!DefaultListingEncodeBOM</vt:lpstr>
      <vt:lpstr>'Plan Info'!DefaultListingFields</vt:lpstr>
      <vt:lpstr>'Plan Info'!DefaultListingFixedColumns</vt:lpstr>
      <vt:lpstr>'Plan Info'!DefaultListings</vt:lpstr>
      <vt:lpstr>'Calc Inputs'!DefaultRateTables</vt:lpstr>
      <vt:lpstr>'Calc Inputs'!DefaultRenderVersion</vt:lpstr>
      <vt:lpstr>'Plan Info'!DisplayFormat</vt:lpstr>
      <vt:lpstr>'Site Settings - Administration'!EmailConfirmationSettings</vt:lpstr>
      <vt:lpstr>'Site Settings - Modeling'!EmailConfirmationSettings</vt:lpstr>
      <vt:lpstr>'Site Settings - Template'!EmailConfirmationSettings</vt:lpstr>
      <vt:lpstr>'Docs - RBLe Macro'!fnGoalSeek</vt:lpstr>
      <vt:lpstr>RBLeMacro!fnGoalSeek</vt:lpstr>
      <vt:lpstr>'Docs - RBLe Macro'!fnLogStatus</vt:lpstr>
      <vt:lpstr>RBLeMacro!fnLogStatus</vt:lpstr>
      <vt:lpstr>RBLBenCalc!FolderItemReplace</vt:lpstr>
      <vt:lpstr>RBLReportLS_Sample!FolderItemReplace</vt:lpstr>
      <vt:lpstr>RBLResult!FolderItemReplace</vt:lpstr>
      <vt:lpstr>RBLBenCalc!FolderItemType</vt:lpstr>
      <vt:lpstr>RBLReportLS_Sample!FolderItemType</vt:lpstr>
      <vt:lpstr>RBLResult!FolderItemType</vt:lpstr>
      <vt:lpstr>RBLBenCalc!FolderItemTypeReplace</vt:lpstr>
      <vt:lpstr>RBLReportLS_Sample!FolderItemTypeReplace</vt:lpstr>
      <vt:lpstr>'Calc Inputs'!FormulaStepHelpers</vt:lpstr>
      <vt:lpstr>RBLInput!FrameworkInputs</vt:lpstr>
      <vt:lpstr>Reports!FTPPGP</vt:lpstr>
      <vt:lpstr>'Plan Info'!GeneralInformation</vt:lpstr>
      <vt:lpstr>HiddenBTR_ValidCalculationLayouts</vt:lpstr>
      <vt:lpstr>HiddenBTR_ValidFieldTypes</vt:lpstr>
      <vt:lpstr>iAccBenOver</vt:lpstr>
      <vt:lpstr>iAdditionalDates</vt:lpstr>
      <vt:lpstr>iAddress1</vt:lpstr>
      <vt:lpstr>iAddress2</vt:lpstr>
      <vt:lpstr>iAWSAdminAuthID</vt:lpstr>
      <vt:lpstr>iBenServiceOver</vt:lpstr>
      <vt:lpstr>iCity</vt:lpstr>
      <vt:lpstr>iCurHours</vt:lpstr>
      <vt:lpstr>iCurPay</vt:lpstr>
      <vt:lpstr>iCurrentUICulture</vt:lpstr>
      <vt:lpstr>iDateBenComm</vt:lpstr>
      <vt:lpstr>iDateBenComm2</vt:lpstr>
      <vt:lpstr>iDateBenComm3</vt:lpstr>
      <vt:lpstr>iDateBenComm4</vt:lpstr>
      <vt:lpstr>iDateBenComm5</vt:lpstr>
      <vt:lpstr>RBLBenCalc!iDateDeath</vt:lpstr>
      <vt:lpstr>RBLReportLS_Sample!iDateDeath</vt:lpstr>
      <vt:lpstr>iDateDeath</vt:lpstr>
      <vt:lpstr>iDateDisability</vt:lpstr>
      <vt:lpstr>iDateTerm</vt:lpstr>
      <vt:lpstr>iDateTerm2</vt:lpstr>
      <vt:lpstr>iDateTerm3</vt:lpstr>
      <vt:lpstr>iDateTerm4</vt:lpstr>
      <vt:lpstr>iDateTerm5</vt:lpstr>
      <vt:lpstr>iDebugInputNames</vt:lpstr>
      <vt:lpstr>iFAPOver</vt:lpstr>
      <vt:lpstr>iFinalHours</vt:lpstr>
      <vt:lpstr>iFinalPay</vt:lpstr>
      <vt:lpstr>iGoal</vt:lpstr>
      <vt:lpstr>iGoalVariable</vt:lpstr>
      <vt:lpstr>iIsAdHocConfig</vt:lpstr>
      <vt:lpstr>iIsMiniBatch</vt:lpstr>
      <vt:lpstr>iIsTestSE</vt:lpstr>
      <vt:lpstr>iJobToken</vt:lpstr>
      <vt:lpstr>iMHABatchType</vt:lpstr>
      <vt:lpstr>iMHACalcType</vt:lpstr>
      <vt:lpstr>iMHAFinalCalculation</vt:lpstr>
      <vt:lpstr>iMHAUpdateType</vt:lpstr>
      <vt:lpstr>iMHCalcType</vt:lpstr>
      <vt:lpstr>iNameFirstBen</vt:lpstr>
      <vt:lpstr>iNameLastBen</vt:lpstr>
      <vt:lpstr>'Plan Info'!IndexValueSubstitutions</vt:lpstr>
      <vt:lpstr>iPaymentForm</vt:lpstr>
      <vt:lpstr>iRetAge</vt:lpstr>
      <vt:lpstr>iReturn</vt:lpstr>
      <vt:lpstr>'Site Settings - Administration'!IsAdminSite</vt:lpstr>
      <vt:lpstr>'Site Settings - Modeling'!IsAdminSite</vt:lpstr>
      <vt:lpstr>iSalScale</vt:lpstr>
      <vt:lpstr>iSaveBal</vt:lpstr>
      <vt:lpstr>iSaveRate</vt:lpstr>
      <vt:lpstr>iSaveRateVary</vt:lpstr>
      <vt:lpstr>RBLBenCalc!isDeminimus</vt:lpstr>
      <vt:lpstr>RBLBenCalc!isMidLS</vt:lpstr>
      <vt:lpstr>RBLBenCalc!iSpouseDOB</vt:lpstr>
      <vt:lpstr>RBLReportLS_Sample!iSpouseDOB</vt:lpstr>
      <vt:lpstr>iSpouseDOB</vt:lpstr>
      <vt:lpstr>RBLBenCalc!isRetorEst</vt:lpstr>
      <vt:lpstr>iState</vt:lpstr>
      <vt:lpstr>RBLBenCalc!isTV</vt:lpstr>
      <vt:lpstr>iVariable</vt:lpstr>
      <vt:lpstr>iVestServiceOver</vt:lpstr>
      <vt:lpstr>iZip</vt:lpstr>
      <vt:lpstr>'Site Settings - Administration'!LinksControlledByData</vt:lpstr>
      <vt:lpstr>'Site Settings - Modeling'!LinksControlledByData</vt:lpstr>
      <vt:lpstr>'Site Settings - Template'!LinksControlledByData</vt:lpstr>
      <vt:lpstr>'Site Settings - Administration'!LockoutEmailSettings</vt:lpstr>
      <vt:lpstr>'Site Settings - Modeling'!LockoutEmailSettings</vt:lpstr>
      <vt:lpstr>'Site Settings - Template'!LockoutEmailSettings</vt:lpstr>
      <vt:lpstr>RBLResult!LongFix1</vt:lpstr>
      <vt:lpstr>RBLResult!LongFix2</vt:lpstr>
      <vt:lpstr>'Site Settings - Administration'!ManualEditNotifications</vt:lpstr>
      <vt:lpstr>'Site Settings - Template'!ManualEditNotifications</vt:lpstr>
      <vt:lpstr>'Xml Data Mapping'!MappingLayouts</vt:lpstr>
      <vt:lpstr>'Site Settings - Administration'!MembershipErrorMessages</vt:lpstr>
      <vt:lpstr>'Site Settings - Modeling'!MembershipErrorMessages</vt:lpstr>
      <vt:lpstr>'Site Settings - Template'!MembershipErrorMessages</vt:lpstr>
      <vt:lpstr>'Site Settings - Administration'!MembershipInputs</vt:lpstr>
      <vt:lpstr>'Site Settings - Modeling'!MembershipInputs</vt:lpstr>
      <vt:lpstr>'Site Settings - Template'!MembershipInputs</vt:lpstr>
      <vt:lpstr>'Site Settings - Administration'!MembershipSettings</vt:lpstr>
      <vt:lpstr>'Site Settings - Modeling'!MembershipSettings</vt:lpstr>
      <vt:lpstr>'Site Settings - Template'!MembershipSettings</vt:lpstr>
      <vt:lpstr>'Site Settings - Administration'!MembershipSettingsAdminToParticipant</vt:lpstr>
      <vt:lpstr>'Site Settings - Template'!MembershipSettingsAdminToParticipant</vt:lpstr>
      <vt:lpstr>MHABatchCalc</vt:lpstr>
      <vt:lpstr>MHACalc</vt:lpstr>
      <vt:lpstr>RBLProjection!MonthlyAnnuity</vt:lpstr>
      <vt:lpstr>RBLResult!MonthlyAnnuity</vt:lpstr>
      <vt:lpstr>namefirst</vt:lpstr>
      <vt:lpstr>namefirstben</vt:lpstr>
      <vt:lpstr>namelast</vt:lpstr>
      <vt:lpstr>namelastben</vt:lpstr>
      <vt:lpstr>namemiben</vt:lpstr>
      <vt:lpstr>OriginalGoalVariable</vt:lpstr>
      <vt:lpstr>'Xml Data Mapping'!PathToProfileElement</vt:lpstr>
      <vt:lpstr>RBLInput!ProfileLoadGroup</vt:lpstr>
      <vt:lpstr>RBLProjection!ProjectionAge1Col1</vt:lpstr>
      <vt:lpstr>RBLProjection!ProjectionAge1DOR</vt:lpstr>
      <vt:lpstr>RBLProjection!ProjectionAge1DOT</vt:lpstr>
      <vt:lpstr>RBLProjection!ProjectionAgeInputDOR</vt:lpstr>
      <vt:lpstr>RBLProjection!ProjectionAgeInputDOT</vt:lpstr>
      <vt:lpstr>RBLProjection!ProjectionAgesToProject</vt:lpstr>
      <vt:lpstr>RBLProjection!ProjectionCol1</vt:lpstr>
      <vt:lpstr>RBLProjection!ProjectionDOR</vt:lpstr>
      <vt:lpstr>ProjectionDORInput</vt:lpstr>
      <vt:lpstr>ProjectionDORStorage</vt:lpstr>
      <vt:lpstr>RBLProjection!ProjectionDOT</vt:lpstr>
      <vt:lpstr>ProjectionDOTInput</vt:lpstr>
      <vt:lpstr>ProjectionDOTStorage</vt:lpstr>
      <vt:lpstr>RBLProjection!ProjectionInputCol1</vt:lpstr>
      <vt:lpstr>RBLeMacro!RBLeMacro</vt:lpstr>
      <vt:lpstr>Localization!ResourceTable</vt:lpstr>
      <vt:lpstr>RBLeMacro!resulttable</vt:lpstr>
      <vt:lpstr>resulttable</vt:lpstr>
      <vt:lpstr>'Site Settings - Administration'!SampleLives</vt:lpstr>
      <vt:lpstr>'Site Settings - Modeling'!SampleLives</vt:lpstr>
      <vt:lpstr>'Site Settings - Template'!SampleLives</vt:lpstr>
      <vt:lpstr>'Site Settings - Administration'!SecretQuestions</vt:lpstr>
      <vt:lpstr>'Site Settings - Modeling'!SecretQuestions</vt:lpstr>
      <vt:lpstr>'Site Settings - Template'!SecretQuestions</vt:lpstr>
      <vt:lpstr>'Plan Info'!SelectedProfileHeaderDisplayExpression</vt:lpstr>
      <vt:lpstr>sex</vt:lpstr>
      <vt:lpstr>sexben</vt:lpstr>
      <vt:lpstr>'Calc Inputs'!SheetType</vt:lpstr>
      <vt:lpstr>'Data Lookup Tables'!SheetType</vt:lpstr>
      <vt:lpstr>'Flat Data'!SheetType</vt:lpstr>
      <vt:lpstr>'Framework Lookup Tables'!SheetType</vt:lpstr>
      <vt:lpstr>'Historical Data'!SheetType</vt:lpstr>
      <vt:lpstr>Localization!SheetType</vt:lpstr>
      <vt:lpstr>'Plan Info'!SheetType</vt:lpstr>
      <vt:lpstr>'Rate Tables'!SheetType</vt:lpstr>
      <vt:lpstr>RBLAdHoc!SheetType</vt:lpstr>
      <vt:lpstr>RBLBenCalc!SheetType</vt:lpstr>
      <vt:lpstr>RBLInfo!SheetType</vt:lpstr>
      <vt:lpstr>RBLInput!SheetType</vt:lpstr>
      <vt:lpstr>RBLReportLS_Sample!SheetType</vt:lpstr>
      <vt:lpstr>RBLResult!SheetType</vt:lpstr>
      <vt:lpstr>RBLUpdate!SheetType</vt:lpstr>
      <vt:lpstr>Reports!SheetType</vt:lpstr>
      <vt:lpstr>'Site Access'!SheetType</vt:lpstr>
      <vt:lpstr>'Site Settings - Administration'!SheetType</vt:lpstr>
      <vt:lpstr>'Site Settings - Modeling'!SheetType</vt:lpstr>
      <vt:lpstr>'Calc Inputs'!SheetVersion</vt:lpstr>
      <vt:lpstr>'Data Lookup Tables'!SheetVersion</vt:lpstr>
      <vt:lpstr>'Flat Data'!SheetVersion</vt:lpstr>
      <vt:lpstr>'Framework Lookup Tables'!SheetVersion</vt:lpstr>
      <vt:lpstr>'Historical Data'!SheetVersion</vt:lpstr>
      <vt:lpstr>Localization!SheetVersion</vt:lpstr>
      <vt:lpstr>'Plan Info'!SheetVersion</vt:lpstr>
      <vt:lpstr>'Rate Tables'!SheetVersion</vt:lpstr>
      <vt:lpstr>RBLAdHoc!SheetVersion</vt:lpstr>
      <vt:lpstr>RBLBenCalc!SheetVersion</vt:lpstr>
      <vt:lpstr>RBLInput!SheetVersion</vt:lpstr>
      <vt:lpstr>RBLReportLS_Sample!SheetVersion</vt:lpstr>
      <vt:lpstr>RBLResult!SheetVersion</vt:lpstr>
      <vt:lpstr>RBLUpdate!SheetVersion</vt:lpstr>
      <vt:lpstr>Reports!SheetVersion</vt:lpstr>
      <vt:lpstr>'Site Access'!SheetVersion</vt:lpstr>
      <vt:lpstr>'Site Settings - Administration'!SheetVersion</vt:lpstr>
      <vt:lpstr>'Site Settings - Modeling'!SheetVersion</vt:lpstr>
      <vt:lpstr>'Site Settings - Administration'!SiteArea</vt:lpstr>
      <vt:lpstr>'Site Settings - Modeling'!SiteArea</vt:lpstr>
      <vt:lpstr>'Site Settings - Template'!SiteArea</vt:lpstr>
      <vt:lpstr>ssn</vt:lpstr>
      <vt:lpstr>ssnben</vt:lpstr>
      <vt:lpstr>'Site Settings - Administration'!SSOInformation</vt:lpstr>
      <vt:lpstr>'Site Settings - Modeling'!SSOInformation</vt:lpstr>
      <vt:lpstr>'Site Settings - Template'!SSOInformation</vt:lpstr>
      <vt:lpstr>'Flat Data'!StartData</vt:lpstr>
      <vt:lpstr>RBLAdHoc!StartData</vt:lpstr>
      <vt:lpstr>RBLBenCalc!StartData</vt:lpstr>
      <vt:lpstr>RBLInput!StartData</vt:lpstr>
      <vt:lpstr>RBLReportLS_Sample!StartData</vt:lpstr>
      <vt:lpstr>RBLResult!StartData</vt:lpstr>
      <vt:lpstr>RBLUpdate!StartData</vt:lpstr>
      <vt:lpstr>RBLAdHoc!StartTables</vt:lpstr>
      <vt:lpstr>RBLBenCalc!StartTables</vt:lpstr>
      <vt:lpstr>RBLInput!StartTables</vt:lpstr>
      <vt:lpstr>RBLReportLS_Sample!StartTables</vt:lpstr>
      <vt:lpstr>RBLResult!StartTables</vt:lpstr>
      <vt:lpstr>RBLUpdate!StartTables</vt:lpstr>
      <vt:lpstr>state</vt:lpstr>
      <vt:lpstr>Reports!SummaryCounts</vt:lpstr>
      <vt:lpstr>svcben</vt:lpstr>
      <vt:lpstr>svcvest</vt:lpstr>
      <vt:lpstr>'Historical Data'!TableConfigurations</vt:lpstr>
      <vt:lpstr>'Data Lookup Tables'!TableStartAddress</vt:lpstr>
      <vt:lpstr>'Framework Lookup Tables'!TableStartAddress</vt:lpstr>
      <vt:lpstr>'Rate Tables'!TableStartAddress</vt:lpstr>
      <vt:lpstr>RBLProjection!TotalSavings</vt:lpstr>
      <vt:lpstr>RBLResult!TotalSavings</vt:lpstr>
      <vt:lpstr>RBLProjection!tWorkResults</vt:lpstr>
      <vt:lpstr>'Plan Info'!UTCOffset</vt:lpstr>
      <vt:lpstr>RBLBenCalc!varPlan</vt:lpstr>
      <vt:lpstr>Version</vt:lpstr>
      <vt:lpstr>'Plan Info'!VersionHistory</vt:lpstr>
      <vt:lpstr>RBLInfo!VersionHistory</vt:lpstr>
      <vt:lpstr>'Version History'!VersionHistory</vt:lpstr>
      <vt:lpstr>'Site Settings - Administration'!ViewDataWarnings</vt:lpstr>
      <vt:lpstr>'Site Settings - Modeling'!ViewDataWarnings</vt:lpstr>
      <vt:lpstr>'Site Settings - Template'!ViewDataWarnings</vt:lpstr>
      <vt:lpstr>xDSDataFields</vt:lpstr>
      <vt:lpstr>zip</vt:lpstr>
    </vt:vector>
  </TitlesOfParts>
  <Company>Benefit Technology Resources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C. Aney</dc:creator>
  <cp:lastModifiedBy>Terry C Aney</cp:lastModifiedBy>
  <dcterms:created xsi:type="dcterms:W3CDTF">2008-08-28T03:51:12Z</dcterms:created>
  <dcterms:modified xsi:type="dcterms:W3CDTF">2016-08-02T05:24:13Z</dcterms:modified>
</cp:coreProperties>
</file>