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EGO\OneDrive\Desktop\Analysis projects\"/>
    </mc:Choice>
  </mc:AlternateContent>
  <xr:revisionPtr revIDLastSave="0" documentId="13_ncr:1_{639BECE7-C47D-4301-9839-C1C10F3DB945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Crowdfunding" sheetId="1" r:id="rId1"/>
    <sheet name="By Category" sheetId="2" r:id="rId2"/>
    <sheet name="Sub-Category" sheetId="3" r:id="rId3"/>
    <sheet name="Yearly Visual" sheetId="4" r:id="rId4"/>
    <sheet name="Crowdfunding Goal Analysis" sheetId="5" r:id="rId5"/>
    <sheet name="Statistics" sheetId="7" r:id="rId6"/>
  </sheets>
  <definedNames>
    <definedName name="_xlnm._FilterDatabase" localSheetId="0" hidden="1">Crowdfunding!$G$1:$G$1001</definedName>
    <definedName name="_xlchart.v1.0" hidden="1">Statistics!$A$2:$A$566</definedName>
    <definedName name="_xlchart.v1.1" hidden="1">Statistics!$B$1</definedName>
    <definedName name="_xlchart.v1.10" hidden="1">Statistics!$D$1</definedName>
    <definedName name="_xlchart.v1.11" hidden="1">Statistics!$D$2:$D$566</definedName>
    <definedName name="_xlchart.v1.12" hidden="1">Statistics!$E$1</definedName>
    <definedName name="_xlchart.v1.13" hidden="1">Statistics!$E$2:$E$566</definedName>
    <definedName name="_xlchart.v1.14" hidden="1">Statistics!$A$2:$A$566</definedName>
    <definedName name="_xlchart.v1.15" hidden="1">Statistics!$B$1</definedName>
    <definedName name="_xlchart.v1.16" hidden="1">Statistics!$B$2:$B$566</definedName>
    <definedName name="_xlchart.v1.17" hidden="1">Statistics!$D$1</definedName>
    <definedName name="_xlchart.v1.18" hidden="1">Statistics!$D$2:$D$566</definedName>
    <definedName name="_xlchart.v1.19" hidden="1">Statistics!$E$1</definedName>
    <definedName name="_xlchart.v1.2" hidden="1">Statistics!$B$2:$B$566</definedName>
    <definedName name="_xlchart.v1.20" hidden="1">Statistics!$E$2:$E$566</definedName>
    <definedName name="_xlchart.v1.3" hidden="1">Statistics!$D$1</definedName>
    <definedName name="_xlchart.v1.4" hidden="1">Statistics!$D$2:$D$566</definedName>
    <definedName name="_xlchart.v1.5" hidden="1">Statistics!$E$1</definedName>
    <definedName name="_xlchart.v1.6" hidden="1">Statistics!$E$2:$E$566</definedName>
    <definedName name="_xlchart.v1.7" hidden="1">Statistics!$A$2:$A$566</definedName>
    <definedName name="_xlchart.v1.8" hidden="1">Statistics!$B$1</definedName>
    <definedName name="_xlchart.v1.9" hidden="1">Statistics!$B$2:$B$566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H8" i="7"/>
  <c r="H7" i="7"/>
  <c r="H6" i="7"/>
  <c r="H4" i="7"/>
  <c r="H5" i="7"/>
  <c r="H3" i="7"/>
  <c r="B2" i="5"/>
  <c r="C2" i="5"/>
  <c r="D2" i="5"/>
  <c r="E2" i="5"/>
  <c r="F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<sst xmlns="http://schemas.openxmlformats.org/spreadsheetml/2006/main" count="9070" uniqueCount="2114">
  <si>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</si>
  <si>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</si>
  <si>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</si>
  <si>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</si>
  <si>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</si>
  <si>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</si>
  <si>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</si>
  <si>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</si>
  <si>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</si>
  <si>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</si>
  <si>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</si>
  <si>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</si>
  <si>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</si>
  <si>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</si>
  <si>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</si>
  <si>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</si>
  <si>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</si>
  <si>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</si>
  <si>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</si>
  <si>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</si>
  <si>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</si>
  <si>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</si>
  <si>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</si>
  <si>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</si>
  <si>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</si>
  <si>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</si>
  <si>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</si>
  <si>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</si>
  <si>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</si>
  <si>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</si>
  <si>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</si>
  <si>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</si>
  <si>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</si>
  <si>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</si>
  <si>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</si>
  <si>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</si>
  <si>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</si>
  <si>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</si>
  <si>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</si>
  <si>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</si>
  <si>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</si>
  <si>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</si>
  <si>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</si>
  <si>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</si>
  <si>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</si>
  <si>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</si>
  <si>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</si>
  <si>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</si>
  <si>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</si>
  <si>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</si>
  <si>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</si>
  <si>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</si>
  <si>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</si>
  <si>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</si>
  <si>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</si>
  <si>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</si>
  <si>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</si>
  <si>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</si>
  <si>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</si>
  <si>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</si>
  <si>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</si>
  <si>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</si>
  <si>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</si>
  <si>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</si>
  <si>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</si>
  <si>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</si>
  <si>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</si>
  <si>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</si>
  <si>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</si>
  <si>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</si>
  <si>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</si>
  <si>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</si>
  <si>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</si>
  <si>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</si>
  <si>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</si>
  <si>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</si>
  <si>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</si>
  <si>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</si>
  <si>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</si>
  <si>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</si>
  <si>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</si>
  <si>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</si>
  <si>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</si>
  <si>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</si>
  <si>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</si>
  <si>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</si>
  <si>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</si>
  <si>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</si>
  <si>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</si>
  <si>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</si>
  <si>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</si>
  <si>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</si>
  <si>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</si>
  <si>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</si>
  <si>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</si>
  <si>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</si>
  <si>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</si>
  <si>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</si>
  <si>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</si>
  <si>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</si>
  <si>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</si>
  <si>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</si>
  <si>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</si>
  <si>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</si>
  <si>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</si>
  <si>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</si>
  <si>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</si>
  <si>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</si>
  <si>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</si>
  <si>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</si>
  <si>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</si>
  <si>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</si>
  <si>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</si>
  <si>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</si>
  <si>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</si>
  <si>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</si>
  <si>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</si>
  <si>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</si>
  <si>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</si>
  <si>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</si>
  <si>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</si>
  <si>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</si>
  <si>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</si>
  <si>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</si>
  <si>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</si>
  <si>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</si>
  <si>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</si>
  <si>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</si>
  <si>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</si>
  <si>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</si>
  <si>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</si>
  <si>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</si>
  <si>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</si>
  <si>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</si>
  <si>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</si>
  <si>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</si>
  <si>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</si>
  <si>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</si>
  <si>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</si>
  <si>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</si>
  <si>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</si>
  <si>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</si>
  <si>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</si>
  <si>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</si>
  <si>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</si>
  <si>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</si>
  <si>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</si>
  <si>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</si>
  <si>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</si>
  <si>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</si>
  <si>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</si>
  <si>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</si>
  <si>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</si>
  <si>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</si>
  <si>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</si>
  <si>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</si>
  <si>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</si>
  <si>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</si>
  <si>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</si>
  <si>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</si>
  <si>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</si>
  <si>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</si>
  <si>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</si>
  <si>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</si>
  <si>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</si>
  <si>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</si>
  <si>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</si>
  <si>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</si>
  <si>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</si>
  <si>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</si>
  <si>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</si>
  <si>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</si>
  <si>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</si>
  <si>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</si>
  <si>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</si>
  <si>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</si>
  <si>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</si>
  <si>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</si>
  <si>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</si>
  <si>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</si>
  <si>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</si>
  <si>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</si>
  <si>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</si>
  <si>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</si>
  <si>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</si>
  <si>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</si>
  <si>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</si>
  <si>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</si>
  <si>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</si>
  <si>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</si>
  <si>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</si>
  <si>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</si>
  <si>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</si>
  <si>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</si>
  <si>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</si>
  <si>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</si>
  <si>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</si>
  <si>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</si>
  <si>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</si>
  <si>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</si>
  <si>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</si>
  <si>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</si>
  <si>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</si>
  <si>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</si>
  <si>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</si>
  <si>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</si>
  <si>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</si>
  <si>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</si>
  <si>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</si>
  <si>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</si>
  <si>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</si>
  <si>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</si>
  <si>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</si>
  <si>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</si>
  <si>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</si>
  <si>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</si>
  <si>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</si>
  <si>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</si>
  <si>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</si>
  <si>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</si>
  <si>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</si>
  <si>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</si>
  <si>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</si>
  <si>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</si>
  <si>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</si>
  <si>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</si>
  <si>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</si>
  <si>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</si>
  <si>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</si>
  <si>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</si>
  <si>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</si>
  <si>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</si>
  <si>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</si>
  <si>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</si>
  <si>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</si>
  <si>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</si>
  <si>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</si>
  <si>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</si>
  <si>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</si>
  <si>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</si>
  <si>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</si>
  <si>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</si>
  <si>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</si>
  <si>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</si>
  <si>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</si>
  <si>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</si>
  <si>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</si>
  <si>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</si>
  <si>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</si>
  <si>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</si>
  <si>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</si>
  <si>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</si>
  <si>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</si>
  <si>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</si>
  <si>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</si>
  <si>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</si>
  <si>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</si>
  <si>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</si>
  <si>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</si>
  <si>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</si>
  <si>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</si>
  <si>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</si>
  <si>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</si>
  <si>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</si>
  <si>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</si>
  <si>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</si>
  <si>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</si>
  <si>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</si>
  <si>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</si>
  <si>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</si>
  <si>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</si>
  <si>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</si>
  <si>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</si>
  <si>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</si>
  <si>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</si>
  <si>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</si>
  <si>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</si>
  <si>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</si>
  <si>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</si>
  <si>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</si>
  <si>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</si>
  <si>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</si>
  <si>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</si>
  <si>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</si>
  <si>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</si>
  <si>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</si>
  <si>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</si>
  <si>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</si>
  <si>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</si>
  <si>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</si>
  <si>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</si>
  <si>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</si>
  <si>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</si>
  <si>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</si>
  <si>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</si>
  <si>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</si>
  <si>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</si>
  <si>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</si>
  <si>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</si>
  <si>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</si>
  <si>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</si>
  <si>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</si>
  <si>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</si>
  <si>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</si>
  <si>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</si>
  <si>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</si>
  <si>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</si>
  <si>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</si>
  <si>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</si>
  <si>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</si>
  <si>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</si>
  <si>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</si>
  <si>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</si>
  <si>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</si>
  <si>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</si>
  <si>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</si>
  <si>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</si>
  <si>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</si>
  <si>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</si>
  <si>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</si>
  <si>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</si>
  <si>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</si>
  <si>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</si>
  <si>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</si>
  <si>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</si>
  <si>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</si>
  <si>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</si>
  <si>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</si>
  <si>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</si>
  <si>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</si>
  <si>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</si>
  <si>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</si>
  <si>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</si>
  <si>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</si>
  <si>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</si>
  <si>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</si>
  <si>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</si>
  <si>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</si>
  <si>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</si>
  <si>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</si>
  <si>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</si>
  <si>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</si>
  <si>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</si>
  <si>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</si>
  <si>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</si>
  <si>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</si>
  <si>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</si>
  <si>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</si>
  <si>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</si>
  <si>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</si>
  <si>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</si>
  <si>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</si>
  <si>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</si>
  <si>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</si>
  <si>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</si>
  <si>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</si>
  <si>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</si>
  <si>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</si>
  <si>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</si>
  <si>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</si>
  <si>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</si>
  <si>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</si>
  <si>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</si>
  <si>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</si>
  <si>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</si>
  <si>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</si>
  <si>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</si>
  <si>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</si>
  <si>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</si>
  <si>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</si>
  <si>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</si>
  <si>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</si>
  <si>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</si>
  <si>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</si>
  <si>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</si>
  <si>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</si>
  <si>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</si>
  <si>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</si>
  <si>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</si>
  <si>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</si>
  <si>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</si>
  <si>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</si>
  <si>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</si>
  <si>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</si>
  <si>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</si>
  <si>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</si>
  <si>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</si>
  <si>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</si>
  <si>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</si>
  <si>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</si>
  <si>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</si>
  <si>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</si>
  <si>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</si>
  <si>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</si>
  <si>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</si>
  <si>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</si>
  <si>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</si>
  <si>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</si>
  <si>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</si>
  <si>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</si>
  <si>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</si>
  <si>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</si>
  <si>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</si>
  <si>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</si>
  <si>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</si>
  <si>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</si>
  <si>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</si>
  <si>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</si>
  <si>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</si>
  <si>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</si>
  <si>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</si>
  <si>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</si>
  <si>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</si>
  <si>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</si>
  <si>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</si>
  <si>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</si>
  <si>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</si>
  <si>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</si>
  <si>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</si>
  <si>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</si>
  <si>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</si>
  <si>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</si>
  <si>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</si>
  <si>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</si>
  <si>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</si>
  <si>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</si>
  <si>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</si>
  <si>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</si>
  <si>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</si>
  <si>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</si>
  <si>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</si>
  <si>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</si>
  <si>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</si>
  <si>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</si>
  <si>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</si>
  <si>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</si>
  <si>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</si>
  <si>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</si>
  <si>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</si>
  <si>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</si>
  <si>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</si>
  <si>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</si>
  <si>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</si>
  <si>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</si>
  <si>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</si>
  <si>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</si>
  <si>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</si>
  <si>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</si>
  <si>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</si>
  <si>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</si>
  <si>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</si>
  <si>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</si>
  <si>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</si>
  <si>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</si>
  <si>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</si>
  <si>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</si>
  <si>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</si>
  <si>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</si>
  <si>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</si>
  <si>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</si>
  <si>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</si>
  <si>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</si>
  <si>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</si>
  <si>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</si>
  <si>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</si>
  <si>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</si>
  <si>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</si>
  <si>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</si>
  <si>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</si>
  <si>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</si>
  <si>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</si>
  <si>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</si>
  <si>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</si>
  <si>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</si>
  <si>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</si>
  <si>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</si>
  <si>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</si>
  <si>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</si>
  <si>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</si>
  <si>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</si>
  <si>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</si>
  <si>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</si>
  <si>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</si>
  <si>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</si>
  <si>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</si>
  <si>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</si>
  <si>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</si>
  <si>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</si>
  <si>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</si>
  <si>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</si>
  <si>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</si>
  <si>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</si>
  <si>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</si>
  <si>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</si>
  <si>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</si>
  <si>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</si>
  <si>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</si>
  <si>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</si>
  <si>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</si>
  <si>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</si>
  <si>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</si>
  <si>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</si>
  <si>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</si>
  <si>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</si>
  <si>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</si>
  <si>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</si>
  <si>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</si>
  <si>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</si>
  <si>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</si>
  <si>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</si>
  <si>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</si>
  <si>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</si>
  <si>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</si>
  <si>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</si>
  <si>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</si>
  <si>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</si>
  <si>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</si>
  <si>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</si>
  <si>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</si>
  <si>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</si>
  <si>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</si>
  <si>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</si>
  <si>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</si>
  <si>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</si>
  <si>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</si>
  <si>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</si>
  <si>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</si>
  <si>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</si>
  <si>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</si>
  <si>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</si>
  <si>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</si>
  <si>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</si>
  <si>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</si>
  <si>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</si>
  <si>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</si>
  <si>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</si>
  <si>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</si>
  <si>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</si>
  <si>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</si>
  <si>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</si>
  <si>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</si>
  <si>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</si>
  <si>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</si>
  <si>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</si>
  <si>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</si>
  <si>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</si>
  <si>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</si>
  <si>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</si>
  <si>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</si>
  <si>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</si>
  <si>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</si>
  <si>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</si>
  <si>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</si>
  <si>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</si>
  <si>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</si>
  <si>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</si>
  <si>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</si>
  <si>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</si>
  <si>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</si>
  <si>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</si>
  <si>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</si>
  <si>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</si>
  <si>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</si>
  <si>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</si>
  <si>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</si>
  <si>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</si>
  <si>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</si>
  <si>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</si>
  <si>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</si>
  <si>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</si>
  <si>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</si>
  <si>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</si>
  <si>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</si>
  <si>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</si>
  <si>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</si>
  <si>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</si>
  <si>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</si>
  <si>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</si>
  <si>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</si>
  <si>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</si>
  <si>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</si>
  <si>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</si>
  <si>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</si>
  <si>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</si>
  <si>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</si>
  <si>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</si>
  <si>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</si>
  <si>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</si>
  <si>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</si>
  <si>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</si>
  <si>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</si>
  <si>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</si>
  <si>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</si>
  <si>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</si>
  <si>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</si>
  <si>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</si>
  <si>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</si>
  <si>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</si>
  <si>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</si>
  <si>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</si>
  <si>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</si>
  <si>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</si>
  <si>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</si>
  <si>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</si>
  <si>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</si>
  <si>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</si>
  <si>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</si>
  <si>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</si>
  <si>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</si>
  <si>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</si>
  <si>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</si>
  <si>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</si>
  <si>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</si>
  <si>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</si>
  <si>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</si>
  <si>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</si>
  <si>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</si>
  <si>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</si>
  <si>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</si>
  <si>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</si>
  <si>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</si>
  <si>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</si>
  <si>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</si>
  <si>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</si>
  <si>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</si>
  <si>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</si>
  <si>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</si>
  <si>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</si>
  <si>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</si>
  <si>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</si>
  <si>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</si>
  <si>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</si>
  <si>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</si>
  <si>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</si>
  <si>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</si>
  <si>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</si>
  <si>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</si>
  <si>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</si>
  <si>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</si>
  <si>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</si>
  <si>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</si>
  <si>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</si>
  <si>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</si>
  <si>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</si>
  <si>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</si>
  <si>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</si>
  <si>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</si>
  <si>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</si>
  <si>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</si>
  <si>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</si>
  <si>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</si>
  <si>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</si>
  <si>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</si>
  <si>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</si>
  <si>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</si>
  <si>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</si>
  <si>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</si>
  <si>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</si>
  <si>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</si>
  <si>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</si>
  <si>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</si>
  <si>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</si>
  <si>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</si>
  <si>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</si>
  <si>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</si>
  <si>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</si>
  <si>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</si>
  <si>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</si>
  <si>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</si>
  <si>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</si>
  <si>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</si>
  <si>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</si>
  <si>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</si>
  <si>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</si>
  <si>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</si>
  <si>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</si>
  <si>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</si>
  <si>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</si>
  <si>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</si>
  <si>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</si>
  <si>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</si>
  <si>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</si>
  <si>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</si>
  <si>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</si>
  <si>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</si>
  <si>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</si>
  <si>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</si>
  <si>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</si>
  <si>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</si>
  <si>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</si>
  <si>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</si>
  <si>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</si>
  <si>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</si>
  <si>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</si>
  <si>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</si>
  <si>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</si>
  <si>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</si>
  <si>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</si>
  <si>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</si>
  <si>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</si>
  <si>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</si>
  <si>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</si>
  <si>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</si>
  <si>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</si>
  <si>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</si>
  <si>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</si>
  <si>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</si>
  <si>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</si>
  <si>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</si>
  <si>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</si>
  <si>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</si>
  <si>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</si>
  <si>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</si>
  <si>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</si>
  <si>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</si>
  <si>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</si>
  <si>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</si>
  <si>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</si>
  <si>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</si>
  <si>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</si>
  <si>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</si>
  <si>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</si>
  <si>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</si>
  <si>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</si>
  <si>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</si>
  <si>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</si>
  <si>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</si>
  <si>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</si>
  <si>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</si>
  <si>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</si>
  <si>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</si>
  <si>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</si>
  <si>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</si>
  <si>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</si>
  <si>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</si>
  <si>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</si>
  <si>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</si>
  <si>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</si>
  <si>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</si>
  <si>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</si>
  <si>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</si>
  <si>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</si>
  <si>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</si>
  <si>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</si>
  <si>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</si>
  <si>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</si>
  <si>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</si>
  <si>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</si>
  <si>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</si>
  <si>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</si>
  <si>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</si>
  <si>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</si>
  <si>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</si>
  <si>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</si>
  <si>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</si>
  <si>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</si>
  <si>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</si>
  <si>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</si>
  <si>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</si>
  <si>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</si>
  <si>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</si>
  <si>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</si>
  <si>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</si>
  <si>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</si>
  <si>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</si>
  <si>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</si>
  <si>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</si>
  <si>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</si>
  <si>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</si>
  <si>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</si>
  <si>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</si>
  <si>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</si>
  <si>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</si>
  <si>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</si>
  <si>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</si>
  <si>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</si>
  <si>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</si>
  <si>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</si>
  <si>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</si>
  <si>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</si>
  <si>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</si>
  <si>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</si>
  <si>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</si>
  <si>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</si>
  <si>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</si>
  <si>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</si>
  <si>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</si>
  <si>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</si>
  <si>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</si>
  <si>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</si>
  <si>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</si>
  <si>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</si>
  <si>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</si>
  <si>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</si>
  <si>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</si>
  <si>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</si>
  <si>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</si>
  <si>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</si>
  <si>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</si>
  <si>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</si>
  <si>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</si>
  <si>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</si>
  <si>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</si>
  <si>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</si>
  <si>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</si>
  <si>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</si>
  <si>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</si>
  <si>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</si>
  <si>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</si>
  <si>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</si>
  <si>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</si>
  <si>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</si>
  <si>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</si>
  <si>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</si>
  <si>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</si>
  <si>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</si>
  <si>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</si>
  <si>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</si>
  <si>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</si>
  <si>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</si>
  <si>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</si>
  <si>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</si>
  <si>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</si>
  <si>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</si>
  <si>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</si>
  <si>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</si>
  <si>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</si>
  <si>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</si>
  <si>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</si>
  <si>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</si>
  <si>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</si>
  <si>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</si>
  <si>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</si>
  <si>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</si>
  <si>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</si>
  <si>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</si>
  <si>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</si>
  <si>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</si>
  <si>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</si>
  <si>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</si>
  <si>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</si>
  <si>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</si>
  <si>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</si>
  <si>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</si>
  <si>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</si>
  <si>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</si>
  <si>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</si>
  <si>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</si>
  <si>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</si>
  <si>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</si>
  <si>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</si>
  <si>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</si>
  <si>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</si>
  <si>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</si>
  <si>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</si>
  <si>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</si>
  <si>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</si>
  <si>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</si>
  <si>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</si>
  <si>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</si>
  <si>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</si>
  <si>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</si>
  <si>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</si>
  <si>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</si>
  <si>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</si>
  <si>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</si>
  <si>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</si>
  <si>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</si>
  <si>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</si>
  <si>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</si>
  <si>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</si>
  <si>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</si>
  <si>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</si>
  <si>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</si>
  <si>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</si>
  <si>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</si>
  <si>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</si>
  <si>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</si>
  <si>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</si>
  <si>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</si>
  <si>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</si>
  <si>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</si>
  <si>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</si>
  <si>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</si>
  <si>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</si>
  <si>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</si>
  <si>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</si>
  <si>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</si>
  <si>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</si>
  <si>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</si>
  <si>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</si>
  <si>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</si>
  <si>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</si>
  <si>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</si>
  <si>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</si>
  <si>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</si>
  <si>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</si>
  <si>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</si>
  <si>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</si>
  <si>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</si>
  <si>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</si>
  <si>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</si>
  <si>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</si>
  <si>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</si>
  <si>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</si>
  <si>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</si>
  <si>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</si>
  <si>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</si>
  <si>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</si>
  <si>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</si>
  <si>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</si>
  <si>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</si>
  <si>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</si>
  <si>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</si>
  <si>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</si>
  <si>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</si>
  <si>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</si>
  <si>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</si>
  <si>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</si>
  <si>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</si>
  <si>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</si>
  <si>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</si>
  <si>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</si>
  <si>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</si>
  <si>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</si>
  <si>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</si>
  <si>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</si>
  <si>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</si>
  <si>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</si>
  <si>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</si>
  <si>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</si>
  <si>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</si>
  <si>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</si>
  <si>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</si>
  <si>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</si>
  <si>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</si>
  <si>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</si>
  <si>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</si>
  <si>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</si>
  <si>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</si>
  <si>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</si>
  <si>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</si>
  <si>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</si>
  <si>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</si>
  <si>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</si>
  <si>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</si>
  <si>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</si>
  <si>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</si>
  <si>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</si>
  <si>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</si>
  <si>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</si>
  <si>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</si>
  <si>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</si>
  <si>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</si>
  <si>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</si>
  <si>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</si>
  <si>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</si>
  <si>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</si>
  <si>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</si>
  <si>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</si>
  <si>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</si>
  <si>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</si>
  <si>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</si>
  <si>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</si>
  <si>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</si>
  <si>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</si>
  <si>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</si>
  <si>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</si>
  <si>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</si>
  <si>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</si>
  <si>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</si>
  <si>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</si>
  <si>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</si>
  <si>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</si>
  <si>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</si>
  <si>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</si>
  <si>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</si>
  <si>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</si>
  <si>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</si>
  <si>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</si>
  <si>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</si>
  <si>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</si>
  <si>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</si>
  <si>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</si>
  <si>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</si>
  <si>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</si>
  <si>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</si>
  <si>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</si>
  <si>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</si>
  <si>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</si>
  <si>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</si>
  <si>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</si>
  <si>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</si>
  <si>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</si>
  <si>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</si>
  <si>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</si>
  <si>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</si>
  <si>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</si>
  <si>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</si>
  <si>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</si>
  <si>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</si>
  <si>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</si>
  <si>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</si>
  <si>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</si>
  <si>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</si>
  <si>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</si>
  <si>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</si>
  <si>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</si>
  <si>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</si>
  <si>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</si>
  <si>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</si>
  <si>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</si>
  <si>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</si>
  <si>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</si>
  <si>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</si>
  <si>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</si>
  <si>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</si>
  <si>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</si>
  <si>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</si>
  <si>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</si>
  <si>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</si>
  <si>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</si>
  <si>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</si>
  <si>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</si>
  <si>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</si>
  <si>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</si>
  <si>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</si>
  <si>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</si>
  <si>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</si>
  <si>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</si>
  <si>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</si>
  <si>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</si>
  <si>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</si>
  <si>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</si>
  <si>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</si>
  <si>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</si>
  <si>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</si>
  <si>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</si>
  <si>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</si>
  <si>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</si>
  <si>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</si>
  <si>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</si>
  <si>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</si>
  <si>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</si>
  <si>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</si>
  <si>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</si>
  <si>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</si>
  <si>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</si>
  <si>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</si>
  <si>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</si>
  <si>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</si>
  <si>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</si>
  <si>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</si>
  <si>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</si>
  <si>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</si>
  <si>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</si>
  <si>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</si>
  <si>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</si>
  <si>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</si>
  <si>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</si>
  <si>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</si>
  <si>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</si>
  <si>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</si>
  <si>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</si>
  <si>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</si>
  <si>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</si>
  <si>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</si>
  <si>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</si>
  <si>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</si>
  <si>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</si>
  <si>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</si>
  <si>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</si>
  <si>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</si>
  <si>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</si>
  <si>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</si>
  <si>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</si>
  <si>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</si>
  <si>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</si>
  <si>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</si>
  <si>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</si>
  <si>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</si>
  <si>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</si>
  <si>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</si>
  <si>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</si>
  <si>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</si>
  <si>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</si>
  <si>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</si>
  <si>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</si>
  <si>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</si>
  <si>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</si>
  <si>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</si>
  <si>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</si>
  <si>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</si>
  <si>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</si>
  <si>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</si>
  <si>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</si>
  <si>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</si>
  <si>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</si>
  <si>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</si>
  <si>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</si>
  <si>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</si>
  <si>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</si>
  <si>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</si>
  <si>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</si>
  <si>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</si>
  <si>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</si>
  <si>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</si>
  <si>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</si>
  <si>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</si>
  <si>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</si>
  <si>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</si>
  <si>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</si>
  <si>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</si>
  <si>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</si>
  <si>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</si>
  <si>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</si>
  <si>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</si>
  <si>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</si>
  <si>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</si>
  <si>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</si>
  <si>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</si>
  <si>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</si>
  <si>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</si>
  <si>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</si>
  <si>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</si>
  <si>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</si>
  <si>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</si>
  <si>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</si>
  <si>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</si>
  <si>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</si>
  <si>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</si>
  <si>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</si>
  <si>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</si>
  <si>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</si>
  <si>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</si>
  <si>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</si>
  <si>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</si>
  <si>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</si>
  <si>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</si>
  <si>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</si>
  <si>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</si>
  <si>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</si>
  <si>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</si>
  <si>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</si>
  <si>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</si>
  <si>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</si>
  <si>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</si>
  <si>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</si>
  <si>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</si>
  <si>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</si>
  <si>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</si>
  <si>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</si>
  <si>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</si>
  <si>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</si>
  <si>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</si>
  <si>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</si>
  <si>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</si>
  <si>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</si>
  <si>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</si>
  <si>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</si>
  <si>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</si>
  <si>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</si>
  <si>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</si>
  <si>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</si>
  <si>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</si>
  <si>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</si>
  <si>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</si>
  <si>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</si>
  <si>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</si>
  <si>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</si>
  <si>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</si>
  <si>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</si>
  <si>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</si>
  <si>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</si>
  <si>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</si>
  <si>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</si>
  <si>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</si>
  <si>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</si>
  <si>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</si>
  <si>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</si>
  <si>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</si>
  <si>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</si>
  <si>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</si>
  <si>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</si>
  <si>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</si>
  <si>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</si>
  <si>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</si>
  <si>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</si>
  <si>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</si>
  <si>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</si>
  <si>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</si>
  <si>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</si>
  <si>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</si>
  <si>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</si>
  <si>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</si>
  <si>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</si>
  <si>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</si>
  <si>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</si>
  <si>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</si>
  <si>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</si>
  <si>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</si>
  <si>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</si>
  <si>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</si>
  <si>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</si>
  <si>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</si>
  <si>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</si>
  <si>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</si>
  <si>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</si>
  <si>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</si>
  <si>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</si>
  <si>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</si>
  <si>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</si>
  <si>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</si>
  <si>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</si>
  <si>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</si>
  <si>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</si>
  <si>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</si>
  <si>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</si>
  <si>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</si>
  <si>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</si>
  <si>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</si>
  <si>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</si>
  <si>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</si>
  <si>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</si>
  <si>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</si>
  <si>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</si>
  <si>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</si>
  <si>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</si>
  <si>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</si>
  <si>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</si>
  <si>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</si>
  <si>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</si>
  <si>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</si>
  <si>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</si>
  <si>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</si>
  <si>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</si>
  <si>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</si>
  <si>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</si>
  <si>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</si>
  <si>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</si>
  <si>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</si>
  <si>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</si>
  <si>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</si>
  <si>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</si>
  <si>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</si>
  <si>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</si>
  <si>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</si>
  <si>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</si>
  <si>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</si>
  <si>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</si>
  <si>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</si>
  <si>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</si>
  <si>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</si>
  <si>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</si>
  <si>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</si>
  <si>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</si>
  <si>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</si>
  <si>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</si>
  <si>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</si>
  <si>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</si>
  <si>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</si>
  <si>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</si>
  <si>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</si>
  <si>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</si>
  <si>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</si>
  <si>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</si>
  <si>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</si>
  <si>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</si>
  <si>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</si>
  <si>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</si>
  <si>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</si>
  <si>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</si>
  <si>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</si>
  <si>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</si>
  <si>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</si>
  <si>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</si>
  <si>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</si>
  <si>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</si>
  <si>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</si>
  <si>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</si>
  <si>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</si>
  <si>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</si>
  <si>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</si>
  <si>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</si>
  <si>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</si>
  <si>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</si>
  <si>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</si>
  <si>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</si>
  <si>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</si>
  <si>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</si>
  <si>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</si>
  <si>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</si>
  <si>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</si>
  <si>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</si>
  <si>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</si>
  <si>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</si>
  <si>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</si>
  <si>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</si>
  <si>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</si>
  <si>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</si>
  <si>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</si>
  <si>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</si>
  <si>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</si>
  <si>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</si>
  <si>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</si>
  <si>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</si>
  <si>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</si>
  <si>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</si>
  <si>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</si>
  <si>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</si>
  <si>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</si>
  <si>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</si>
  <si>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</si>
  <si>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</si>
  <si>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</si>
  <si>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</si>
  <si>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</si>
  <si>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</si>
  <si>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</si>
  <si>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</si>
  <si>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</si>
  <si>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</si>
  <si>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</si>
  <si>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</si>
  <si>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</si>
  <si>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</si>
  <si>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</si>
  <si>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</si>
  <si>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</si>
  <si>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</si>
  <si>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</si>
  <si>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</si>
  <si>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</si>
  <si>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</si>
  <si>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</si>
  <si>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</si>
  <si>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</si>
  <si>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</si>
  <si>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</si>
  <si>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</si>
  <si>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</si>
  <si>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</si>
  <si>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</si>
  <si>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</si>
  <si>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</si>
  <si>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</si>
  <si>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</si>
  <si>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</si>
  <si>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</si>
  <si>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</si>
  <si>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</si>
  <si>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</si>
  <si>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</si>
  <si>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</si>
  <si>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</si>
  <si>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</si>
  <si>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</si>
  <si>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</si>
  <si>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</si>
  <si>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</si>
  <si>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</si>
  <si>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</si>
  <si>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</si>
  <si>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</si>
  <si>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</si>
  <si>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</si>
  <si>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</si>
  <si>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</si>
  <si>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</si>
  <si>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</si>
  <si>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</si>
  <si>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</si>
  <si>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</si>
  <si>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</si>
  <si>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</si>
  <si>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</si>
  <si>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</si>
  <si>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</si>
  <si>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</si>
  <si>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</si>
  <si>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</si>
  <si>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</si>
  <si>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</si>
  <si>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</si>
  <si>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</si>
  <si>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</si>
  <si>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</si>
  <si>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</si>
  <si>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</si>
  <si>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</si>
  <si>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</si>
  <si>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</si>
  <si>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</si>
  <si>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</si>
  <si>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</si>
  <si>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</si>
  <si>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</si>
  <si>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</si>
  <si>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</si>
  <si>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</si>
  <si>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</si>
  <si>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</si>
  <si>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</si>
  <si>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</si>
  <si>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</si>
  <si>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</si>
  <si>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</si>
  <si>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</si>
  <si>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</si>
  <si>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</si>
  <si>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</si>
  <si>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</si>
  <si>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</si>
  <si>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</si>
  <si>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</si>
  <si>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</si>
  <si>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</si>
  <si>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</si>
  <si>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</si>
  <si>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</si>
  <si>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</si>
  <si>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</si>
  <si>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</si>
  <si>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</si>
  <si>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</si>
  <si>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</si>
  <si>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</si>
  <si>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</si>
  <si>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</si>
  <si>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</si>
  <si>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</si>
  <si>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</si>
  <si>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</si>
  <si>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</si>
  <si>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</si>
  <si>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</si>
  <si>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</si>
  <si>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</si>
  <si>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</si>
  <si>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</si>
  <si>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</si>
  <si>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</si>
  <si>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</si>
  <si>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</si>
  <si>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</si>
  <si>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</si>
  <si>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</si>
  <si>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</si>
  <si>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</si>
  <si>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</si>
  <si>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</si>
  <si>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</si>
  <si>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</si>
  <si>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</si>
  <si>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</si>
  <si>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</si>
  <si>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</si>
  <si>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</si>
  <si>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</si>
  <si>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</si>
  <si>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</si>
  <si>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</si>
  <si>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</si>
  <si>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</si>
  <si>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</si>
  <si>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</si>
  <si>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</si>
  <si>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</si>
  <si>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</si>
  <si>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</si>
  <si>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</si>
  <si>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</si>
  <si>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</si>
  <si>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</si>
  <si>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</si>
  <si>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</si>
  <si>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</si>
  <si>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</si>
  <si>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</si>
  <si>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</si>
  <si>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</si>
  <si>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</si>
  <si>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</si>
  <si>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</si>
  <si>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</si>
  <si>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</si>
  <si>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</si>
  <si>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</si>
  <si>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</si>
  <si>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</si>
  <si>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</si>
  <si>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</si>
  <si>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</si>
  <si>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</si>
  <si>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</si>
  <si>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</si>
  <si>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</si>
  <si>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</si>
  <si>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</si>
  <si>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</si>
  <si>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</si>
  <si>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</si>
  <si>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</si>
  <si>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</si>
  <si>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</si>
  <si>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</si>
  <si>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</si>
  <si>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</si>
  <si>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</si>
  <si>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</si>
  <si>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</si>
  <si>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</si>
  <si>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</si>
  <si>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</si>
  <si>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</si>
  <si>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</si>
  <si>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</si>
  <si>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</si>
  <si>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</si>
  <si>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</si>
  <si>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</si>
  <si>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</si>
  <si>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</si>
  <si>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</si>
  <si>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</si>
  <si>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</si>
  <si>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</si>
  <si>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</si>
  <si>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</si>
  <si>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</si>
  <si>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</si>
  <si>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</si>
  <si>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</si>
  <si>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</si>
  <si>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</si>
  <si>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</si>
  <si>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</si>
  <si>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</si>
  <si>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</si>
  <si>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</si>
  <si>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</si>
  <si>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</si>
  <si>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</si>
  <si>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</si>
  <si>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</si>
  <si>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</si>
  <si>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</si>
  <si>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</si>
  <si>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</si>
  <si>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</si>
  <si>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</si>
  <si>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</si>
  <si>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</si>
  <si>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</si>
  <si>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</si>
  <si>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</si>
  <si>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</si>
  <si>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</si>
  <si>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</si>
  <si>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</si>
  <si>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</si>
  <si>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</si>
  <si>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</si>
  <si>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</si>
  <si>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</si>
  <si>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</si>
  <si>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</si>
  <si>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</si>
  <si>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</si>
  <si>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</si>
  <si>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</si>
  <si>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</si>
  <si>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</si>
  <si>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</si>
  <si>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</si>
  <si>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</si>
  <si>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</si>
  <si>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</si>
  <si>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</si>
  <si>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</si>
  <si>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</si>
  <si>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</si>
  <si>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</si>
  <si>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</si>
  <si>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</si>
  <si>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</si>
  <si>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</si>
  <si>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</si>
  <si>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</si>
  <si>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</si>
  <si>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</si>
  <si>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</si>
  <si>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</si>
  <si>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</si>
  <si>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</si>
  <si>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</si>
  <si>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</si>
  <si>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</si>
  <si>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</si>
  <si>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</si>
  <si>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</si>
  <si>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</si>
  <si>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</si>
  <si>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</si>
  <si>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</si>
  <si>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</si>
  <si>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</si>
  <si>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</si>
  <si>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</si>
  <si>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</si>
  <si>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</si>
  <si>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</si>
  <si>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</si>
  <si>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</si>
  <si>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</si>
  <si>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</si>
  <si>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</si>
  <si>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</si>
  <si>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</si>
  <si>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</si>
  <si>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</si>
  <si>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</si>
  <si>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</si>
  <si>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</si>
  <si>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</si>
  <si>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</si>
  <si>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</si>
  <si>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</si>
  <si>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</si>
  <si>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</si>
  <si>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</si>
  <si>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</si>
  <si>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</si>
  <si>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</si>
  <si>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</si>
  <si>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</si>
  <si>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</si>
  <si>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</si>
  <si>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</si>
  <si>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</si>
  <si>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</si>
  <si>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</si>
  <si>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</si>
  <si>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</si>
  <si>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</si>
  <si>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</si>
  <si>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</si>
  <si>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</si>
  <si>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</si>
  <si>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</si>
  <si>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</si>
  <si>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</si>
  <si>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</si>
  <si>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</si>
  <si>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</si>
  <si>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</si>
  <si>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</si>
  <si>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</si>
  <si>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</si>
  <si>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</si>
  <si>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</si>
  <si>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</si>
  <si>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</si>
  <si>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</si>
  <si>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</si>
  <si>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</si>
  <si>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</si>
  <si>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</si>
  <si>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</si>
  <si>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</si>
  <si>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</si>
  <si>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</si>
  <si>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</si>
  <si>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</si>
  <si>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</si>
  <si>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</si>
  <si>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</si>
  <si>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</si>
  <si>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</si>
  <si>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</si>
  <si>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</si>
  <si>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</si>
  <si>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</si>
  <si>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</si>
  <si>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</si>
  <si>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</si>
  <si>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</si>
  <si>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</si>
  <si>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</si>
  <si>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</si>
  <si>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</si>
  <si>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</si>
  <si>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</si>
  <si>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</si>
  <si>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</si>
  <si>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</si>
  <si>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</si>
  <si>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</si>
  <si>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</si>
  <si>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</si>
  <si>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</si>
  <si>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</si>
  <si>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</si>
  <si>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</si>
  <si>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</si>
  <si>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</si>
  <si>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</si>
  <si>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</si>
  <si>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</si>
  <si>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</si>
  <si>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</si>
  <si>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</si>
  <si>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</si>
  <si>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</si>
  <si>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</si>
  <si>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</si>
  <si>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</si>
  <si>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</si>
  <si>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</si>
  <si>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</si>
  <si>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</si>
  <si>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</si>
  <si>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</si>
  <si>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</si>
  <si>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</si>
  <si>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</si>
  <si>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</si>
  <si>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</si>
  <si>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</si>
  <si>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</si>
  <si>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</si>
  <si>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</si>
  <si>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</si>
  <si>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</si>
  <si>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</si>
  <si>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</si>
  <si>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</si>
  <si>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</si>
  <si>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</si>
  <si>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</si>
  <si>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</si>
  <si>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</si>
  <si>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</si>
  <si>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</si>
  <si>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</si>
  <si>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</si>
  <si>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</si>
  <si>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</si>
  <si>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</si>
  <si>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</si>
  <si>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</si>
  <si>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</si>
  <si>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</si>
  <si>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</si>
  <si>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</si>
  <si>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</si>
  <si>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</si>
  <si>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</si>
  <si>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</si>
  <si>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</si>
  <si>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</si>
  <si>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</si>
  <si>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</si>
  <si>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</si>
  <si>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</si>
  <si>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</si>
  <si>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</si>
  <si>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</si>
  <si>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</si>
  <si>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</si>
  <si>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</si>
  <si>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</si>
  <si>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</si>
  <si>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</si>
  <si>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</si>
  <si>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</si>
  <si>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</si>
  <si>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</si>
  <si>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</si>
  <si>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</si>
  <si>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</si>
  <si>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</si>
  <si>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</si>
  <si>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</si>
  <si>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</si>
  <si>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</si>
  <si>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</si>
  <si>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</si>
  <si>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</si>
  <si>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</si>
  <si>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</si>
  <si>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</si>
  <si>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</si>
  <si>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</si>
  <si>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</si>
  <si>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</si>
  <si>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</si>
  <si>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</si>
  <si>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</si>
  <si>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</si>
  <si>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</si>
  <si>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</si>
  <si>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</si>
  <si>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</si>
  <si>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</si>
  <si>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</si>
  <si>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</si>
  <si>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</si>
  <si>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</si>
  <si>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</si>
  <si>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</si>
  <si>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</si>
  <si>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</si>
  <si>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</si>
  <si>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</si>
  <si>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</si>
  <si>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</si>
  <si>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</si>
  <si>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</si>
  <si>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</si>
  <si>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</si>
  <si>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</si>
  <si>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</si>
  <si>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</si>
  <si>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</si>
  <si>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</si>
  <si>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</si>
  <si>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</si>
  <si>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</si>
  <si>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</si>
  <si>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</si>
  <si>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</si>
  <si>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</si>
  <si>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</si>
  <si>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</si>
  <si>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</si>
  <si>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</si>
  <si>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</si>
  <si>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</si>
  <si>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</si>
  <si>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</si>
  <si>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</si>
  <si>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</si>
  <si>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</si>
  <si>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</si>
  <si>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</si>
  <si>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</si>
  <si>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</si>
  <si>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</si>
  <si>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</si>
  <si>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</si>
  <si>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</si>
  <si>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</si>
  <si>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</si>
  <si>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</si>
  <si>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</si>
  <si>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</si>
  <si>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</si>
  <si>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</si>
  <si>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</si>
  <si>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</si>
  <si>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</si>
  <si>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</si>
  <si>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</si>
  <si>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</si>
  <si>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</si>
  <si>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</si>
  <si>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</si>
  <si>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</si>
  <si>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</si>
  <si>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</si>
  <si>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</si>
  <si>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</si>
  <si>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</si>
  <si>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</si>
  <si>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</si>
  <si>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</si>
  <si>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</si>
  <si>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</si>
  <si>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</si>
  <si>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</si>
  <si>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</si>
  <si>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</si>
  <si>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</si>
  <si>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</si>
  <si>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</si>
  <si>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</si>
  <si>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</si>
  <si>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</si>
  <si>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</si>
  <si>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</si>
  <si>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</si>
  <si>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</si>
  <si>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</si>
  <si>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</si>
  <si>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</si>
  <si>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</si>
  <si>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</si>
  <si>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</si>
  <si>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</si>
  <si>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</si>
  <si>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</si>
  <si>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</si>
  <si>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</si>
  <si>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</si>
  <si>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</si>
  <si>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</si>
  <si>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</si>
  <si>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</si>
  <si>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</si>
  <si>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</si>
  <si>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</si>
  <si>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</si>
  <si>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</si>
  <si>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</si>
  <si>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</si>
  <si>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</si>
  <si>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</si>
  <si>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</si>
  <si>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</si>
  <si>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</si>
  <si>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</si>
  <si>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</si>
  <si>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</si>
  <si>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</si>
  <si>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</si>
  <si>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</si>
  <si>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</si>
  <si>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</si>
  <si>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</si>
  <si>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</si>
  <si>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</si>
  <si>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</si>
  <si>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</si>
  <si>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</si>
  <si>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</si>
  <si>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</si>
  <si>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</si>
  <si>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</si>
  <si>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</si>
  <si>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</si>
  <si>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</si>
  <si>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</si>
  <si>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</si>
  <si>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</si>
  <si>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</si>
  <si>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</si>
  <si>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</si>
  <si>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</si>
  <si>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</si>
  <si>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</si>
  <si>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</si>
  <si>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</si>
  <si>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</si>
  <si>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</si>
  <si>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</si>
  <si>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</si>
  <si>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</si>
  <si>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</si>
  <si>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</si>
  <si>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</si>
  <si>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</si>
  <si>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</si>
  <si>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</si>
  <si>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</si>
  <si>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</si>
  <si>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</si>
  <si>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</si>
  <si>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</si>
  <si>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</si>
  <si>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</si>
  <si>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</si>
  <si>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</si>
  <si>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</si>
  <si>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</si>
  <si>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</si>
  <si>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</si>
  <si>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</si>
  <si>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</si>
  <si>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</si>
  <si>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</si>
  <si>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</si>
  <si>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</si>
  <si>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</si>
  <si>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</si>
  <si>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</si>
  <si>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</si>
  <si>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</si>
  <si>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</si>
  <si>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</si>
  <si>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</si>
  <si>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</si>
  <si>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</si>
  <si>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</si>
  <si>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</si>
  <si>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</si>
  <si>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</si>
  <si>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</si>
  <si>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</si>
  <si>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</si>
  <si>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</si>
  <si>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</si>
  <si>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</si>
  <si>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</si>
  <si>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</si>
  <si>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</si>
  <si>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</si>
  <si>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</si>
  <si>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</si>
  <si>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</si>
  <si>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</si>
  <si>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</si>
  <si>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</si>
  <si>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</si>
  <si>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</si>
  <si>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</si>
  <si>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</si>
  <si>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</si>
  <si>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</si>
  <si>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</si>
  <si>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</si>
  <si>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</si>
  <si>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</si>
  <si>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</si>
  <si>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</si>
  <si>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</si>
  <si>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</si>
  <si>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</si>
  <si>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</si>
  <si>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</si>
  <si>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</si>
  <si>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</si>
  <si>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</si>
  <si>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</si>
  <si>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</si>
  <si>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</si>
  <si>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</si>
  <si>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</si>
  <si>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</si>
  <si>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</si>
  <si>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</si>
  <si>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</si>
  <si>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</si>
  <si>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</si>
  <si>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</si>
  <si>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</si>
  <si>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</si>
  <si>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</si>
  <si>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</si>
  <si>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</si>
  <si>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</si>
  <si>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</si>
  <si>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</si>
  <si>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</si>
  <si>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</si>
  <si>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</si>
  <si>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</si>
  <si>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</si>
  <si>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</si>
  <si>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</si>
  <si>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</si>
  <si>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</si>
  <si>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</si>
  <si>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</si>
  <si>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</si>
  <si>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</si>
  <si>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</si>
  <si>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</si>
  <si>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</si>
  <si>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</si>
  <si>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</si>
  <si>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</si>
  <si>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</si>
  <si>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</si>
  <si>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</si>
  <si>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</si>
  <si>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</si>
  <si>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</si>
  <si>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</si>
  <si>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</si>
  <si>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</si>
  <si>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</si>
  <si>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</si>
  <si>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</si>
  <si>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</si>
  <si>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</si>
  <si>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</si>
  <si>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</si>
  <si>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</si>
  <si>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</si>
  <si>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</si>
  <si>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</si>
  <si>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</si>
  <si>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</si>
  <si>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</si>
  <si>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</si>
  <si>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</si>
  <si>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</si>
  <si>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</si>
  <si>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</si>
  <si>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</si>
  <si>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</si>
  <si>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</si>
  <si>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</si>
  <si>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</si>
  <si>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failed</t>
  </si>
  <si>
    <t>Outcome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</si>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</sst>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AA90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820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4" fontId="0" fillId="0" borderId="0" xfId="0" applyNumberFormat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40" borderId="0" xfId="0" applyFill="1" applyAlignment="1">
      <alignment horizontal="left"/>
    </xf>
    <xf numFmtId="0" fontId="0" fillId="40" borderId="0" xfId="0" applyFill="1"/>
    <xf numFmtId="9" fontId="0" fillId="41" borderId="0" xfId="0" applyNumberFormat="1" applyFill="1"/>
    <xf numFmtId="9" fontId="0" fillId="42" borderId="0" xfId="0" applyNumberFormat="1" applyFill="1"/>
    <xf numFmtId="9" fontId="0" fillId="33" borderId="0" xfId="0" applyNumberFormat="1" applyFill="1"/>
    <xf numFmtId="0" fontId="16" fillId="0" borderId="0" xfId="0" applyFont="1"/>
    <xf numFmtId="0" fontId="16" fillId="33" borderId="0" xfId="0" applyFont="1" applyFill="1"/>
    <xf numFmtId="0" fontId="16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14820C"/>
      <color rgb="FF1AA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WorkBook.xlsx]By Category!PivotTable1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A5C-8665-111CB26EDC27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C-4A5C-8665-111CB26EDC27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C-4A5C-8665-111CB26EDC27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C-4A5C-8665-111CB26E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951280"/>
        <c:axId val="1613954192"/>
      </c:barChart>
      <c:catAx>
        <c:axId val="16139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4192"/>
        <c:crosses val="autoZero"/>
        <c:auto val="1"/>
        <c:lblAlgn val="ctr"/>
        <c:lblOffset val="100"/>
        <c:noMultiLvlLbl val="0"/>
      </c:catAx>
      <c:valAx>
        <c:axId val="1613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WorkBook.xlsx]Sub-Category!PivotTable2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52362990554322E-2"/>
          <c:y val="0.17419140436902752"/>
          <c:w val="0.7968480362110425"/>
          <c:h val="0.51572944854761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4B0-AE46-6B662CAD85D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4B0-AE46-6B662CAD85D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A-44B0-AE46-6B662CAD85D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A-44B0-AE46-6B662CAD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665712"/>
        <c:axId val="1516654064"/>
      </c:barChart>
      <c:catAx>
        <c:axId val="15166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4064"/>
        <c:crosses val="autoZero"/>
        <c:auto val="1"/>
        <c:lblAlgn val="ctr"/>
        <c:lblOffset val="100"/>
        <c:noMultiLvlLbl val="0"/>
      </c:catAx>
      <c:valAx>
        <c:axId val="1516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WorkBook.xlsx]Yearly Visual!PivotTable1</c:name>
    <c:fmtId val="7"/>
  </c:pivotSource>
  <c:chart>
    <c:autoTitleDeleted val="0"/>
    <c:pivotFmts>
      <c:pivotFmt>
        <c:idx val="0"/>
        <c:spPr>
          <a:ln w="28575" cap="rnd">
            <a:solidFill>
              <a:srgbClr val="FFFF0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4820C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4F0-BE8E-0A7C1463ECD9}"/>
            </c:ext>
          </c:extLst>
        </c:ser>
        <c:ser>
          <c:idx val="1"/>
          <c:order val="1"/>
          <c:tx>
            <c:strRef>
              <c:f>'Yearly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4F0-BE8E-0A7C1463ECD9}"/>
            </c:ext>
          </c:extLst>
        </c:ser>
        <c:ser>
          <c:idx val="2"/>
          <c:order val="2"/>
          <c:tx>
            <c:strRef>
              <c:f>'Yearly Visual'!$D$4:$D$5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482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4F0-BE8E-0A7C1463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97375"/>
        <c:axId val="2045354111"/>
      </c:lineChart>
      <c:catAx>
        <c:axId val="19131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4111"/>
        <c:crosses val="autoZero"/>
        <c:auto val="1"/>
        <c:lblAlgn val="ctr"/>
        <c:lblOffset val="100"/>
        <c:noMultiLvlLbl val="0"/>
      </c:catAx>
      <c:valAx>
        <c:axId val="20453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671-A214-74E697ECFB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671-A214-74E697ECFB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1AA90F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7-4671-A214-74E697E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32575"/>
        <c:axId val="371048799"/>
      </c:lineChart>
      <c:catAx>
        <c:axId val="371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8799"/>
        <c:crosses val="autoZero"/>
        <c:auto val="1"/>
        <c:lblAlgn val="ctr"/>
        <c:lblOffset val="100"/>
        <c:noMultiLvlLbl val="0"/>
      </c:catAx>
      <c:valAx>
        <c:axId val="3710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plotSurface>
          <cx:spPr>
            <a:ln w="15875">
              <a:solidFill>
                <a:srgbClr val="FFFF00"/>
              </a:solidFill>
            </a:ln>
          </cx:spPr>
        </cx:plotSurface>
        <cx:series layoutId="clusteredColumn" uniqueId="{AFB47750-DFE6-4389-B4EE-02835486282D}" formatIdx="0">
          <cx:tx>
            <cx:txData>
              <cx:f>_xlchart.v1.8</cx:f>
              <cx:v>backers_count</cx:v>
            </cx:txData>
          </cx:tx>
          <cx:spPr>
            <a:solidFill>
              <a:srgbClr val="FF0000"/>
            </a:solidFill>
            <a:ln w="9525">
              <a:solidFill>
                <a:srgbClr val="FFFF00"/>
              </a:solidFill>
            </a:ln>
            <a:effectLst>
              <a:glow rad="38100">
                <a:schemeClr val="accent1">
                  <a:alpha val="40000"/>
                </a:schemeClr>
              </a:glow>
              <a:innerShdw blurRad="63500" dist="50800" dir="4800000">
                <a:prstClr val="black">
                  <a:alpha val="50000"/>
                </a:prstClr>
              </a:innerShdw>
              <a:softEdge rad="0"/>
            </a:effectLst>
          </cx:spPr>
          <cx:dataId val="0"/>
          <cx:layoutPr>
            <cx:binning intervalClosed="r"/>
          </cx:layoutPr>
        </cx:series>
        <cx:series layoutId="clusteredColumn" hidden="1" uniqueId="{208E28F9-5214-4329-8C33-F0025BFA29B8}" formatIdx="1">
          <cx:tx>
            <cx:txData>
              <cx:f>_xlchart.v1.10</cx:f>
              <cx:v>outcome</cx:v>
            </cx:txData>
          </cx:tx>
          <cx:dataId val="1"/>
          <cx:layoutPr>
            <cx:binning intervalClosed="r"/>
          </cx:layoutPr>
        </cx:series>
        <cx:series layoutId="clusteredColumn" hidden="1" uniqueId="{A467C88E-6BBE-441C-A39A-F152251D3FDC}" formatIdx="2">
          <cx:tx>
            <cx:txData>
              <cx:f>_xlchart.v1.12</cx:f>
              <cx:v>backers_count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  <cx:spPr>
    <a:solidFill>
      <a:srgbClr val="14820C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9524</xdr:rowOff>
    </xdr:from>
    <xdr:to>
      <xdr:col>16</xdr:col>
      <xdr:colOff>0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90255-1584-80DC-4069-F350A9D6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C478D-7FF4-5283-3D1A-50B25022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14</xdr:col>
      <xdr:colOff>371476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1EF3D-5347-592F-13A4-831CC18B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13</xdr:row>
      <xdr:rowOff>9525</xdr:rowOff>
    </xdr:from>
    <xdr:to>
      <xdr:col>7</xdr:col>
      <xdr:colOff>209550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96DC7-0C11-D8CE-8572-308D225C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681035</xdr:colOff>
      <xdr:row>8</xdr:row>
      <xdr:rowOff>123825</xdr:rowOff>
    </xdr:from>
    <xdr:to>
      <xdr:col>13</xdr:col>
      <xdr:colOff>533399</xdr:colOff>
      <xdr:row>22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43D342A-3483-86B8-A678-2541CB86E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2485" y="1724025"/>
              <a:ext cx="74818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03797916666" createdVersion="8" refreshedVersion="8" minRefreshableVersion="3" recordCount="1001" xr:uid="{8F53F270-E61B-4B71-B464-8E82AB79F84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14092824073" createdVersion="8" refreshedVersion="8" minRefreshableVersion="3" recordCount="1001" xr:uid="{E51512AD-1230-4064-96B7-80EDA06F30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9BFC-19CA-47E5-A42A-A1CE5F5D57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6">
    <format dxfId="38">
      <pivotArea type="origin" dataOnly="0" labelOnly="1" outline="0" fieldPosition="0"/>
    </format>
    <format dxfId="37">
      <pivotArea field="6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dataOnly="0" grandRow="1" fieldPosition="0"/>
    </format>
    <format dxfId="31">
      <pivotArea dataOnly="0" grandRow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6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561C-B4DE-4A16-8A05-C4BA9D1347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8"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7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7116-B17D-44ED-A2FE-C1EA4E4FC1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7"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8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dataOnly="0" grandRow="1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2" sqref="H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ellIs" dxfId="42" priority="2" operator="equal">
      <formula>"live"</formula>
    </cfRule>
    <cfRule type="cellIs" dxfId="41" priority="3" operator="equal">
      <formula>"failed"</formula>
    </cfRule>
    <cfRule type="cellIs" dxfId="40" priority="4" operator="equal">
      <formula>"successful"</formula>
    </cfRule>
    <cfRule type="cellIs" dxfId="39" priority="5" operator="equal">
      <formula>"Canceled"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14820C"/>
        <color rgb="FF00206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B4B6-3D03-446B-A79B-F670E576E472}">
  <dimension ref="A1:F14"/>
  <sheetViews>
    <sheetView workbookViewId="0">
      <selection activeCell="F14" sqref="A1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7" t="s">
        <v>6</v>
      </c>
      <c r="B1" s="17" t="s">
        <v>2066</v>
      </c>
    </row>
    <row r="3" spans="1:6" x14ac:dyDescent="0.25">
      <c r="A3" s="9" t="s">
        <v>2069</v>
      </c>
      <c r="B3" s="9" t="s">
        <v>2067</v>
      </c>
      <c r="C3" s="9"/>
      <c r="D3" s="9"/>
      <c r="E3" s="9"/>
      <c r="F3" s="9"/>
    </row>
    <row r="4" spans="1:6" x14ac:dyDescent="0.25">
      <c r="A4" s="9" t="s">
        <v>2070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8" t="s">
        <v>2068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2864-E361-43DD-8412-49E38DA2DCFF}">
  <dimension ref="A1:F30"/>
  <sheetViews>
    <sheetView topLeftCell="A11"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4" t="s">
        <v>6</v>
      </c>
      <c r="B1" s="14" t="s">
        <v>2066</v>
      </c>
    </row>
    <row r="2" spans="1:6" x14ac:dyDescent="0.25">
      <c r="A2" s="14" t="s">
        <v>2031</v>
      </c>
      <c r="B2" s="14" t="s">
        <v>2066</v>
      </c>
    </row>
    <row r="4" spans="1:6" x14ac:dyDescent="0.25">
      <c r="A4" s="11" t="s">
        <v>2069</v>
      </c>
      <c r="B4" s="11" t="s">
        <v>2067</v>
      </c>
      <c r="C4" s="11"/>
      <c r="D4" s="11"/>
      <c r="E4" s="11"/>
      <c r="F4" s="11"/>
    </row>
    <row r="5" spans="1:6" x14ac:dyDescent="0.25">
      <c r="A5" s="11" t="s">
        <v>2070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15" t="s">
        <v>2068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C10-4419-437B-A59A-C68C878B4CB2}">
  <dimension ref="A1:E18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1" t="s">
        <v>2031</v>
      </c>
      <c r="B1" s="11" t="s">
        <v>2066</v>
      </c>
    </row>
    <row r="2" spans="1:5" x14ac:dyDescent="0.25">
      <c r="A2" s="11" t="s">
        <v>2085</v>
      </c>
      <c r="B2" s="11" t="s">
        <v>2066</v>
      </c>
    </row>
    <row r="4" spans="1:5" x14ac:dyDescent="0.25">
      <c r="A4" s="12" t="s">
        <v>2069</v>
      </c>
      <c r="B4" s="12" t="s">
        <v>2067</v>
      </c>
      <c r="C4" s="12"/>
      <c r="D4" s="12"/>
      <c r="E4" s="12"/>
    </row>
    <row r="5" spans="1:5" x14ac:dyDescent="0.25">
      <c r="A5" s="12" t="s">
        <v>2070</v>
      </c>
      <c r="B5" s="12" t="s">
        <v>74</v>
      </c>
      <c r="C5" s="12" t="s">
        <v>14</v>
      </c>
      <c r="D5" s="12" t="s">
        <v>20</v>
      </c>
      <c r="E5" s="12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65BE-60C4-465D-B195-03A9F70A9DED}">
  <dimension ref="A1:H13"/>
  <sheetViews>
    <sheetView workbookViewId="0">
      <selection activeCell="A2" sqref="A2:A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23.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2105</v>
      </c>
      <c r="D1" t="s">
        <v>2088</v>
      </c>
      <c r="E1" t="s">
        <v>2089</v>
      </c>
      <c r="F1" t="s">
        <v>2091</v>
      </c>
      <c r="G1" t="s">
        <v>2090</v>
      </c>
      <c r="H1" t="s">
        <v>2092</v>
      </c>
    </row>
    <row r="2" spans="1:8" x14ac:dyDescent="0.25">
      <c r="A2" s="8" t="s">
        <v>2093</v>
      </c>
      <c r="B2">
        <f>COUNTIFS(Crowdfunding!D:D, "&lt;1000",Crowdfunding!G:G, "SUCCESSFUL")</f>
        <v>30</v>
      </c>
      <c r="C2">
        <f>COUNTIFS(Crowdfunding!D:D, "&lt;1000",Crowdfunding!G:G, "failed")</f>
        <v>20</v>
      </c>
      <c r="D2">
        <f>COUNTIFS(Crowdfunding!D:D, "&lt;1000",Crowdfunding!G:G, "canceled")</f>
        <v>1</v>
      </c>
      <c r="E2">
        <f>AVERAGE(B2+C2+D2)</f>
        <v>51</v>
      </c>
      <c r="F2" s="20">
        <f>B2/E2*100%</f>
        <v>0.58823529411764708</v>
      </c>
      <c r="G2" s="21">
        <f>C2/E2*100%</f>
        <v>0.39215686274509803</v>
      </c>
      <c r="H2" s="22">
        <f>D2/E2*100%</f>
        <v>1.9607843137254902E-2</v>
      </c>
    </row>
    <row r="3" spans="1:8" x14ac:dyDescent="0.25">
      <c r="A3" s="8" t="s">
        <v>2094</v>
      </c>
      <c r="B3">
        <f>COUNTIFS(Crowdfunding!D:D,"&gt;=1000", Crowdfunding!D:D, "&lt;=4999", Crowdfunding!G:G, "successful")</f>
        <v>191</v>
      </c>
      <c r="C3">
        <f>COUNTIFS(Crowdfunding!D:D,"&gt;=1000", Crowdfunding!D:D, "&lt;=4999", Crowdfunding!G:G, "failed")</f>
        <v>38</v>
      </c>
      <c r="D3">
        <f>COUNTIFS(Crowdfunding!D:D,"&gt;=1000", Crowdfunding!D:D, "&lt;=4999", Crowdfunding!G:G, "canceled")</f>
        <v>2</v>
      </c>
      <c r="E3">
        <f t="shared" ref="E3:E13" si="0">AVERAGE(B3+C3+D3)</f>
        <v>231</v>
      </c>
      <c r="F3" s="20">
        <f t="shared" ref="F3:F13" si="1">B3/E3*100%</f>
        <v>0.82683982683982682</v>
      </c>
      <c r="G3" s="21">
        <f t="shared" ref="G3:G13" si="2">C3/E3*100%</f>
        <v>0.16450216450216451</v>
      </c>
      <c r="H3" s="22">
        <f t="shared" ref="H3:H13" si="3">D3/E3*100%</f>
        <v>8.658008658008658E-3</v>
      </c>
    </row>
    <row r="4" spans="1:8" x14ac:dyDescent="0.25">
      <c r="A4" s="8" t="s">
        <v>2095</v>
      </c>
      <c r="B4">
        <f>COUNTIFS(Crowdfunding!D:D,"&gt;=5000", Crowdfunding!D:D, "&lt;=9999", Crowdfunding!G:G, "successful")</f>
        <v>164</v>
      </c>
      <c r="C4">
        <f>COUNTIFS(Crowdfunding!D:D,"&gt;=5000", Crowdfunding!D:D, "&lt;=9999", Crowdfunding!G:G, "failed")</f>
        <v>126</v>
      </c>
      <c r="D4">
        <f>COUNTIFS(Crowdfunding!D:D,"&gt;=5000", Crowdfunding!D:D, "&lt;=9999", Crowdfunding!G:G, "canceled")</f>
        <v>25</v>
      </c>
      <c r="E4">
        <f t="shared" si="0"/>
        <v>315</v>
      </c>
      <c r="F4" s="20">
        <f t="shared" si="1"/>
        <v>0.52063492063492067</v>
      </c>
      <c r="G4" s="21">
        <f t="shared" si="2"/>
        <v>0.4</v>
      </c>
      <c r="H4" s="22">
        <f t="shared" si="3"/>
        <v>7.9365079365079361E-2</v>
      </c>
    </row>
    <row r="5" spans="1:8" x14ac:dyDescent="0.25">
      <c r="A5" s="8" t="s">
        <v>2096</v>
      </c>
      <c r="B5">
        <f>COUNTIFS(Crowdfunding!D:D,"&gt;=10000", Crowdfunding!D:D, "&lt;=14999", Crowdfunding!G:G, "successful")</f>
        <v>4</v>
      </c>
      <c r="C5">
        <f>COUNTIFS(Crowdfunding!D:D,"&gt;=10000", Crowdfunding!D:D, "&lt;=14999", Crowdfunding!G:G, "failed")</f>
        <v>5</v>
      </c>
      <c r="D5">
        <f>COUNTIFS(Crowdfunding!D:D,"&gt;=10000", Crowdfunding!D:D, "&lt;=14999", Crowdfunding!G:G, "canceled")</f>
        <v>0</v>
      </c>
      <c r="E5">
        <f t="shared" si="0"/>
        <v>9</v>
      </c>
      <c r="F5" s="20">
        <f t="shared" si="1"/>
        <v>0.44444444444444442</v>
      </c>
      <c r="G5" s="21">
        <f t="shared" si="2"/>
        <v>0.55555555555555558</v>
      </c>
      <c r="H5" s="22">
        <f t="shared" si="3"/>
        <v>0</v>
      </c>
    </row>
    <row r="6" spans="1:8" x14ac:dyDescent="0.25">
      <c r="A6" s="8" t="s">
        <v>2097</v>
      </c>
      <c r="B6">
        <f>COUNTIFS(Crowdfunding!D:D,"&gt;=15000", Crowdfunding!D:D, "&lt;=19999", Crowdfunding!G:G, "successful")</f>
        <v>10</v>
      </c>
      <c r="C6">
        <f>COUNTIFS(Crowdfunding!D:D,"&gt;=15000", Crowdfunding!D:D, "&lt;=19999", Crowdfunding!G:G, "failed")</f>
        <v>0</v>
      </c>
      <c r="D6">
        <f>COUNTIFS(Crowdfunding!D:D,"&gt;=15000", Crowdfunding!D:D, "&lt;=19999", Crowdfunding!G:G, "canceled")</f>
        <v>0</v>
      </c>
      <c r="E6">
        <f t="shared" si="0"/>
        <v>10</v>
      </c>
      <c r="F6" s="20">
        <f t="shared" si="1"/>
        <v>1</v>
      </c>
      <c r="G6" s="21">
        <f t="shared" si="2"/>
        <v>0</v>
      </c>
      <c r="H6" s="22">
        <f t="shared" si="3"/>
        <v>0</v>
      </c>
    </row>
    <row r="7" spans="1:8" x14ac:dyDescent="0.25">
      <c r="A7" s="8" t="s">
        <v>2098</v>
      </c>
      <c r="B7">
        <f>COUNTIFS(Crowdfunding!D:D,"&gt;=20000", Crowdfunding!D:D, "&lt;=24999", Crowdfunding!G:G, "successful")</f>
        <v>7</v>
      </c>
      <c r="C7">
        <f>COUNTIFS(Crowdfunding!D:D,"&gt;=20000", Crowdfunding!D:D, "&lt;=24999", Crowdfunding!G:G, "failed")</f>
        <v>0</v>
      </c>
      <c r="D7">
        <f>COUNTIFS(Crowdfunding!D:D,"&gt;=20000", Crowdfunding!D:D, "&lt;=24999", Crowdfunding!G:G, "canceled")</f>
        <v>0</v>
      </c>
      <c r="E7">
        <f t="shared" si="0"/>
        <v>7</v>
      </c>
      <c r="F7" s="20">
        <f t="shared" si="1"/>
        <v>1</v>
      </c>
      <c r="G7" s="21">
        <f t="shared" si="2"/>
        <v>0</v>
      </c>
      <c r="H7" s="22">
        <f t="shared" si="3"/>
        <v>0</v>
      </c>
    </row>
    <row r="8" spans="1:8" x14ac:dyDescent="0.25">
      <c r="A8" s="8" t="s">
        <v>2099</v>
      </c>
      <c r="B8">
        <f>COUNTIFS(Crowdfunding!D:D,"&gt;=25000", Crowdfunding!D:D, "&lt;=29999", Crowdfunding!G:G, "successful")</f>
        <v>11</v>
      </c>
      <c r="C8">
        <f>COUNTIFS(Crowdfunding!D:D,"&gt;=25000", Crowdfunding!D:D, "&lt;=29999", Crowdfunding!G:G, "failed")</f>
        <v>3</v>
      </c>
      <c r="D8">
        <f>COUNTIFS(Crowdfunding!D:D,"&gt;=25000", Crowdfunding!D:D, "&lt;=29999", Crowdfunding!G:G, "canceled")</f>
        <v>0</v>
      </c>
      <c r="E8">
        <f t="shared" si="0"/>
        <v>14</v>
      </c>
      <c r="F8" s="20">
        <f t="shared" si="1"/>
        <v>0.7857142857142857</v>
      </c>
      <c r="G8" s="21">
        <f t="shared" si="2"/>
        <v>0.21428571428571427</v>
      </c>
      <c r="H8" s="22">
        <f t="shared" si="3"/>
        <v>0</v>
      </c>
    </row>
    <row r="9" spans="1:8" x14ac:dyDescent="0.25">
      <c r="A9" s="8" t="s">
        <v>2100</v>
      </c>
      <c r="B9">
        <f>COUNTIFS(Crowdfunding!D:D,"&gt;=30000", Crowdfunding!D:D, "&lt;=34999", Crowdfunding!G:G, "successful")</f>
        <v>7</v>
      </c>
      <c r="C9">
        <f>COUNTIFS(Crowdfunding!D:D,"&gt;=30000", Crowdfunding!D:D, "&lt;=34999", Crowdfunding!G:G, "failed")</f>
        <v>0</v>
      </c>
      <c r="D9">
        <f>COUNTIFS(Crowdfunding!D:D,"&gt;=30000", Crowdfunding!D:D, "&lt;=34999", Crowdfunding!G:G, "canceled")</f>
        <v>0</v>
      </c>
      <c r="E9">
        <f t="shared" si="0"/>
        <v>7</v>
      </c>
      <c r="F9" s="20">
        <f t="shared" si="1"/>
        <v>1</v>
      </c>
      <c r="G9" s="21">
        <f t="shared" si="2"/>
        <v>0</v>
      </c>
      <c r="H9" s="22">
        <f t="shared" si="3"/>
        <v>0</v>
      </c>
    </row>
    <row r="10" spans="1:8" x14ac:dyDescent="0.25">
      <c r="A10" s="8" t="s">
        <v>2101</v>
      </c>
      <c r="B10">
        <f>COUNTIFS(Crowdfunding!D:D,"&gt;=35000", Crowdfunding!D:D, "&lt;=39999", Crowdfunding!G:G, "successful")</f>
        <v>8</v>
      </c>
      <c r="C10">
        <f>COUNTIFS(Crowdfunding!D:D,"&gt;=35000", Crowdfunding!D:D, "&lt;=39999", Crowdfunding!G:G, "failed")</f>
        <v>3</v>
      </c>
      <c r="D10">
        <f>COUNTIFS(Crowdfunding!D:D,"&gt;=35000", Crowdfunding!D:D, "&lt;=39999", Crowdfunding!G:G, "canceled")</f>
        <v>1</v>
      </c>
      <c r="E10">
        <f t="shared" si="0"/>
        <v>12</v>
      </c>
      <c r="F10" s="20">
        <f t="shared" si="1"/>
        <v>0.66666666666666663</v>
      </c>
      <c r="G10" s="21">
        <f t="shared" si="2"/>
        <v>0.25</v>
      </c>
      <c r="H10" s="22">
        <f t="shared" si="3"/>
        <v>8.3333333333333329E-2</v>
      </c>
    </row>
    <row r="11" spans="1:8" x14ac:dyDescent="0.25">
      <c r="A11" s="8" t="s">
        <v>2102</v>
      </c>
      <c r="B11">
        <f>COUNTIFS(Crowdfunding!D:D,"&gt;=40000", Crowdfunding!D:D, "&lt;=44999", Crowdfunding!G:G, "successful")</f>
        <v>11</v>
      </c>
      <c r="C11">
        <f>COUNTIFS(Crowdfunding!D:D,"&gt;=40000", Crowdfunding!D:D, "&lt;=44999", Crowdfunding!G:G, "failed")</f>
        <v>3</v>
      </c>
      <c r="D11">
        <f>COUNTIFS(Crowdfunding!D:D,"&gt;=40000", Crowdfunding!D:D, "&lt;=44999", Crowdfunding!G:G, "canceled")</f>
        <v>0</v>
      </c>
      <c r="E11">
        <f t="shared" si="0"/>
        <v>14</v>
      </c>
      <c r="F11" s="20">
        <f t="shared" si="1"/>
        <v>0.7857142857142857</v>
      </c>
      <c r="G11" s="21">
        <f t="shared" si="2"/>
        <v>0.21428571428571427</v>
      </c>
      <c r="H11" s="22">
        <f t="shared" si="3"/>
        <v>0</v>
      </c>
    </row>
    <row r="12" spans="1:8" x14ac:dyDescent="0.25">
      <c r="A12" s="8" t="s">
        <v>2104</v>
      </c>
      <c r="B12">
        <f>COUNTIFS(Crowdfunding!D:D,"&gt;=45000", Crowdfunding!D:D, "&lt;=49999", Crowdfunding!G:G, "successful")</f>
        <v>8</v>
      </c>
      <c r="C12">
        <f>COUNTIFS(Crowdfunding!D:D,"&gt;=45000", Crowdfunding!D:D, "&lt;=49999", Crowdfunding!G:G, "failed")</f>
        <v>3</v>
      </c>
      <c r="D12">
        <f>COUNTIFS(Crowdfunding!D:D,"&gt;=45000", Crowdfunding!D:D, "&lt;=49999", Crowdfunding!G:G, "canceled")</f>
        <v>0</v>
      </c>
      <c r="E12">
        <f t="shared" si="0"/>
        <v>11</v>
      </c>
      <c r="F12" s="20">
        <f t="shared" si="1"/>
        <v>0.72727272727272729</v>
      </c>
      <c r="G12" s="21">
        <f t="shared" si="2"/>
        <v>0.27272727272727271</v>
      </c>
      <c r="H12" s="22">
        <f t="shared" si="3"/>
        <v>0</v>
      </c>
    </row>
    <row r="13" spans="1:8" x14ac:dyDescent="0.25">
      <c r="A13" s="8" t="s">
        <v>2103</v>
      </c>
      <c r="B13">
        <f>COUNTIFS(Crowdfunding!D:D, "&gt;50000",Crowdfunding!G:G, "SUCCESSFUL")</f>
        <v>114</v>
      </c>
      <c r="C13">
        <f>COUNTIFS(Crowdfunding!D:D, "&gt;50000",Crowdfunding!G:G, "failed")</f>
        <v>163</v>
      </c>
      <c r="D13">
        <f>COUNTIFS(Crowdfunding!D:D, "&gt;50000",Crowdfunding!G:G, "canceled")</f>
        <v>28</v>
      </c>
      <c r="E13">
        <f t="shared" si="0"/>
        <v>305</v>
      </c>
      <c r="F13" s="20">
        <f t="shared" si="1"/>
        <v>0.3737704918032787</v>
      </c>
      <c r="G13" s="21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C72D-C0A5-4DC3-81BD-EE5F7C24AA90}">
  <dimension ref="A1:J566"/>
  <sheetViews>
    <sheetView tabSelected="1" topLeftCell="A4" workbookViewId="0">
      <selection activeCell="L8" sqref="L8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6.375" bestFit="1" customWidth="1"/>
    <col min="8" max="8" width="19.5" customWidth="1"/>
    <col min="9" max="9" width="16.375" bestFit="1" customWidth="1"/>
    <col min="10" max="10" width="11.875" bestFit="1" customWidth="1"/>
  </cols>
  <sheetData>
    <row r="1" spans="1:10" x14ac:dyDescent="0.25">
      <c r="A1" t="s">
        <v>2106</v>
      </c>
      <c r="B1" t="s">
        <v>5</v>
      </c>
      <c r="D1" t="s">
        <v>4</v>
      </c>
      <c r="E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24" t="s">
        <v>2112</v>
      </c>
      <c r="H2" s="23" t="s">
        <v>2106</v>
      </c>
      <c r="I2" s="25" t="s">
        <v>2113</v>
      </c>
      <c r="J2" s="23" t="s">
        <v>2106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AVERAGE(B2:B566)</f>
        <v>851.14690265486729</v>
      </c>
      <c r="I3" t="s">
        <v>2107</v>
      </c>
      <c r="J3">
        <f>AVERAGE(E2:E365)</f>
        <v>585.61538461538464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s="9" t="s">
        <v>2107</v>
      </c>
      <c r="H4" s="9">
        <f>MEDIAN(B2:B566)</f>
        <v>201</v>
      </c>
      <c r="I4" s="9" t="s">
        <v>2107</v>
      </c>
      <c r="J4" s="9">
        <f>MEDIAN(E2:E365)</f>
        <v>114.5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MIN(B2:B566)</f>
        <v>16</v>
      </c>
      <c r="I5" t="s">
        <v>2108</v>
      </c>
      <c r="J5">
        <f>MIN(E2:E365)</f>
        <v>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s="9" t="s">
        <v>2109</v>
      </c>
      <c r="H6" s="9">
        <f>MAX(B2:B566)</f>
        <v>7295</v>
      </c>
      <c r="I6" s="9" t="s">
        <v>2109</v>
      </c>
      <c r="J6" s="9">
        <f>MAX(E2:E365)</f>
        <v>6080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VAR(B2:B566)</f>
        <v>1606216.5936295739</v>
      </c>
      <c r="I7" t="s">
        <v>2110</v>
      </c>
      <c r="J7">
        <f>VAR(E2:E365)</f>
        <v>924113.45496927318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_xlfn.STDEV.P(B2:B566)</f>
        <v>1266.2439466397898</v>
      </c>
      <c r="I8" t="s">
        <v>2111</v>
      </c>
      <c r="J8">
        <f>_xlfn.STDEV.P(E2:E365)</f>
        <v>959.98681331637863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Sub-Category</vt:lpstr>
      <vt:lpstr>Yearly Visual</vt:lpstr>
      <vt:lpstr>Crowdfunding Goal 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Terry Goins</cp:lastModifiedBy>
  <dcterms:created xsi:type="dcterms:W3CDTF">2021-09-29T18:52:28Z</dcterms:created>
  <dcterms:modified xsi:type="dcterms:W3CDTF">2022-12-15T06:46:47Z</dcterms:modified>
</cp:coreProperties>
</file>