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9\"/>
    </mc:Choice>
  </mc:AlternateContent>
  <bookViews>
    <workbookView xWindow="-45" yWindow="1320" windowWidth="15405" windowHeight="1560"/>
  </bookViews>
  <sheets>
    <sheet name="Arrays" sheetId="4" r:id="rId1"/>
    <sheet name="Unique" sheetId="5" r:id="rId2"/>
    <sheet name="Frequency" sheetId="6" r:id="rId3"/>
    <sheet name="TRANSPOSE" sheetId="8" r:id="rId4"/>
    <sheet name="TREND" sheetId="9" r:id="rId5"/>
    <sheet name="ExtendedArray" sheetId="10" r:id="rId6"/>
  </sheets>
  <externalReferences>
    <externalReference r:id="rId7"/>
    <externalReference r:id="rId8"/>
    <externalReference r:id="rId9"/>
  </externalReferences>
  <definedNames>
    <definedName name="_xlnm._FilterDatabase" localSheetId="2" hidden="1">Frequency!#REF!</definedName>
    <definedName name="_xlnm._FilterDatabase" localSheetId="1" hidden="1">Unique!$B:$B</definedName>
    <definedName name="Dates">OFFSET([1]Dynamic!$A$2,0,0,COUNTA([1]Dynamic!$A$1:$A$65536)-1,1)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[2]Lookups!$A$2:$B$8</definedName>
    <definedName name="RateTable">[3]Lookups!$A$2:$B$8</definedName>
    <definedName name="RegionalTax">[3]NestedVlookup!$N$2:$V$8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OFFSET([1]Dynamic!$B$2,0,0,COUNTA([1]Dynamic!$B$1:$B$65536)-1,1)</definedName>
    <definedName name="solver_adj" localSheetId="3" hidden="1">TRANSPOSE!$B$4:$G$4,TRANSPOSE!$B$5:$G$5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TRANSPOSE!$B$4:$G$4</definedName>
    <definedName name="solver_lhs2" localSheetId="3" hidden="1">TRANSPOSE!$B$5:$G$5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TRANSPOSE!$H$6</definedName>
    <definedName name="solver_pre" localSheetId="3" hidden="1">0.000001</definedName>
    <definedName name="solver_rel1" localSheetId="3" hidden="1">1</definedName>
    <definedName name="solver_rel2" localSheetId="3" hidden="1">1</definedName>
    <definedName name="solver_rhs1" localSheetId="3" hidden="1">500</definedName>
    <definedName name="solver_rhs2" localSheetId="3" hidden="1">350</definedName>
    <definedName name="solver_scl" localSheetId="3" hidden="1">2</definedName>
    <definedName name="solver_sho" localSheetId="3" hidden="1">1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500</definedName>
    <definedName name="StateRegions">[3]NestedVlookup!$K$2:$L$52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Frequency!$B$1:$B$742</definedName>
    <definedName name="Z_32E1B1E0_F29A_4FB3_9E7F_F78F245BC75E_.wvu.FilterData" localSheetId="1" hidden="1">Unique!$B$1:$F$687</definedName>
    <definedName name="Z_32E1B1E0_F29A_4FB3_9E7F_F78F245BC75E_.wvu.PrintArea" localSheetId="2" hidden="1">Frequency!$B$1:$B$742</definedName>
    <definedName name="Z_32E1B1E0_F29A_4FB3_9E7F_F78F245BC75E_.wvu.PrintArea" localSheetId="1" hidden="1">Unique!$B$1:$F$687</definedName>
    <definedName name="Z_32E1B1E0_F29A_4FB3_9E7F_F78F245BC75E_.wvu.PrintTitles" localSheetId="2" hidden="1">Frequency!$1:$1</definedName>
    <definedName name="Z_32E1B1E0_F29A_4FB3_9E7F_F78F245BC75E_.wvu.PrintTitles" localSheetId="1" hidden="1">Unique!$1:$1</definedName>
  </definedNames>
  <calcPr calcId="162913"/>
</workbook>
</file>

<file path=xl/calcChain.xml><?xml version="1.0" encoding="utf-8"?>
<calcChain xmlns="http://schemas.openxmlformats.org/spreadsheetml/2006/main">
  <c r="D15" i="6" l="1"/>
  <c r="D17" i="6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2" i="4"/>
  <c r="P611" i="4"/>
  <c r="C687" i="5" l="1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H3" i="4" l="1"/>
  <c r="H4" i="4"/>
  <c r="H5" i="4"/>
  <c r="H6" i="4"/>
  <c r="H7" i="4"/>
  <c r="H8" i="4"/>
  <c r="H9" i="4"/>
  <c r="H10" i="4"/>
  <c r="H11" i="4"/>
  <c r="H12" i="4"/>
  <c r="H13" i="4"/>
  <c r="H2" i="4"/>
  <c r="M362" i="4" l="1"/>
  <c r="M28" i="4"/>
  <c r="M287" i="4"/>
  <c r="M390" i="4"/>
  <c r="M275" i="4"/>
  <c r="M201" i="4"/>
  <c r="M375" i="4"/>
  <c r="M220" i="4"/>
  <c r="M9" i="4"/>
  <c r="M8" i="4"/>
  <c r="M95" i="4"/>
  <c r="M246" i="4"/>
  <c r="M222" i="4"/>
  <c r="M7" i="4"/>
  <c r="M319" i="4"/>
  <c r="M125" i="4"/>
  <c r="M147" i="4"/>
  <c r="M347" i="4"/>
  <c r="M278" i="4"/>
  <c r="M159" i="4"/>
  <c r="M285" i="4"/>
  <c r="M154" i="4"/>
  <c r="M173" i="4"/>
  <c r="M270" i="4"/>
  <c r="M92" i="4"/>
  <c r="M231" i="4"/>
  <c r="M364" i="4"/>
  <c r="M65" i="4"/>
  <c r="M156" i="4"/>
  <c r="M104" i="4"/>
  <c r="M144" i="4"/>
  <c r="M2" i="4"/>
  <c r="M207" i="4"/>
  <c r="M360" i="4"/>
  <c r="M149" i="4"/>
  <c r="M288" i="4"/>
  <c r="M398" i="4"/>
  <c r="M399" i="4"/>
  <c r="M87" i="4"/>
  <c r="M10" i="4"/>
  <c r="M15" i="4"/>
  <c r="M106" i="4"/>
  <c r="M263" i="4"/>
  <c r="M99" i="4"/>
  <c r="M384" i="4"/>
  <c r="M191" i="4"/>
  <c r="M260" i="4"/>
  <c r="M376" i="4"/>
  <c r="M143" i="4"/>
  <c r="M346" i="4"/>
  <c r="M357" i="4"/>
  <c r="M259" i="4"/>
  <c r="M240" i="4"/>
  <c r="M19" i="4"/>
  <c r="M192" i="4"/>
  <c r="M38" i="4"/>
  <c r="M51" i="4"/>
  <c r="M371" i="4"/>
  <c r="M57" i="4"/>
  <c r="M395" i="4"/>
  <c r="M110" i="4"/>
  <c r="M361" i="4"/>
  <c r="M334" i="4"/>
  <c r="M33" i="4"/>
  <c r="M123" i="4"/>
  <c r="M400" i="4"/>
  <c r="M315" i="4"/>
  <c r="M235" i="4"/>
  <c r="M180" i="4"/>
  <c r="M325" i="4"/>
  <c r="M344" i="4"/>
  <c r="M257" i="4"/>
  <c r="M37" i="4"/>
  <c r="M25" i="4"/>
  <c r="M380" i="4"/>
  <c r="M103" i="4"/>
  <c r="M41" i="4"/>
  <c r="M122" i="4"/>
  <c r="M333" i="4"/>
  <c r="M252" i="4"/>
  <c r="M223" i="4"/>
  <c r="M348" i="4"/>
  <c r="M378" i="4"/>
  <c r="M244" i="4"/>
  <c r="M256" i="4"/>
  <c r="M403" i="4"/>
  <c r="M54" i="4"/>
  <c r="M77" i="4"/>
  <c r="M119" i="4"/>
  <c r="M45" i="4"/>
  <c r="M163" i="4"/>
  <c r="M112" i="4"/>
  <c r="M46" i="4"/>
  <c r="M108" i="4"/>
  <c r="M55" i="4"/>
  <c r="M250" i="4"/>
  <c r="M6" i="4"/>
  <c r="M394" i="4"/>
  <c r="M238" i="4"/>
  <c r="M283" i="4"/>
  <c r="M342" i="4"/>
  <c r="M341" i="4"/>
  <c r="M321" i="4"/>
  <c r="M26" i="4"/>
  <c r="M211" i="4"/>
  <c r="M296" i="4"/>
  <c r="M74" i="4"/>
  <c r="M299" i="4"/>
  <c r="M168" i="4"/>
  <c r="M40" i="4"/>
  <c r="M292" i="4"/>
  <c r="M300" i="4"/>
  <c r="M227" i="4"/>
  <c r="M49" i="4"/>
  <c r="M73" i="4"/>
  <c r="M174" i="4"/>
  <c r="M86" i="4"/>
  <c r="M153" i="4"/>
  <c r="M61" i="4"/>
  <c r="M293" i="4"/>
  <c r="M183" i="4"/>
  <c r="M53" i="4"/>
  <c r="M216" i="4"/>
  <c r="M102" i="4"/>
  <c r="M68" i="4"/>
  <c r="M32" i="4"/>
  <c r="M208" i="4"/>
  <c r="M318" i="4"/>
  <c r="M113" i="4"/>
  <c r="M70" i="4"/>
  <c r="M327" i="4"/>
  <c r="M44" i="4"/>
  <c r="M3" i="4"/>
  <c r="M306" i="4"/>
  <c r="M114" i="4"/>
  <c r="M160" i="4"/>
  <c r="M107" i="4"/>
  <c r="M78" i="4"/>
  <c r="M166" i="4"/>
  <c r="M128" i="4"/>
  <c r="M386" i="4"/>
  <c r="M124" i="4"/>
  <c r="M370" i="4"/>
  <c r="M197" i="4"/>
  <c r="M72" i="4"/>
  <c r="M272" i="4"/>
  <c r="M232" i="4"/>
  <c r="M276" i="4"/>
  <c r="M373" i="4"/>
  <c r="M94" i="4"/>
  <c r="M142" i="4"/>
  <c r="M170" i="4"/>
  <c r="M336" i="4"/>
  <c r="M304" i="4"/>
  <c r="M241" i="4"/>
  <c r="M79" i="4"/>
  <c r="M135" i="4"/>
  <c r="M90" i="4"/>
  <c r="M129" i="4"/>
  <c r="M175" i="4"/>
  <c r="M164" i="4"/>
  <c r="M205" i="4"/>
  <c r="M88" i="4"/>
  <c r="M115" i="4"/>
  <c r="M64" i="4"/>
  <c r="M155" i="4"/>
  <c r="M350" i="4"/>
  <c r="M212" i="4"/>
  <c r="M186" i="4"/>
  <c r="M117" i="4"/>
  <c r="M329" i="4"/>
  <c r="M177" i="4"/>
  <c r="M136" i="4"/>
  <c r="M80" i="4"/>
  <c r="M320" i="4"/>
  <c r="M389" i="4"/>
  <c r="M21" i="4"/>
  <c r="M130" i="4"/>
  <c r="M176" i="4"/>
  <c r="M181" i="4"/>
  <c r="M377" i="4"/>
  <c r="M5" i="4"/>
  <c r="M4" i="4"/>
  <c r="M145" i="4"/>
  <c r="M237" i="4"/>
  <c r="M337" i="4"/>
  <c r="M303" i="4"/>
  <c r="M226" i="4"/>
  <c r="M204" i="4"/>
  <c r="M50" i="4"/>
  <c r="M18" i="4"/>
  <c r="M199" i="4"/>
  <c r="M340" i="4"/>
  <c r="M323" i="4"/>
  <c r="M331" i="4"/>
  <c r="M59" i="4"/>
  <c r="M308" i="4"/>
  <c r="M83" i="4"/>
  <c r="M69" i="4"/>
  <c r="M391" i="4"/>
  <c r="M188" i="4"/>
  <c r="M16" i="4"/>
  <c r="M279" i="4"/>
  <c r="M215" i="4"/>
  <c r="M214" i="4"/>
  <c r="M121" i="4"/>
  <c r="M213" i="4"/>
  <c r="M343" i="4"/>
  <c r="M24" i="4"/>
  <c r="M63" i="4"/>
  <c r="M387" i="4"/>
  <c r="M404" i="4"/>
  <c r="M161" i="4"/>
  <c r="M167" i="4"/>
  <c r="M354" i="4"/>
  <c r="M345" i="4"/>
  <c r="M367" i="4"/>
  <c r="M12" i="4"/>
  <c r="M349" i="4"/>
  <c r="M332" i="4"/>
  <c r="M198" i="4"/>
  <c r="M158" i="4"/>
  <c r="M305" i="4"/>
  <c r="M151" i="4"/>
  <c r="M29" i="4"/>
  <c r="M58" i="4"/>
  <c r="M152" i="4"/>
  <c r="M47" i="4"/>
  <c r="M43" i="4"/>
  <c r="M314" i="4"/>
  <c r="M264" i="4"/>
  <c r="M366" i="4"/>
  <c r="M365" i="4"/>
  <c r="M253" i="4"/>
  <c r="M385" i="4"/>
  <c r="M157" i="4"/>
  <c r="M284" i="4"/>
  <c r="M126" i="4"/>
  <c r="M148" i="4"/>
  <c r="M286" i="4"/>
  <c r="M97" i="4"/>
  <c r="M374" i="4"/>
  <c r="M91" i="4"/>
  <c r="M31" i="4"/>
  <c r="M56" i="4"/>
  <c r="M261" i="4"/>
  <c r="M358" i="4"/>
  <c r="M189" i="4"/>
  <c r="M210" i="4"/>
  <c r="M141" i="4"/>
  <c r="M39" i="4"/>
  <c r="M109" i="4"/>
  <c r="M134" i="4"/>
  <c r="M265" i="4"/>
  <c r="M369" i="4"/>
  <c r="M76" i="4"/>
  <c r="M224" i="4"/>
  <c r="M234" i="4"/>
  <c r="M169" i="4"/>
  <c r="M132" i="4"/>
  <c r="M131" i="4"/>
  <c r="M81" i="4"/>
  <c r="M335" i="4"/>
  <c r="M310" i="4"/>
  <c r="M127" i="4"/>
  <c r="M221" i="4"/>
  <c r="M67" i="4"/>
  <c r="M13" i="4"/>
  <c r="M307" i="4"/>
  <c r="M326" i="4"/>
  <c r="M295" i="4"/>
  <c r="M294" i="4"/>
  <c r="M392" i="4"/>
  <c r="M248" i="4"/>
  <c r="M179" i="4"/>
  <c r="M239" i="4"/>
  <c r="M133" i="4"/>
  <c r="M274" i="4"/>
  <c r="M84" i="4"/>
  <c r="M271" i="4"/>
  <c r="M245" i="4"/>
  <c r="M269" i="4"/>
  <c r="M60" i="4"/>
  <c r="M62" i="4"/>
  <c r="M397" i="4"/>
  <c r="M195" i="4"/>
  <c r="M66" i="4"/>
  <c r="M313" i="4"/>
  <c r="M111" i="4"/>
  <c r="M352" i="4"/>
  <c r="M351" i="4"/>
  <c r="M100" i="4"/>
  <c r="M359" i="4"/>
  <c r="M209" i="4"/>
  <c r="M372" i="4"/>
  <c r="M309" i="4"/>
  <c r="M277" i="4"/>
  <c r="M36" i="4"/>
  <c r="M162" i="4"/>
  <c r="M381" i="4"/>
  <c r="M401" i="4"/>
  <c r="M75" i="4"/>
  <c r="M383" i="4"/>
  <c r="M280" i="4"/>
  <c r="M105" i="4"/>
  <c r="M268" i="4"/>
  <c r="M27" i="4"/>
  <c r="M273" i="4"/>
  <c r="M120" i="4"/>
  <c r="M230" i="4"/>
  <c r="M317" i="4"/>
  <c r="M258" i="4"/>
  <c r="M262" i="4"/>
  <c r="M233" i="4"/>
  <c r="M316" i="4"/>
  <c r="M338" i="4"/>
  <c r="M71" i="4"/>
  <c r="M203" i="4"/>
  <c r="M35" i="4"/>
  <c r="M34" i="4"/>
  <c r="M330" i="4"/>
  <c r="M266" i="4"/>
  <c r="M355" i="4"/>
  <c r="M178" i="4"/>
  <c r="M17" i="4"/>
  <c r="M393" i="4"/>
  <c r="M42" i="4"/>
  <c r="M229" i="4"/>
  <c r="M267" i="4"/>
  <c r="M217" i="4"/>
  <c r="M196" i="4"/>
  <c r="M311" i="4"/>
  <c r="M101" i="4"/>
  <c r="M353" i="4"/>
  <c r="M139" i="4"/>
  <c r="M396" i="4"/>
  <c r="M96" i="4"/>
  <c r="M165" i="4"/>
  <c r="M82" i="4"/>
  <c r="M324" i="4"/>
  <c r="M48" i="4"/>
  <c r="M190" i="4"/>
  <c r="M322" i="4"/>
  <c r="M194" i="4"/>
  <c r="M206" i="4"/>
  <c r="M228" i="4"/>
  <c r="M339" i="4"/>
  <c r="M249" i="4"/>
  <c r="M118" i="4"/>
  <c r="M23" i="4"/>
  <c r="M22" i="4"/>
  <c r="M98" i="4"/>
  <c r="M30" i="4"/>
  <c r="M243" i="4"/>
  <c r="M297" i="4"/>
  <c r="M11" i="4"/>
  <c r="M14" i="4"/>
  <c r="M368" i="4"/>
  <c r="M402" i="4"/>
  <c r="M218" i="4"/>
  <c r="M182" i="4"/>
  <c r="M219" i="4"/>
  <c r="M140" i="4"/>
  <c r="M301" i="4"/>
  <c r="M225" i="4"/>
  <c r="M312" i="4"/>
  <c r="M138" i="4"/>
  <c r="M146" i="4"/>
  <c r="M251" i="4"/>
  <c r="M255" i="4"/>
  <c r="M193" i="4"/>
  <c r="M289" i="4"/>
  <c r="M236" i="4"/>
  <c r="M93" i="4"/>
  <c r="M171" i="4"/>
  <c r="M185" i="4"/>
  <c r="M184" i="4"/>
  <c r="M291" i="4"/>
  <c r="M172" i="4"/>
  <c r="M116" i="4"/>
  <c r="M85" i="4"/>
  <c r="M388" i="4"/>
  <c r="M187" i="4"/>
  <c r="M20" i="4"/>
  <c r="M150" i="4"/>
  <c r="M290" i="4"/>
  <c r="M363" i="4"/>
  <c r="M281" i="4"/>
  <c r="M382" i="4"/>
  <c r="M200" i="4"/>
  <c r="M356" i="4"/>
  <c r="M242" i="4"/>
  <c r="M328" i="4"/>
  <c r="M137" i="4"/>
  <c r="M282" i="4"/>
  <c r="M247" i="4"/>
  <c r="M89" i="4"/>
  <c r="M254" i="4"/>
  <c r="M302" i="4"/>
  <c r="M298" i="4"/>
  <c r="M202" i="4"/>
  <c r="M379" i="4"/>
  <c r="M52" i="4"/>
  <c r="G6" i="8" l="1"/>
  <c r="F6" i="8"/>
  <c r="E6" i="8"/>
  <c r="D6" i="8"/>
  <c r="C6" i="8"/>
  <c r="B6" i="8"/>
  <c r="I5" i="8"/>
  <c r="H5" i="8"/>
  <c r="I4" i="8"/>
  <c r="H4" i="8"/>
  <c r="D299" i="5"/>
  <c r="D632" i="5"/>
  <c r="D610" i="5"/>
  <c r="D61" i="5"/>
  <c r="D379" i="5"/>
  <c r="D3" i="5"/>
  <c r="D132" i="5"/>
  <c r="D459" i="5"/>
  <c r="D481" i="5"/>
  <c r="D499" i="5"/>
  <c r="D661" i="5"/>
  <c r="D90" i="5"/>
  <c r="D166" i="5"/>
  <c r="D402" i="5"/>
  <c r="D228" i="5"/>
  <c r="D319" i="5"/>
  <c r="D191" i="5"/>
  <c r="D24" i="5"/>
  <c r="D14" i="5"/>
  <c r="D557" i="5"/>
  <c r="D129" i="5"/>
  <c r="D245" i="5"/>
  <c r="D28" i="5"/>
  <c r="D602" i="5"/>
  <c r="D272" i="5"/>
  <c r="D443" i="5"/>
  <c r="D506" i="5"/>
  <c r="D107" i="5"/>
  <c r="D125" i="5"/>
  <c r="D655" i="5"/>
  <c r="D434" i="5"/>
  <c r="D167" i="5"/>
  <c r="D570" i="5"/>
  <c r="D54" i="5"/>
  <c r="D323" i="5"/>
  <c r="D389" i="5"/>
  <c r="D385" i="5"/>
  <c r="D676" i="5"/>
  <c r="D240" i="5"/>
  <c r="D599" i="5"/>
  <c r="D226" i="5"/>
  <c r="D156" i="5"/>
  <c r="D215" i="5"/>
  <c r="D269" i="5"/>
  <c r="D412" i="5"/>
  <c r="D144" i="5"/>
  <c r="D641" i="5"/>
  <c r="D184" i="5"/>
  <c r="D394" i="5"/>
  <c r="D170" i="5"/>
  <c r="D153" i="5"/>
  <c r="D318" i="5"/>
  <c r="D396" i="5"/>
  <c r="D114" i="5"/>
  <c r="D580" i="5"/>
  <c r="D468" i="5"/>
  <c r="D180" i="5"/>
  <c r="D80" i="5"/>
  <c r="D188" i="5"/>
  <c r="D162" i="5"/>
  <c r="D461" i="5"/>
  <c r="D345" i="5"/>
  <c r="D134" i="5"/>
  <c r="D615" i="5"/>
  <c r="D383" i="5"/>
  <c r="D222" i="5"/>
  <c r="D353" i="5"/>
  <c r="D65" i="5"/>
  <c r="D665" i="5"/>
  <c r="D56" i="5"/>
  <c r="D668" i="5"/>
  <c r="D259" i="5"/>
  <c r="D53" i="5"/>
  <c r="D510" i="5"/>
  <c r="D335" i="5"/>
  <c r="D104" i="5"/>
  <c r="D489" i="5"/>
  <c r="D624" i="5"/>
  <c r="D16" i="5"/>
  <c r="D324" i="5"/>
  <c r="D664" i="5"/>
  <c r="D458" i="5"/>
  <c r="D400" i="5"/>
  <c r="D423" i="5"/>
  <c r="D414" i="5"/>
  <c r="D251" i="5"/>
  <c r="D433" i="5"/>
  <c r="D352" i="5"/>
  <c r="D656" i="5"/>
  <c r="D478" i="5"/>
  <c r="D532" i="5"/>
  <c r="D45" i="5"/>
  <c r="D457" i="5"/>
  <c r="D164" i="5"/>
  <c r="D622" i="5"/>
  <c r="D350" i="5"/>
  <c r="D428" i="5"/>
  <c r="D455" i="5"/>
  <c r="D539" i="5"/>
  <c r="D381" i="5"/>
  <c r="D307" i="5"/>
  <c r="D386" i="5"/>
  <c r="D604" i="5"/>
  <c r="D495" i="5"/>
  <c r="D524" i="5"/>
  <c r="D597" i="5"/>
  <c r="D46" i="5"/>
  <c r="D97" i="5"/>
  <c r="D135" i="5"/>
  <c r="D513" i="5"/>
  <c r="D290" i="5"/>
  <c r="D417" i="5"/>
  <c r="D410" i="5"/>
  <c r="D469" i="5"/>
  <c r="D362" i="5"/>
  <c r="D503" i="5"/>
  <c r="D548" i="5"/>
  <c r="D357" i="5"/>
  <c r="D187" i="5"/>
  <c r="D185" i="5"/>
  <c r="D397" i="5"/>
  <c r="D173" i="5"/>
  <c r="D111" i="5"/>
  <c r="D152" i="5"/>
  <c r="D291" i="5"/>
  <c r="D569" i="5"/>
  <c r="D480" i="5"/>
  <c r="D670" i="5"/>
  <c r="D220" i="5"/>
  <c r="D155" i="5"/>
  <c r="D100" i="5"/>
  <c r="D515" i="5"/>
  <c r="D546" i="5"/>
  <c r="D534" i="5"/>
  <c r="D590" i="5"/>
  <c r="D663" i="5"/>
  <c r="D98" i="5"/>
  <c r="D682" i="5"/>
  <c r="D576" i="5"/>
  <c r="D99" i="5"/>
  <c r="D382" i="5"/>
  <c r="D669" i="5"/>
  <c r="D608" i="5"/>
  <c r="D442" i="5"/>
  <c r="D208" i="5"/>
  <c r="D338" i="5"/>
  <c r="D609" i="5"/>
  <c r="D186" i="5"/>
  <c r="D276" i="5"/>
  <c r="D9" i="5"/>
  <c r="D363" i="5"/>
  <c r="D141" i="5"/>
  <c r="D274" i="5"/>
  <c r="D465" i="5"/>
  <c r="D201" i="5"/>
  <c r="D302" i="5"/>
  <c r="D640" i="5"/>
  <c r="D444" i="5"/>
  <c r="D372" i="5"/>
  <c r="D301" i="5"/>
  <c r="D629" i="5"/>
  <c r="D426" i="5"/>
  <c r="D643" i="5"/>
  <c r="D267" i="5"/>
  <c r="D544" i="5"/>
  <c r="D453" i="5"/>
  <c r="D378" i="5"/>
  <c r="D321" i="5"/>
  <c r="D616" i="5"/>
  <c r="D456" i="5"/>
  <c r="D537" i="5"/>
  <c r="D626" i="5"/>
  <c r="D176" i="5"/>
  <c r="D582" i="5"/>
  <c r="D501" i="5"/>
  <c r="D435" i="5"/>
  <c r="D566" i="5"/>
  <c r="D236" i="5"/>
  <c r="D342" i="5"/>
  <c r="D50" i="5"/>
  <c r="D662" i="5"/>
  <c r="D229" i="5"/>
  <c r="D89" i="5"/>
  <c r="D374" i="5"/>
  <c r="D47" i="5"/>
  <c r="D341" i="5"/>
  <c r="D275" i="5"/>
  <c r="D344" i="5"/>
  <c r="D234" i="5"/>
  <c r="D17" i="5"/>
  <c r="D310" i="5"/>
  <c r="D672" i="5"/>
  <c r="D376" i="5"/>
  <c r="D390" i="5"/>
  <c r="D280" i="5"/>
  <c r="D377" i="5"/>
  <c r="D151" i="5"/>
  <c r="D475" i="5"/>
  <c r="D333" i="5"/>
  <c r="D11" i="5"/>
  <c r="D375" i="5"/>
  <c r="D387" i="5"/>
  <c r="D653" i="5"/>
  <c r="D241" i="5"/>
  <c r="D316" i="5"/>
  <c r="D559" i="5"/>
  <c r="D183" i="5"/>
  <c r="D113" i="5"/>
  <c r="D498" i="5"/>
  <c r="D175" i="5"/>
  <c r="D467" i="5"/>
  <c r="D55" i="5"/>
  <c r="D587" i="5"/>
  <c r="D13" i="5"/>
  <c r="D27" i="5"/>
  <c r="D485" i="5"/>
  <c r="D263" i="5"/>
  <c r="D430" i="5"/>
  <c r="D58" i="5"/>
  <c r="D623" i="5"/>
  <c r="D579" i="5"/>
  <c r="D93" i="5"/>
  <c r="D536" i="5"/>
  <c r="D2" i="5"/>
  <c r="D219" i="5"/>
  <c r="D556" i="5"/>
  <c r="D554" i="5"/>
  <c r="D172" i="5"/>
  <c r="D575" i="5"/>
  <c r="D493" i="5"/>
  <c r="D584" i="5"/>
  <c r="D33" i="5"/>
  <c r="D593" i="5"/>
  <c r="D51" i="5"/>
  <c r="D169" i="5"/>
  <c r="D540" i="5"/>
  <c r="D265" i="5"/>
  <c r="D67" i="5"/>
  <c r="D42" i="5"/>
  <c r="D555" i="5"/>
  <c r="D118" i="5"/>
  <c r="D392" i="5"/>
  <c r="D304" i="5"/>
  <c r="D598" i="5"/>
  <c r="D405" i="5"/>
  <c r="D249" i="5"/>
  <c r="D179" i="5"/>
  <c r="D612" i="5"/>
  <c r="D126" i="5"/>
  <c r="D137" i="5"/>
  <c r="D140" i="5"/>
  <c r="D165" i="5"/>
  <c r="D680" i="5"/>
  <c r="D39" i="5"/>
  <c r="D637" i="5"/>
  <c r="D326" i="5"/>
  <c r="D7" i="5"/>
  <c r="D367" i="5"/>
  <c r="D232" i="5"/>
  <c r="D261" i="5"/>
  <c r="D511" i="5"/>
  <c r="D406" i="5"/>
  <c r="D401" i="5"/>
  <c r="D57" i="5"/>
  <c r="D427" i="5"/>
  <c r="D239" i="5"/>
  <c r="D447" i="5"/>
  <c r="D436" i="5"/>
  <c r="D596" i="5"/>
  <c r="D452" i="5"/>
  <c r="D136" i="5"/>
  <c r="D558" i="5"/>
  <c r="D248" i="5"/>
  <c r="D225" i="5"/>
  <c r="D512" i="5"/>
  <c r="D83" i="5"/>
  <c r="D278" i="5"/>
  <c r="D618" i="5"/>
  <c r="D497" i="5"/>
  <c r="D25" i="5"/>
  <c r="D171" i="5"/>
  <c r="D130" i="5"/>
  <c r="D8" i="5"/>
  <c r="D109" i="5"/>
  <c r="D679" i="5"/>
  <c r="D312" i="5"/>
  <c r="D209" i="5"/>
  <c r="D119" i="5"/>
  <c r="D116" i="5"/>
  <c r="D258" i="5"/>
  <c r="D288" i="5"/>
  <c r="D592" i="5"/>
  <c r="D591" i="5"/>
  <c r="D145" i="5"/>
  <c r="D614" i="5"/>
  <c r="D286" i="5"/>
  <c r="D285" i="5"/>
  <c r="D268" i="5"/>
  <c r="D32" i="5"/>
  <c r="D432" i="5"/>
  <c r="D348" i="5"/>
  <c r="D549" i="5"/>
  <c r="D364" i="5"/>
  <c r="D578" i="5"/>
  <c r="D538" i="5"/>
  <c r="D20" i="5"/>
  <c r="D146" i="5"/>
  <c r="D422" i="5"/>
  <c r="D500" i="5"/>
  <c r="D567" i="5"/>
  <c r="D666" i="5"/>
  <c r="D373" i="5"/>
  <c r="D210" i="5"/>
  <c r="D403" i="5"/>
  <c r="D38" i="5"/>
  <c r="D123" i="5"/>
  <c r="D523" i="5"/>
  <c r="D101" i="5"/>
  <c r="D128" i="5"/>
  <c r="D242" i="5"/>
  <c r="D159" i="5"/>
  <c r="D148" i="5"/>
  <c r="D142" i="5"/>
  <c r="D484" i="5"/>
  <c r="D273" i="5"/>
  <c r="D547" i="5"/>
  <c r="D124" i="5"/>
  <c r="D297" i="5"/>
  <c r="D30" i="5"/>
  <c r="D613" i="5"/>
  <c r="D642" i="5"/>
  <c r="D340" i="5"/>
  <c r="D60" i="5"/>
  <c r="D306" i="5"/>
  <c r="D678" i="5"/>
  <c r="D117" i="5"/>
  <c r="D52" i="5"/>
  <c r="D29" i="5"/>
  <c r="D528" i="5"/>
  <c r="D91" i="5"/>
  <c r="D133" i="5"/>
  <c r="D92" i="5"/>
  <c r="D531" i="5"/>
  <c r="D648" i="5"/>
  <c r="D491" i="5"/>
  <c r="D85" i="5"/>
  <c r="D15" i="5"/>
  <c r="D658" i="5"/>
  <c r="D94" i="5"/>
  <c r="D683" i="5"/>
  <c r="D369" i="5"/>
  <c r="D88" i="5"/>
  <c r="D78" i="5"/>
  <c r="D287" i="5"/>
  <c r="D630" i="5"/>
  <c r="D509" i="5"/>
  <c r="D454" i="5"/>
  <c r="D581" i="5"/>
  <c r="D355" i="5"/>
  <c r="D230" i="5"/>
  <c r="D496" i="5"/>
  <c r="D238" i="5"/>
  <c r="D64" i="5"/>
  <c r="D675" i="5"/>
  <c r="D588" i="5"/>
  <c r="D283" i="5"/>
  <c r="D407" i="5"/>
  <c r="D463" i="5"/>
  <c r="D44" i="5"/>
  <c r="D300" i="5"/>
  <c r="D577" i="5"/>
  <c r="D568" i="5"/>
  <c r="D87" i="5"/>
  <c r="D460" i="5"/>
  <c r="D195" i="5"/>
  <c r="D139" i="5"/>
  <c r="D206" i="5"/>
  <c r="D157" i="5"/>
  <c r="D519" i="5"/>
  <c r="D81" i="5"/>
  <c r="D450" i="5"/>
  <c r="D445" i="5"/>
  <c r="D673" i="5"/>
  <c r="D282" i="5"/>
  <c r="D413" i="5"/>
  <c r="D429" i="5"/>
  <c r="D470" i="5"/>
  <c r="D327" i="5"/>
  <c r="D102" i="5"/>
  <c r="D561" i="5"/>
  <c r="D565" i="5"/>
  <c r="D473" i="5"/>
  <c r="D438" i="5"/>
  <c r="D36" i="5"/>
  <c r="D494" i="5"/>
  <c r="D243" i="5"/>
  <c r="D48" i="5"/>
  <c r="D541" i="5"/>
  <c r="D606" i="5"/>
  <c r="D22" i="5"/>
  <c r="D514" i="5"/>
  <c r="D651" i="5"/>
  <c r="D408" i="5"/>
  <c r="D296" i="5"/>
  <c r="D205" i="5"/>
  <c r="D346" i="5"/>
  <c r="D217" i="5"/>
  <c r="D303" i="5"/>
  <c r="D143" i="5"/>
  <c r="D571" i="5"/>
  <c r="D476" i="5"/>
  <c r="D4" i="5"/>
  <c r="D223" i="5"/>
  <c r="D687" i="5"/>
  <c r="D178" i="5"/>
  <c r="D49" i="5"/>
  <c r="D244" i="5"/>
  <c r="D462" i="5"/>
  <c r="D84" i="5"/>
  <c r="D322" i="5"/>
  <c r="D646" i="5"/>
  <c r="D82" i="5"/>
  <c r="D95" i="5"/>
  <c r="D121" i="5"/>
  <c r="D647" i="5"/>
  <c r="D628" i="5"/>
  <c r="D311" i="5"/>
  <c r="D418" i="5"/>
  <c r="D564" i="5"/>
  <c r="D163" i="5"/>
  <c r="D525" i="5"/>
  <c r="D535" i="5"/>
  <c r="D112" i="5"/>
  <c r="D399" i="5"/>
  <c r="D309" i="5"/>
  <c r="D204" i="5"/>
  <c r="D361" i="5"/>
  <c r="D10" i="5"/>
  <c r="D553" i="5"/>
  <c r="D6" i="5"/>
  <c r="D277" i="5"/>
  <c r="D686" i="5"/>
  <c r="D365" i="5"/>
  <c r="D293" i="5"/>
  <c r="D332" i="5"/>
  <c r="D43" i="5"/>
  <c r="D250" i="5"/>
  <c r="D371" i="5"/>
  <c r="D522" i="5"/>
  <c r="D63" i="5"/>
  <c r="D398" i="5"/>
  <c r="D73" i="5"/>
  <c r="D194" i="5"/>
  <c r="D601" i="5"/>
  <c r="D336" i="5"/>
  <c r="D295" i="5"/>
  <c r="D255" i="5"/>
  <c r="D560" i="5"/>
  <c r="D96" i="5"/>
  <c r="D583" i="5"/>
  <c r="D543" i="5"/>
  <c r="D639" i="5"/>
  <c r="D122" i="5"/>
  <c r="D667" i="5"/>
  <c r="D150" i="5"/>
  <c r="D360" i="5"/>
  <c r="D181" i="5"/>
  <c r="D508" i="5"/>
  <c r="D533" i="5"/>
  <c r="D221" i="5"/>
  <c r="D76" i="5"/>
  <c r="D649" i="5"/>
  <c r="D391" i="5"/>
  <c r="D425" i="5"/>
  <c r="D603" i="5"/>
  <c r="D74" i="5"/>
  <c r="D370" i="5"/>
  <c r="D330" i="5"/>
  <c r="D411" i="5"/>
  <c r="D198" i="5"/>
  <c r="D66" i="5"/>
  <c r="D270" i="5"/>
  <c r="D545" i="5"/>
  <c r="D284" i="5"/>
  <c r="D351" i="5"/>
  <c r="D585" i="5"/>
  <c r="D431" i="5"/>
  <c r="D359" i="5"/>
  <c r="D482" i="5"/>
  <c r="D625" i="5"/>
  <c r="D347" i="5"/>
  <c r="D127" i="5"/>
  <c r="D75" i="5"/>
  <c r="D31" i="5"/>
  <c r="D526" i="5"/>
  <c r="D446" i="5"/>
  <c r="D627" i="5"/>
  <c r="D294" i="5"/>
  <c r="D203" i="5"/>
  <c r="D320" i="5"/>
  <c r="D256" i="5"/>
  <c r="D110" i="5"/>
  <c r="D486" i="5"/>
  <c r="D516" i="5"/>
  <c r="D419" i="5"/>
  <c r="D654" i="5"/>
  <c r="D440" i="5"/>
  <c r="D631" i="5"/>
  <c r="D542" i="5"/>
  <c r="D266" i="5"/>
  <c r="D253" i="5"/>
  <c r="D416" i="5"/>
  <c r="D388" i="5"/>
  <c r="D520" i="5"/>
  <c r="D674" i="5"/>
  <c r="D26" i="5"/>
  <c r="D634" i="5"/>
  <c r="D264" i="5"/>
  <c r="D79" i="5"/>
  <c r="D202" i="5"/>
  <c r="D247" i="5"/>
  <c r="D59" i="5"/>
  <c r="D466" i="5"/>
  <c r="D21" i="5"/>
  <c r="D252" i="5"/>
  <c r="D619" i="5"/>
  <c r="D115" i="5"/>
  <c r="D505" i="5"/>
  <c r="D199" i="5"/>
  <c r="D474" i="5"/>
  <c r="D677" i="5"/>
  <c r="D70" i="5"/>
  <c r="D207" i="5"/>
  <c r="D487" i="5"/>
  <c r="D189" i="5"/>
  <c r="D71" i="5"/>
  <c r="D635" i="5"/>
  <c r="D325" i="5"/>
  <c r="D35" i="5"/>
  <c r="D279" i="5"/>
  <c r="D529" i="5"/>
  <c r="D671" i="5"/>
  <c r="D420" i="5"/>
  <c r="D507" i="5"/>
  <c r="D314" i="5"/>
  <c r="D192" i="5"/>
  <c r="D37" i="5"/>
  <c r="D517" i="5"/>
  <c r="D659" i="5"/>
  <c r="D607" i="5"/>
  <c r="D621" i="5"/>
  <c r="D343" i="5"/>
  <c r="D120" i="5"/>
  <c r="D471" i="5"/>
  <c r="D289" i="5"/>
  <c r="D504" i="5"/>
  <c r="D617" i="5"/>
  <c r="D212" i="5"/>
  <c r="D437" i="5"/>
  <c r="D200" i="5"/>
  <c r="D611" i="5"/>
  <c r="D131" i="5"/>
  <c r="D160" i="5"/>
  <c r="D589" i="5"/>
  <c r="D262" i="5"/>
  <c r="D18" i="5"/>
  <c r="D168" i="5"/>
  <c r="D439" i="5"/>
  <c r="D356" i="5"/>
  <c r="D211" i="5"/>
  <c r="D550" i="5"/>
  <c r="D633" i="5"/>
  <c r="D161" i="5"/>
  <c r="D441" i="5"/>
  <c r="D19" i="5"/>
  <c r="D492" i="5"/>
  <c r="D41" i="5"/>
  <c r="D358" i="5"/>
  <c r="D62" i="5"/>
  <c r="D147" i="5"/>
  <c r="D182" i="5"/>
  <c r="D86" i="5"/>
  <c r="D149" i="5"/>
  <c r="D337" i="5"/>
  <c r="D684" i="5"/>
  <c r="D421" i="5"/>
  <c r="D213" i="5"/>
  <c r="D315" i="5"/>
  <c r="D574" i="5"/>
  <c r="D331" i="5"/>
  <c r="D108" i="5"/>
  <c r="D224" i="5"/>
  <c r="D254" i="5"/>
  <c r="D464" i="5"/>
  <c r="D105" i="5"/>
  <c r="D193" i="5"/>
  <c r="D23" i="5"/>
  <c r="D477" i="5"/>
  <c r="D562" i="5"/>
  <c r="D586" i="5"/>
  <c r="D328" i="5"/>
  <c r="D72" i="5"/>
  <c r="D573" i="5"/>
  <c r="D308" i="5"/>
  <c r="D233" i="5"/>
  <c r="D393" i="5"/>
  <c r="D69" i="5"/>
  <c r="D685" i="5"/>
  <c r="D502" i="5"/>
  <c r="D354" i="5"/>
  <c r="D177" i="5"/>
  <c r="D451" i="5"/>
  <c r="D334" i="5"/>
  <c r="D409" i="5"/>
  <c r="D246" i="5"/>
  <c r="D449" i="5"/>
  <c r="D650" i="5"/>
  <c r="D380" i="5"/>
  <c r="D237" i="5"/>
  <c r="D313" i="5"/>
  <c r="D644" i="5"/>
  <c r="D605" i="5"/>
  <c r="D227" i="5"/>
  <c r="D483" i="5"/>
  <c r="D404" i="5"/>
  <c r="D527" i="5"/>
  <c r="D12" i="5"/>
  <c r="D552" i="5"/>
  <c r="D235" i="5"/>
  <c r="D620" i="5"/>
  <c r="D681" i="5"/>
  <c r="D106" i="5"/>
  <c r="D257" i="5"/>
  <c r="D216" i="5"/>
  <c r="D292" i="5"/>
  <c r="D490" i="5"/>
  <c r="D366" i="5"/>
  <c r="D40" i="5"/>
  <c r="D329" i="5"/>
  <c r="D349" i="5"/>
  <c r="D34" i="5"/>
  <c r="D174" i="5"/>
  <c r="D645" i="5"/>
  <c r="D298" i="5"/>
  <c r="D218" i="5"/>
  <c r="D657" i="5"/>
  <c r="D77" i="5"/>
  <c r="D214" i="5"/>
  <c r="D479" i="5"/>
  <c r="D154" i="5"/>
  <c r="D281" i="5"/>
  <c r="D563" i="5"/>
  <c r="D595" i="5"/>
  <c r="D103" i="5"/>
  <c r="D317" i="5"/>
  <c r="D660" i="5"/>
  <c r="D600" i="5"/>
  <c r="D305" i="5"/>
  <c r="D395" i="5"/>
  <c r="D572" i="5"/>
  <c r="D636" i="5"/>
  <c r="D68" i="5"/>
  <c r="D448" i="5"/>
  <c r="D415" i="5"/>
  <c r="D652" i="5"/>
  <c r="D521" i="5"/>
  <c r="D368" i="5"/>
  <c r="D424" i="5"/>
  <c r="D138" i="5"/>
  <c r="D231" i="5"/>
  <c r="D594" i="5"/>
  <c r="D339" i="5"/>
  <c r="D384" i="5"/>
  <c r="D518" i="5"/>
  <c r="D190" i="5"/>
  <c r="D472" i="5"/>
  <c r="D488" i="5"/>
  <c r="D260" i="5"/>
  <c r="D551" i="5"/>
  <c r="D530" i="5"/>
  <c r="D638" i="5"/>
  <c r="D158" i="5"/>
  <c r="D271" i="5"/>
  <c r="D197" i="5"/>
  <c r="D196" i="5"/>
  <c r="D5" i="5"/>
  <c r="C11" i="4"/>
  <c r="B11" i="4"/>
  <c r="D10" i="4"/>
  <c r="D9" i="4"/>
  <c r="D8" i="4"/>
  <c r="D7" i="4"/>
  <c r="D6" i="4"/>
  <c r="D5" i="4"/>
  <c r="D4" i="4"/>
  <c r="D3" i="4"/>
  <c r="D2" i="4"/>
  <c r="D11" i="4" l="1"/>
  <c r="I6" i="8"/>
  <c r="H6" i="8"/>
</calcChain>
</file>

<file path=xl/sharedStrings.xml><?xml version="1.0" encoding="utf-8"?>
<sst xmlns="http://schemas.openxmlformats.org/spreadsheetml/2006/main" count="1666" uniqueCount="516">
  <si>
    <t>Product</t>
  </si>
  <si>
    <t>Units Sold</t>
  </si>
  <si>
    <t>Unit Price</t>
  </si>
  <si>
    <t>Total</t>
  </si>
  <si>
    <t>344D695</t>
  </si>
  <si>
    <t>813T930</t>
  </si>
  <si>
    <t>342G756</t>
  </si>
  <si>
    <t>265T775</t>
  </si>
  <si>
    <t>409S799</t>
  </si>
  <si>
    <t>609D942</t>
  </si>
  <si>
    <t>394T870</t>
  </si>
  <si>
    <t>764S890</t>
  </si>
  <si>
    <t>364H780</t>
  </si>
  <si>
    <t>Order Date</t>
  </si>
  <si>
    <t>Ship Date</t>
  </si>
  <si>
    <t>Average Elapsed time
between order and shipping</t>
  </si>
  <si>
    <t>SS#</t>
  </si>
  <si>
    <t>Hire Date</t>
  </si>
  <si>
    <t>Years</t>
  </si>
  <si>
    <t>Benefits</t>
  </si>
  <si>
    <t>Job Rating</t>
  </si>
  <si>
    <t>Salary</t>
  </si>
  <si>
    <t>ADC</t>
  </si>
  <si>
    <t>Jan</t>
  </si>
  <si>
    <t>DMR</t>
  </si>
  <si>
    <t>Feb</t>
  </si>
  <si>
    <t>M</t>
  </si>
  <si>
    <t>Mar</t>
  </si>
  <si>
    <t>DM</t>
  </si>
  <si>
    <t>Apr</t>
  </si>
  <si>
    <t>May</t>
  </si>
  <si>
    <t>Admin Training</t>
  </si>
  <si>
    <t>Jun</t>
  </si>
  <si>
    <t>R</t>
  </si>
  <si>
    <t>D</t>
  </si>
  <si>
    <t>Audit Services</t>
  </si>
  <si>
    <t>Compliance</t>
  </si>
  <si>
    <t>Engineering/Maintenance</t>
  </si>
  <si>
    <t>Engineering/Operations</t>
  </si>
  <si>
    <t>Environmental Health/Safety</t>
  </si>
  <si>
    <t>Executive Education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</si>
  <si>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</si>
  <si>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</si>
  <si>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</si>
  <si>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</si>
  <si>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</si>
  <si>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</si>
  <si>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</si>
  <si>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</si>
  <si>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</si>
  <si>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</si>
  <si>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Professional Training Group</t>
  </si>
  <si>
    <t>Project &amp; Contract Services</t>
  </si>
  <si>
    <t>Quality Assurance</t>
  </si>
  <si>
    <t>Quality Control</t>
  </si>
  <si>
    <t>Research Center</t>
  </si>
  <si>
    <t>Research/Development</t>
  </si>
  <si>
    <t>SS #</t>
  </si>
  <si>
    <t>Employee Name</t>
  </si>
  <si>
    <t>Acosta, Robert</t>
  </si>
  <si>
    <t>Adkins, Michael</t>
  </si>
  <si>
    <t>Aguilar, Kevin</t>
  </si>
  <si>
    <t>Alexander, Charles</t>
  </si>
  <si>
    <t>Allison, Timothy</t>
  </si>
  <si>
    <t>Alvarado, Sonia</t>
  </si>
  <si>
    <t>Alvarez, Steven</t>
  </si>
  <si>
    <t>Anderson, Teason</t>
  </si>
  <si>
    <t>Andrews, Diane</t>
  </si>
  <si>
    <t>Anthony, Robert</t>
  </si>
  <si>
    <t>Armstrong, David</t>
  </si>
  <si>
    <t>Arnold, Cole</t>
  </si>
  <si>
    <t>Ashley, Michael</t>
  </si>
  <si>
    <t>Atkinson, Danielle</t>
  </si>
  <si>
    <t>Ayala, Polly</t>
  </si>
  <si>
    <t>Bailey, Victor</t>
  </si>
  <si>
    <t>Baker, Barney</t>
  </si>
  <si>
    <t>Ball, Kirk</t>
  </si>
  <si>
    <t>Banks, Ryan</t>
  </si>
  <si>
    <t>Barker, Heidi</t>
  </si>
  <si>
    <t>Barron, Michael</t>
  </si>
  <si>
    <t>Barton, Barry</t>
  </si>
  <si>
    <t>Bauer, Chris</t>
  </si>
  <si>
    <t>Baxter, Teresa</t>
  </si>
  <si>
    <t>Beck, Craig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</si>
  <si>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</si>
  <si>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</si>
  <si>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</si>
  <si>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</si>
  <si>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</si>
  <si>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</si>
  <si>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</si>
  <si>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Blankenship, Roger</t>
  </si>
  <si>
    <t>Blevins, Carey</t>
  </si>
  <si>
    <t>Bond, John</t>
  </si>
  <si>
    <t>Bowen, Kes</t>
  </si>
  <si>
    <t>Bowers, Tammy</t>
  </si>
  <si>
    <t>Bradford, Raymond</t>
  </si>
  <si>
    <t>Bradley, David</t>
  </si>
  <si>
    <t>Bradshaw, Sheryl</t>
  </si>
  <si>
    <t>Branch, Brady</t>
  </si>
  <si>
    <t>Bridges, Jeff</t>
  </si>
  <si>
    <t>Brown, Donald</t>
  </si>
  <si>
    <t>Bruce, Kevin</t>
  </si>
  <si>
    <t>Bryan, Thomas</t>
  </si>
  <si>
    <t>Bryant, Douglas</t>
  </si>
  <si>
    <t>Buchanan, Dennis</t>
  </si>
  <si>
    <t>Burnett, Kevin</t>
  </si>
  <si>
    <t>Bush, Rena</t>
  </si>
  <si>
    <t>Byrd, Asa</t>
  </si>
  <si>
    <t>Cain, Lon</t>
  </si>
  <si>
    <t>Calhoun, Dac Vinh</t>
  </si>
  <si>
    <t>Callahan, Marilyn</t>
  </si>
  <si>
    <t>Campos, Richard</t>
  </si>
  <si>
    <t>Carpenter, Ronald</t>
  </si>
  <si>
    <t>Carr, Susan</t>
  </si>
  <si>
    <t>Carrillo, Robert</t>
  </si>
  <si>
    <t>Carroll, Lesa</t>
  </si>
  <si>
    <t>Carson, Anthony</t>
  </si>
  <si>
    <t>Casey, Ronald</t>
  </si>
  <si>
    <t>Castillo, Sheri</t>
  </si>
  <si>
    <t>Castro, Christopher</t>
  </si>
  <si>
    <t>Chambers, Richard</t>
  </si>
  <si>
    <t>Chandler, Diane</t>
  </si>
  <si>
    <t>Chapman, Jessica</t>
  </si>
  <si>
    <t>Charles, Jeffrey</t>
  </si>
  <si>
    <t>Chase, Troy</t>
  </si>
  <si>
    <t>Chavez, Thomas</t>
  </si>
  <si>
    <t>Chen, Jaime</t>
  </si>
  <si>
    <t>Christensen, Jill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</si>
  <si>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</si>
  <si>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</si>
  <si>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</si>
  <si>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</si>
  <si>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</si>
  <si>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</si>
  <si>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</si>
  <si>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</si>
  <si>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</si>
  <si>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</si>
  <si>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</si>
  <si>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</si>
  <si>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</si>
  <si>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</si>
  <si>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Conway, Brett</t>
  </si>
  <si>
    <t>Copeland, Roger</t>
  </si>
  <si>
    <t>Cox, Stephanie</t>
  </si>
  <si>
    <t>Cross, Marc</t>
  </si>
  <si>
    <t>Curry, Hunyen</t>
  </si>
  <si>
    <t>Curtis, Patrick</t>
  </si>
  <si>
    <t>Daniels, Janet</t>
  </si>
  <si>
    <t>Davenport, Troy</t>
  </si>
  <si>
    <t>Davidson, Jaime</t>
  </si>
  <si>
    <t>Davis, Tonya</t>
  </si>
  <si>
    <t>Decker, Amy</t>
  </si>
  <si>
    <t>Dennis, Paul</t>
  </si>
  <si>
    <t>Dickerson, Lincoln</t>
  </si>
  <si>
    <t>Dominguez, Duane</t>
  </si>
  <si>
    <t>Dorsey, Matthew</t>
  </si>
  <si>
    <t>Douglas, Kenneth</t>
  </si>
  <si>
    <t>Dunn, Matthew</t>
  </si>
  <si>
    <t>Durham, Troy</t>
  </si>
  <si>
    <t>Dyer, Carrie</t>
  </si>
  <si>
    <t>Elliott, Anthony</t>
  </si>
  <si>
    <t>Ellison, Melyssa</t>
  </si>
  <si>
    <t>Espinoza, Derrell</t>
  </si>
  <si>
    <t>Estes, Mary</t>
  </si>
  <si>
    <t>Farmer, Suzanne</t>
  </si>
  <si>
    <t>Farrell, Laura</t>
  </si>
  <si>
    <t>Ferguson, John</t>
  </si>
  <si>
    <t>Fernandez, Marie</t>
  </si>
  <si>
    <t>Fields, Cathy</t>
  </si>
  <si>
    <t>Finley, James</t>
  </si>
  <si>
    <t>Fischer, David</t>
  </si>
  <si>
    <t>Floyd, Eric</t>
  </si>
  <si>
    <t>Flynn, Melissa</t>
  </si>
  <si>
    <t>Ford, Matt</t>
  </si>
  <si>
    <t>Fowler, John</t>
  </si>
  <si>
    <t>Fox, Ellen</t>
  </si>
  <si>
    <t>Francis, Todd</t>
  </si>
  <si>
    <t>Franklin, Alicia</t>
  </si>
  <si>
    <t>Frazier, Chris</t>
  </si>
  <si>
    <t>Freeman, Dennis</t>
  </si>
  <si>
    <t>French, Robert</t>
  </si>
  <si>
    <t>Frost, Adam</t>
  </si>
  <si>
    <t>Fuller, Brenda</t>
  </si>
  <si>
    <t>Gallegos, Rick</t>
  </si>
  <si>
    <t>Garner, Terry</t>
  </si>
  <si>
    <t>Garrett, Christopher</t>
  </si>
  <si>
    <t>Garza, Anthony</t>
  </si>
  <si>
    <t>Gates, Anne</t>
  </si>
  <si>
    <t>Gentry, John</t>
  </si>
  <si>
    <t>George, Jessica</t>
  </si>
  <si>
    <t>Gilbert, Shannon</t>
  </si>
  <si>
    <t>Giles, Kathleen</t>
  </si>
  <si>
    <t>Gill, Douglas</t>
  </si>
  <si>
    <t>Glass, John</t>
  </si>
  <si>
    <t>Glover, Eugene</t>
  </si>
  <si>
    <t>Gomez, Ed</t>
  </si>
  <si>
    <t>Gonzalez, David</t>
  </si>
  <si>
    <t>Goodwin, April</t>
  </si>
  <si>
    <t>Gordon, Diane</t>
  </si>
  <si>
    <t>Graves, Michael</t>
  </si>
  <si>
    <t>Gray, Mark</t>
  </si>
  <si>
    <t>Griffith, Michelle</t>
  </si>
  <si>
    <t>Grimes, Jeffrey</t>
  </si>
  <si>
    <t>Gross, Davin</t>
  </si>
  <si>
    <t>Guerra, Karen</t>
  </si>
  <si>
    <t>Guzman, Don</t>
  </si>
  <si>
    <t>Hale, Deon</t>
  </si>
  <si>
    <t>Hall, Jenny</t>
  </si>
  <si>
    <t>Hancock, Allen</t>
  </si>
  <si>
    <t>Hansen, Andrew</t>
  </si>
  <si>
    <t>Harding, Erin</t>
  </si>
  <si>
    <t>Hardy, Svetlana</t>
  </si>
  <si>
    <t>Harmon, Paul</t>
  </si>
  <si>
    <t>Harper, Cynthia</t>
  </si>
  <si>
    <t>Harris, Brian</t>
  </si>
  <si>
    <t>Harrison, Jonathan</t>
  </si>
  <si>
    <t>Hatfield, Carl</t>
  </si>
  <si>
    <t>Haynes, Ernest</t>
  </si>
  <si>
    <t>Heath, Deborah</t>
  </si>
  <si>
    <t>Henderson, Anthony</t>
  </si>
  <si>
    <t>Henson, Debra</t>
  </si>
  <si>
    <t>Hernandez, Glenn</t>
  </si>
  <si>
    <t>Herring, Joanna</t>
  </si>
  <si>
    <t>Hess, Brian</t>
  </si>
  <si>
    <t>Hickman, John</t>
  </si>
  <si>
    <t>Hicks, Monica</t>
  </si>
  <si>
    <t>Higgins, Angela</t>
  </si>
  <si>
    <t>Hodge, Craig</t>
  </si>
  <si>
    <t>Hodges, Lisa</t>
  </si>
  <si>
    <t>Hoffman, Brian D</t>
  </si>
  <si>
    <t>Holland, Donald</t>
  </si>
  <si>
    <t>Holt, Robert</t>
  </si>
  <si>
    <t>Hood, Renee</t>
  </si>
  <si>
    <t>Hoover, Evangeline</t>
  </si>
  <si>
    <t>Hopkins, Lisa</t>
  </si>
  <si>
    <t>Horton, Cleatis</t>
  </si>
  <si>
    <t>House, Paul</t>
  </si>
  <si>
    <t>Houston, Mark</t>
  </si>
  <si>
    <t>Hubbard, Sandra</t>
  </si>
  <si>
    <t>Hudson, Lorna</t>
  </si>
  <si>
    <t>Huff, Erik</t>
  </si>
  <si>
    <t>Hughes, Kevin</t>
  </si>
  <si>
    <t>Hunt, Norman</t>
  </si>
  <si>
    <t>Hunter, Lisa</t>
  </si>
  <si>
    <t>Hutchinson, Robin</t>
  </si>
  <si>
    <t>Jackson, Eric</t>
  </si>
  <si>
    <t>Jacobs, Florianne</t>
  </si>
  <si>
    <t>Jennings, Gary</t>
  </si>
  <si>
    <t>Jimenez, Dominic</t>
  </si>
  <si>
    <t>Johnson, Mary Jo</t>
  </si>
  <si>
    <t>Johnston, Daniel</t>
  </si>
  <si>
    <t>Jones, John</t>
  </si>
  <si>
    <t>Jordan, Mark</t>
  </si>
  <si>
    <t>Kelly, Icelita</t>
  </si>
  <si>
    <t>Kemp, Holly</t>
  </si>
  <si>
    <t>Kerr, Mihaela</t>
  </si>
  <si>
    <t>King, Taslim</t>
  </si>
  <si>
    <t>Kirk, Chris</t>
  </si>
  <si>
    <t>Knox, Lori</t>
  </si>
  <si>
    <t>Lamb, John</t>
  </si>
  <si>
    <t>Lambert, Jody</t>
  </si>
  <si>
    <t>Landry, Linda</t>
  </si>
  <si>
    <t>Lawson, Erin</t>
  </si>
  <si>
    <t>Leach, Jingwen</t>
  </si>
  <si>
    <t>Lee, Charles</t>
  </si>
  <si>
    <t>Leon, Emily</t>
  </si>
  <si>
    <t>Lewis, Frederick</t>
  </si>
  <si>
    <t>Lindsey, Deborah</t>
  </si>
  <si>
    <t>Livingston, Lynette</t>
  </si>
  <si>
    <t>Logan, Karen</t>
  </si>
  <si>
    <t>Long, Gary</t>
  </si>
  <si>
    <t>Lopez, Stephen</t>
  </si>
  <si>
    <t>Love, Danny</t>
  </si>
  <si>
    <t>Luna, Rodney</t>
  </si>
  <si>
    <t>Lyons, Brian</t>
  </si>
  <si>
    <t>Maldonado, Robert</t>
  </si>
  <si>
    <t>Malone, Daniel</t>
  </si>
  <si>
    <t>Mann, Lowell</t>
  </si>
  <si>
    <t>Marks, LaReina</t>
  </si>
  <si>
    <t>Marquez, Thomas</t>
  </si>
  <si>
    <t>Marshall, Anita</t>
  </si>
  <si>
    <t>Martinez, Kathleen</t>
  </si>
  <si>
    <t>Mathews, Marcia</t>
  </si>
  <si>
    <t>May, Steve</t>
  </si>
  <si>
    <t>McCall, Keith</t>
  </si>
  <si>
    <t>McCarthy, Ryan</t>
  </si>
  <si>
    <t>McClain, Steven</t>
  </si>
  <si>
    <t>McCullough, Scott</t>
  </si>
  <si>
    <t>McDowell, Scott</t>
  </si>
  <si>
    <t>McGee, Carol</t>
  </si>
  <si>
    <t>McIntosh, Jeremy</t>
  </si>
  <si>
    <t>McKenzie, Michelle</t>
  </si>
  <si>
    <t>McKinney, Christofer</t>
  </si>
  <si>
    <t>McLean, Richard</t>
  </si>
  <si>
    <t>Melton, Scott</t>
  </si>
  <si>
    <t>Mendez, Max</t>
  </si>
  <si>
    <t>Meyer, Charles</t>
  </si>
  <si>
    <t>Middleton, Jen</t>
  </si>
  <si>
    <t>Miles, Kenneth</t>
  </si>
  <si>
    <t>Miranda, Elena</t>
  </si>
  <si>
    <t>Molina, Michael</t>
  </si>
  <si>
    <t>Monroe, Justin</t>
  </si>
  <si>
    <t>Moody, Matthew</t>
  </si>
  <si>
    <t>Moore, Robert</t>
  </si>
  <si>
    <t>Morales, Linda</t>
  </si>
  <si>
    <t>Moran, Carol</t>
  </si>
  <si>
    <t>Morgan, Patricia</t>
  </si>
  <si>
    <t>Morrison, Julie</t>
  </si>
  <si>
    <t>Morse, Michael</t>
  </si>
  <si>
    <t>Morton, Brian</t>
  </si>
  <si>
    <t>Mullins, Angela</t>
  </si>
  <si>
    <t>Munoz, Michael</t>
  </si>
  <si>
    <t>Myers, Marc</t>
  </si>
  <si>
    <t>Nash, Mark</t>
  </si>
  <si>
    <t>Newman, Aria</t>
  </si>
  <si>
    <t>Nguyen, Dennis</t>
  </si>
  <si>
    <t>Nixon, Randy</t>
  </si>
  <si>
    <t>Noble, Michael</t>
  </si>
  <si>
    <t>Norman, Rita</t>
  </si>
  <si>
    <t>Norton, Bruce</t>
  </si>
  <si>
    <t>Nunez, Benning</t>
  </si>
  <si>
    <t>Oliver, Francisco</t>
  </si>
  <si>
    <t>Olsen, Ewan</t>
  </si>
  <si>
    <t>Olson, Melanie</t>
  </si>
  <si>
    <t>Oneal, William</t>
  </si>
  <si>
    <t>Orr, Jennifer</t>
  </si>
  <si>
    <t>Ortega, Jeffrey</t>
  </si>
  <si>
    <t>Osborne, Bill</t>
  </si>
  <si>
    <t>Owens, Dwight</t>
  </si>
  <si>
    <t>Pacheco, Therese</t>
  </si>
  <si>
    <t>Page, Lisa</t>
  </si>
  <si>
    <t>Parker, Carl</t>
  </si>
  <si>
    <t>Parks, Christopher</t>
  </si>
  <si>
    <t>Parrish, Debra</t>
  </si>
  <si>
    <t>Parsons, Phillip</t>
  </si>
  <si>
    <t>Patterson, Robert</t>
  </si>
  <si>
    <t>Payne, Vicky</t>
  </si>
  <si>
    <t>Pearson, Cassy</t>
  </si>
  <si>
    <t>Pennington, Gary</t>
  </si>
  <si>
    <t>Peterson, Shaun</t>
  </si>
  <si>
    <t>Phillips, Liesl</t>
  </si>
  <si>
    <t>Pope, Duane</t>
  </si>
  <si>
    <t>Powers, Tia</t>
  </si>
  <si>
    <t>Pratt, Erik</t>
  </si>
  <si>
    <t>Preston, Chris</t>
  </si>
  <si>
    <t>Price, Diana</t>
  </si>
  <si>
    <t>Pruitt, Randy</t>
  </si>
  <si>
    <t>Quinn, Cinnamon</t>
  </si>
  <si>
    <t>Ramos, Jan</t>
  </si>
  <si>
    <t>Ramsey, Nathaniel</t>
  </si>
  <si>
    <t>Randall, Yvonne</t>
  </si>
  <si>
    <t>Reeves, Greg</t>
  </si>
  <si>
    <t>Reid, Elizabeth</t>
  </si>
  <si>
    <t>Reynolds, Barbara</t>
  </si>
  <si>
    <t>Rhodes, Brenda</t>
  </si>
  <si>
    <t>Rich, Brent</t>
  </si>
  <si>
    <t>Richard, Karen</t>
  </si>
  <si>
    <t>Richards, Richard</t>
  </si>
  <si>
    <t>Richardson, Deborah</t>
  </si>
  <si>
    <t>Riley, David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</si>
  <si>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</si>
  <si>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</si>
  <si>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</si>
  <si>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</si>
  <si>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</si>
  <si>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</si>
  <si>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Rodriguez, Scott</t>
  </si>
  <si>
    <t>Rodriquez, Denise</t>
  </si>
  <si>
    <t>Rojas, Charles</t>
  </si>
  <si>
    <t>Romero, Randy</t>
  </si>
  <si>
    <t>Rose, Mark</t>
  </si>
  <si>
    <t>Rowe, Ken</t>
  </si>
  <si>
    <t>Roy, Margarita</t>
  </si>
  <si>
    <t>Ruiz, Randall</t>
  </si>
  <si>
    <t>Rush, Lateef</t>
  </si>
  <si>
    <t>Salazar, Ruben</t>
  </si>
  <si>
    <t>Sanchez, Greg</t>
  </si>
  <si>
    <t>Sandoval, James</t>
  </si>
  <si>
    <t>Saunders, Corey</t>
  </si>
  <si>
    <t>Sawyer, Catherine</t>
  </si>
  <si>
    <t>Schneider, Gay</t>
  </si>
  <si>
    <t>Schultz, Norman</t>
  </si>
  <si>
    <t>Scott, Todd</t>
  </si>
  <si>
    <t>Sellers, William</t>
  </si>
  <si>
    <t>Sexton, John</t>
  </si>
  <si>
    <t>Shaffer, Nobuko</t>
  </si>
  <si>
    <t>Shannon, Kevin</t>
  </si>
  <si>
    <t>Shelton, Donna</t>
  </si>
  <si>
    <t>Shepherd, Annie</t>
  </si>
  <si>
    <t>Sheppard, Curtis</t>
  </si>
  <si>
    <t>Sherman, Karin</t>
  </si>
  <si>
    <t>Short, Timothy</t>
  </si>
  <si>
    <t>Simmons, Robert</t>
  </si>
  <si>
    <t>Simon, Sheila</t>
  </si>
  <si>
    <t>Simpson, Jimmy</t>
  </si>
  <si>
    <t>Singleton, David</t>
  </si>
  <si>
    <t>Solis, Daniel</t>
  </si>
  <si>
    <t>Soto, Christopher</t>
  </si>
  <si>
    <t>Spencer, Boyd</t>
  </si>
  <si>
    <t>Stafford, Rhonda</t>
  </si>
  <si>
    <t>Stevenson, Michael</t>
  </si>
  <si>
    <t>Strong, Lisa</t>
  </si>
  <si>
    <t>Sullivan, Robert</t>
  </si>
  <si>
    <t>Sweeney, Barbara</t>
  </si>
  <si>
    <t>Tate, Zachary</t>
  </si>
  <si>
    <t>Taylor, Hector</t>
  </si>
  <si>
    <t>Thomas, Shannon</t>
  </si>
  <si>
    <t>Thompson, John</t>
  </si>
  <si>
    <t>Thornton, Charles</t>
  </si>
  <si>
    <t>Todd, Steven</t>
  </si>
  <si>
    <t>Torres, Bruce</t>
  </si>
  <si>
    <t>Tran, Chad</t>
  </si>
  <si>
    <t>Trevino, Gary</t>
  </si>
  <si>
    <t>Trujillo, Shawn</t>
  </si>
  <si>
    <t>Tucker, James</t>
  </si>
  <si>
    <t>Valdez, Ann</t>
  </si>
  <si>
    <t>Vasquez, Michael</t>
  </si>
  <si>
    <t>Vaughn, Harlon</t>
  </si>
  <si>
    <t>Vega, Alexandra</t>
  </si>
  <si>
    <t>Velez, Letitia</t>
  </si>
  <si>
    <t>Walker, Mike</t>
  </si>
  <si>
    <t>Walsh, Matthew</t>
  </si>
  <si>
    <t>Walton, Benjamin</t>
  </si>
  <si>
    <t>Ward, Williams</t>
  </si>
  <si>
    <t>Warner, Stephen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</si>
  <si>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</si>
  <si>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</si>
  <si>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</si>
  <si>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</si>
  <si>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</si>
  <si>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</si>
  <si>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</si>
  <si>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</si>
  <si>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</si>
  <si>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Weiss, Marisa</t>
  </si>
  <si>
    <t>Wheeler, Meegan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</si>
  <si>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</si>
  <si>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</si>
  <si>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</si>
  <si>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</si>
  <si>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</si>
  <si>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</si>
  <si>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William, William</t>
  </si>
  <si>
    <t>Williams, Scott</t>
  </si>
  <si>
    <t>Williamson, Sumedha</t>
  </si>
  <si>
    <t>Willis, Ralph</t>
  </si>
  <si>
    <t>Wilson, Jessica</t>
  </si>
  <si>
    <t>Wong, Dennis</t>
  </si>
  <si>
    <t>Wood, Larry</t>
  </si>
  <si>
    <t>Woodard, Charles</t>
  </si>
  <si>
    <t>Woods, Marcus</t>
  </si>
  <si>
    <t>Woodward, Timothy</t>
  </si>
  <si>
    <t>York, Steven</t>
  </si>
  <si>
    <t>Young, Benjamin</t>
  </si>
  <si>
    <t>Zimmerman, Julian</t>
  </si>
  <si>
    <t>Excellerated Learning</t>
  </si>
  <si>
    <t>Average</t>
  </si>
  <si>
    <t>Sales</t>
  </si>
  <si>
    <t>Expenses</t>
  </si>
  <si>
    <t>Profits</t>
  </si>
  <si>
    <t>Trend</t>
  </si>
  <si>
    <t>Growth</t>
  </si>
  <si>
    <t>California</t>
  </si>
  <si>
    <t>Ohio</t>
  </si>
  <si>
    <t>Kentucky</t>
  </si>
  <si>
    <t>Colorado</t>
  </si>
  <si>
    <t>AdminTraining</t>
  </si>
  <si>
    <t>Last</t>
  </si>
  <si>
    <t>First</t>
  </si>
  <si>
    <t>Name</t>
  </si>
  <si>
    <t>ID#</t>
  </si>
  <si>
    <t>Randall</t>
  </si>
  <si>
    <t>Noble</t>
  </si>
  <si>
    <t>Michael</t>
  </si>
  <si>
    <t>Hoover</t>
  </si>
  <si>
    <t>Evangeline</t>
  </si>
  <si>
    <t>Wilkerson</t>
  </si>
  <si>
    <t>Claudia</t>
  </si>
  <si>
    <t>Bailey</t>
  </si>
  <si>
    <t>Victor</t>
  </si>
  <si>
    <t>McGee</t>
  </si>
  <si>
    <t>Carol</t>
  </si>
  <si>
    <t>Hardy</t>
  </si>
  <si>
    <t>Svetlana</t>
  </si>
  <si>
    <t>Hood</t>
  </si>
  <si>
    <t>Anderson</t>
  </si>
  <si>
    <t>Carr</t>
  </si>
  <si>
    <t>Susan</t>
  </si>
  <si>
    <t>Malone</t>
  </si>
  <si>
    <t>Daniel</t>
  </si>
  <si>
    <t>Bishop</t>
  </si>
  <si>
    <t>Juan</t>
  </si>
  <si>
    <t>Vega</t>
  </si>
  <si>
    <t>Alexandra</t>
  </si>
  <si>
    <t>Frost</t>
  </si>
  <si>
    <t>Adam</t>
  </si>
  <si>
    <t>Rodriguez</t>
  </si>
  <si>
    <t>Scott</t>
  </si>
  <si>
    <t>Sullivan</t>
  </si>
  <si>
    <t>Robert</t>
  </si>
  <si>
    <t>Anderson, Mason</t>
  </si>
  <si>
    <t>Mason</t>
  </si>
  <si>
    <t>ID</t>
  </si>
  <si>
    <t>Yvonne</t>
  </si>
  <si>
    <t>Renee</t>
  </si>
  <si>
    <t>Dept</t>
  </si>
  <si>
    <t>Frequency</t>
  </si>
  <si>
    <t>(2016- Thousands of Dollars)</t>
  </si>
  <si>
    <t>New Salary</t>
  </si>
  <si>
    <t>Min</t>
  </si>
  <si>
    <t>Max</t>
  </si>
  <si>
    <t>Lopez, Maria</t>
  </si>
  <si>
    <t>Lopez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</si>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</sst>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m/d/yy;@"/>
    <numFmt numFmtId="167" formatCode="mmm\-yyyy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22"/>
      <color indexed="1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3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1"/>
    <xf numFmtId="0" fontId="4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7" fillId="0" borderId="0" xfId="1" applyFont="1"/>
    <xf numFmtId="0" fontId="7" fillId="0" borderId="0" xfId="1" applyFont="1" applyAlignment="1">
      <alignment horizontal="right"/>
    </xf>
    <xf numFmtId="0" fontId="8" fillId="0" borderId="0" xfId="1" applyFont="1" applyProtection="1"/>
    <xf numFmtId="0" fontId="8" fillId="0" borderId="0" xfId="1" applyFont="1"/>
    <xf numFmtId="164" fontId="8" fillId="0" borderId="0" xfId="2" applyNumberFormat="1" applyFont="1"/>
    <xf numFmtId="164" fontId="8" fillId="0" borderId="0" xfId="8" applyNumberFormat="1" applyFont="1"/>
    <xf numFmtId="0" fontId="7" fillId="0" borderId="0" xfId="1" applyFont="1" applyFill="1"/>
    <xf numFmtId="43" fontId="8" fillId="0" borderId="0" xfId="2" applyFont="1" applyFill="1" applyBorder="1"/>
    <xf numFmtId="164" fontId="8" fillId="0" borderId="0" xfId="2" applyNumberFormat="1" applyFont="1" applyFill="1" applyAlignment="1" applyProtection="1">
      <alignment horizontal="left" indent="1"/>
    </xf>
    <xf numFmtId="0" fontId="8" fillId="0" borderId="0" xfId="1" applyNumberFormat="1" applyFont="1" applyFill="1" applyBorder="1" applyAlignment="1"/>
    <xf numFmtId="0" fontId="1" fillId="0" borderId="0" xfId="0" applyFont="1"/>
    <xf numFmtId="0" fontId="8" fillId="0" borderId="0" xfId="1" applyNumberFormat="1" applyFont="1" applyAlignment="1">
      <alignment horizontal="right"/>
    </xf>
    <xf numFmtId="0" fontId="8" fillId="0" borderId="0" xfId="1" applyNumberFormat="1" applyFont="1" applyProtection="1"/>
    <xf numFmtId="0" fontId="7" fillId="3" borderId="2" xfId="1" applyFont="1" applyFill="1" applyBorder="1" applyAlignment="1" applyProtection="1">
      <alignment horizontal="left" vertical="top"/>
    </xf>
    <xf numFmtId="0" fontId="7" fillId="3" borderId="2" xfId="1" applyFont="1" applyFill="1" applyBorder="1" applyAlignment="1" applyProtection="1">
      <alignment horizontal="center" vertical="top"/>
    </xf>
    <xf numFmtId="0" fontId="7" fillId="3" borderId="2" xfId="1" applyFont="1" applyFill="1" applyBorder="1" applyAlignment="1" applyProtection="1">
      <alignment horizontal="right" vertical="top"/>
    </xf>
    <xf numFmtId="164" fontId="7" fillId="3" borderId="2" xfId="8" applyNumberFormat="1" applyFont="1" applyFill="1" applyBorder="1" applyAlignment="1" applyProtection="1">
      <alignment horizontal="right" vertical="top"/>
    </xf>
    <xf numFmtId="43" fontId="8" fillId="0" borderId="0" xfId="2" applyFont="1"/>
    <xf numFmtId="43" fontId="8" fillId="0" borderId="0" xfId="1" applyNumberFormat="1" applyFont="1"/>
    <xf numFmtId="14" fontId="8" fillId="0" borderId="0" xfId="1" applyNumberFormat="1" applyFont="1"/>
    <xf numFmtId="0" fontId="8" fillId="0" borderId="0" xfId="1" applyNumberFormat="1" applyFont="1"/>
    <xf numFmtId="166" fontId="8" fillId="0" borderId="0" xfId="1" applyNumberFormat="1" applyFont="1" applyProtection="1"/>
    <xf numFmtId="164" fontId="8" fillId="0" borderId="0" xfId="2" applyNumberFormat="1" applyFont="1" applyFill="1" applyProtection="1"/>
    <xf numFmtId="164" fontId="8" fillId="0" borderId="0" xfId="8" applyNumberFormat="1" applyFont="1" applyFill="1" applyAlignment="1" applyProtection="1">
      <alignment horizontal="left" indent="1"/>
    </xf>
    <xf numFmtId="0" fontId="8" fillId="0" borderId="0" xfId="1" applyFont="1" applyAlignment="1" applyProtection="1">
      <alignment horizontal="center"/>
    </xf>
    <xf numFmtId="43" fontId="8" fillId="0" borderId="0" xfId="8" applyFont="1"/>
    <xf numFmtId="0" fontId="7" fillId="0" borderId="0" xfId="1" applyNumberFormat="1" applyFont="1"/>
    <xf numFmtId="49" fontId="8" fillId="0" borderId="0" xfId="1" applyNumberFormat="1" applyFont="1"/>
    <xf numFmtId="0" fontId="8" fillId="0" borderId="0" xfId="1" applyFont="1" applyAlignment="1">
      <alignment horizontal="right"/>
    </xf>
    <xf numFmtId="166" fontId="8" fillId="0" borderId="0" xfId="2" applyNumberFormat="1" applyFont="1" applyProtection="1"/>
    <xf numFmtId="167" fontId="8" fillId="0" borderId="0" xfId="4" applyNumberFormat="1" applyFont="1"/>
    <xf numFmtId="0" fontId="8" fillId="0" borderId="0" xfId="4" applyFont="1"/>
    <xf numFmtId="17" fontId="8" fillId="0" borderId="0" xfId="4" applyNumberFormat="1" applyFont="1"/>
    <xf numFmtId="0" fontId="8" fillId="0" borderId="0" xfId="1" applyFont="1" applyFill="1"/>
    <xf numFmtId="43" fontId="8" fillId="0" borderId="0" xfId="2" applyFont="1" applyFill="1"/>
    <xf numFmtId="0" fontId="8" fillId="0" borderId="0" xfId="1" applyFont="1" applyFill="1" applyBorder="1" applyAlignment="1">
      <alignment horizontal="right"/>
    </xf>
    <xf numFmtId="0" fontId="8" fillId="0" borderId="0" xfId="1" applyFont="1" applyBorder="1"/>
    <xf numFmtId="0" fontId="7" fillId="0" borderId="0" xfId="1" applyFont="1" applyFill="1" applyBorder="1" applyAlignment="1">
      <alignment horizontal="center"/>
    </xf>
    <xf numFmtId="0" fontId="7" fillId="0" borderId="0" xfId="1" applyFont="1" applyBorder="1"/>
    <xf numFmtId="44" fontId="8" fillId="0" borderId="0" xfId="6" applyFont="1" applyFill="1" applyBorder="1"/>
    <xf numFmtId="14" fontId="8" fillId="0" borderId="0" xfId="1" applyNumberFormat="1" applyFont="1" applyFill="1"/>
    <xf numFmtId="18" fontId="8" fillId="0" borderId="0" xfId="1" applyNumberFormat="1" applyFont="1" applyFill="1"/>
    <xf numFmtId="44" fontId="8" fillId="0" borderId="0" xfId="9" applyFont="1"/>
    <xf numFmtId="164" fontId="7" fillId="3" borderId="2" xfId="2" applyNumberFormat="1" applyFont="1" applyFill="1" applyBorder="1" applyAlignment="1" applyProtection="1">
      <alignment horizontal="center" vertical="top"/>
    </xf>
    <xf numFmtId="164" fontId="7" fillId="3" borderId="2" xfId="2" applyNumberFormat="1" applyFont="1" applyFill="1" applyBorder="1" applyAlignment="1" applyProtection="1">
      <alignment horizontal="right" vertical="top"/>
    </xf>
    <xf numFmtId="164" fontId="7" fillId="3" borderId="0" xfId="2" applyNumberFormat="1" applyFont="1" applyFill="1" applyBorder="1" applyAlignment="1" applyProtection="1">
      <alignment horizontal="right" vertical="top"/>
    </xf>
    <xf numFmtId="165" fontId="8" fillId="0" borderId="0" xfId="1" applyNumberFormat="1" applyFont="1" applyProtection="1"/>
    <xf numFmtId="3" fontId="8" fillId="0" borderId="0" xfId="1" applyNumberFormat="1" applyFont="1" applyProtection="1"/>
    <xf numFmtId="3" fontId="8" fillId="0" borderId="0" xfId="1" applyNumberFormat="1" applyFont="1" applyFill="1" applyProtection="1"/>
    <xf numFmtId="0" fontId="8" fillId="0" borderId="0" xfId="1" applyFont="1" applyFill="1" applyProtection="1"/>
    <xf numFmtId="164" fontId="8" fillId="0" borderId="0" xfId="1" applyNumberFormat="1" applyFont="1" applyFill="1" applyProtection="1"/>
    <xf numFmtId="164" fontId="8" fillId="0" borderId="0" xfId="1" applyNumberFormat="1" applyFont="1" applyProtection="1"/>
    <xf numFmtId="164" fontId="8" fillId="0" borderId="0" xfId="2" applyNumberFormat="1" applyFont="1" applyAlignment="1" applyProtection="1"/>
    <xf numFmtId="165" fontId="7" fillId="5" borderId="0" xfId="1" applyNumberFormat="1" applyFont="1" applyFill="1" applyBorder="1" applyAlignment="1">
      <alignment horizontal="center" vertical="top"/>
    </xf>
    <xf numFmtId="0" fontId="7" fillId="5" borderId="0" xfId="1" applyNumberFormat="1" applyFont="1" applyFill="1" applyBorder="1" applyAlignment="1">
      <alignment vertical="top"/>
    </xf>
    <xf numFmtId="14" fontId="7" fillId="5" borderId="0" xfId="1" applyNumberFormat="1" applyFont="1" applyFill="1" applyBorder="1" applyAlignment="1">
      <alignment horizontal="right" vertical="top"/>
    </xf>
    <xf numFmtId="0" fontId="7" fillId="5" borderId="0" xfId="1" applyNumberFormat="1" applyFont="1" applyFill="1" applyBorder="1" applyAlignment="1">
      <alignment horizontal="right" vertical="top"/>
    </xf>
    <xf numFmtId="164" fontId="7" fillId="5" borderId="0" xfId="2" applyNumberFormat="1" applyFont="1" applyFill="1" applyBorder="1" applyAlignment="1">
      <alignment horizontal="right" vertical="top"/>
    </xf>
    <xf numFmtId="0" fontId="8" fillId="0" borderId="0" xfId="1" applyNumberFormat="1" applyFont="1" applyFill="1" applyProtection="1"/>
    <xf numFmtId="165" fontId="8" fillId="0" borderId="0" xfId="1" applyNumberFormat="1" applyFont="1" applyFill="1" applyBorder="1" applyAlignment="1">
      <alignment horizontal="right"/>
    </xf>
    <xf numFmtId="14" fontId="8" fillId="0" borderId="0" xfId="1" applyNumberFormat="1" applyFont="1" applyFill="1" applyBorder="1" applyAlignment="1"/>
    <xf numFmtId="164" fontId="8" fillId="0" borderId="0" xfId="2" applyNumberFormat="1" applyFont="1" applyFill="1" applyBorder="1"/>
    <xf numFmtId="164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/>
    <xf numFmtId="164" fontId="8" fillId="0" borderId="0" xfId="8" applyNumberFormat="1" applyFont="1" applyProtection="1"/>
    <xf numFmtId="164" fontId="8" fillId="0" borderId="0" xfId="1" applyNumberFormat="1" applyFont="1" applyFill="1" applyBorder="1" applyAlignment="1"/>
    <xf numFmtId="165" fontId="8" fillId="0" borderId="0" xfId="1" applyNumberFormat="1" applyFont="1" applyFill="1" applyBorder="1" applyProtection="1"/>
    <xf numFmtId="0" fontId="8" fillId="0" borderId="0" xfId="1" applyFont="1" applyFill="1" applyBorder="1" applyProtection="1"/>
    <xf numFmtId="14" fontId="8" fillId="0" borderId="0" xfId="1" applyNumberFormat="1" applyFont="1" applyFill="1" applyBorder="1" applyProtection="1"/>
    <xf numFmtId="164" fontId="8" fillId="0" borderId="0" xfId="2" applyNumberFormat="1" applyFont="1" applyFill="1" applyBorder="1" applyAlignment="1" applyProtection="1"/>
    <xf numFmtId="0" fontId="7" fillId="6" borderId="0" xfId="1" applyFont="1" applyFill="1" applyAlignment="1">
      <alignment horizontal="right"/>
    </xf>
    <xf numFmtId="0" fontId="7" fillId="7" borderId="0" xfId="1" applyFont="1" applyFill="1" applyAlignment="1">
      <alignment horizontal="right"/>
    </xf>
    <xf numFmtId="164" fontId="8" fillId="0" borderId="0" xfId="1" applyNumberFormat="1" applyFont="1"/>
    <xf numFmtId="10" fontId="8" fillId="0" borderId="0" xfId="1" applyNumberFormat="1" applyFont="1"/>
    <xf numFmtId="43" fontId="7" fillId="6" borderId="0" xfId="8" applyFont="1" applyFill="1" applyAlignment="1">
      <alignment horizontal="right"/>
    </xf>
    <xf numFmtId="43" fontId="8" fillId="0" borderId="0" xfId="8" applyFont="1" applyFill="1"/>
    <xf numFmtId="164" fontId="7" fillId="0" borderId="0" xfId="2" applyNumberFormat="1" applyFont="1" applyAlignment="1">
      <alignment horizontal="right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/>
    </xf>
    <xf numFmtId="0" fontId="9" fillId="4" borderId="0" xfId="1" applyFont="1" applyFill="1" applyAlignment="1">
      <alignment horizontal="center"/>
    </xf>
  </cellXfs>
  <cellStyles count="10">
    <cellStyle name="Comma" xfId="8" builtinId="3"/>
    <cellStyle name="Comma 2" xfId="2"/>
    <cellStyle name="Currency" xfId="9" builtinId="4"/>
    <cellStyle name="Currency 2" xfId="6"/>
    <cellStyle name="MyBlue" xfId="3"/>
    <cellStyle name="Normal" xfId="0" builtinId="0"/>
    <cellStyle name="Normal 2" xfId="1"/>
    <cellStyle name="Normal 3" xfId="7"/>
    <cellStyle name="Normal_Chartdata" xfId="4"/>
    <cellStyle name="Percent 2" xfId="5"/>
  </cellStyles>
  <dxfs count="0"/>
  <tableStyles count="0" defaultTableStyle="TableStyleMedium9" defaultPivotStyle="PivotStyleLight16"/>
  <colors>
    <mruColors>
      <color rgb="FFCCFF3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Frequency!$E$1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Frequency!$D$2:$D$11</c:f>
              <c:numCache>
                <c:formatCode>#,##0</c:formatCode>
                <c:ptCount val="10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cat>
          <c:val>
            <c:numRef>
              <c:f>Frequency!$E$2:$E$11</c:f>
              <c:numCache>
                <c:formatCode>#,##0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ACB-4DA1-AA7B-A19C9B0B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4"/>
        <c:axId val="292282968"/>
        <c:axId val="292284144"/>
      </c:barChart>
      <c:catAx>
        <c:axId val="292282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4144"/>
        <c:crosses val="autoZero"/>
        <c:auto val="1"/>
        <c:lblAlgn val="ctr"/>
        <c:lblOffset val="100"/>
        <c:noMultiLvlLbl val="0"/>
      </c:catAx>
      <c:valAx>
        <c:axId val="2922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9772727272728"/>
          <c:y val="7.0028202764472705E-2"/>
          <c:w val="0.85227272727272729"/>
          <c:h val="0.78711699907267163"/>
        </c:manualLayout>
      </c:layout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diamond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  <c:pt idx="12">
                  <c:v>41821</c:v>
                </c:pt>
                <c:pt idx="13">
                  <c:v>41852</c:v>
                </c:pt>
                <c:pt idx="14">
                  <c:v>41883</c:v>
                </c:pt>
                <c:pt idx="15">
                  <c:v>41913</c:v>
                </c:pt>
                <c:pt idx="16">
                  <c:v>41944</c:v>
                </c:pt>
                <c:pt idx="17">
                  <c:v>41974</c:v>
                </c:pt>
                <c:pt idx="18">
                  <c:v>42005</c:v>
                </c:pt>
                <c:pt idx="19">
                  <c:v>42036</c:v>
                </c:pt>
                <c:pt idx="20">
                  <c:v>42064</c:v>
                </c:pt>
                <c:pt idx="21">
                  <c:v>42095</c:v>
                </c:pt>
                <c:pt idx="22">
                  <c:v>42125</c:v>
                </c:pt>
                <c:pt idx="23">
                  <c:v>42156</c:v>
                </c:pt>
                <c:pt idx="24">
                  <c:v>42186</c:v>
                </c:pt>
                <c:pt idx="25">
                  <c:v>42217</c:v>
                </c:pt>
                <c:pt idx="26">
                  <c:v>42248</c:v>
                </c:pt>
                <c:pt idx="27">
                  <c:v>42278</c:v>
                </c:pt>
                <c:pt idx="28">
                  <c:v>42309</c:v>
                </c:pt>
                <c:pt idx="29">
                  <c:v>42339</c:v>
                </c:pt>
              </c:numCache>
            </c:numRef>
          </c:cat>
          <c:val>
            <c:numRef>
              <c:f>TREND!$B$2:$B$31</c:f>
              <c:numCache>
                <c:formatCode>_(* #,##0_);_(* \(#,##0\);_(* "-"??_);_(@_)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6-4237-A6E4-69507B9BCA96}"/>
            </c:ext>
          </c:extLst>
        </c:ser>
        <c:ser>
          <c:idx val="1"/>
          <c:order val="1"/>
          <c:spPr>
            <a:ln w="38100"/>
          </c:spPr>
          <c:marker>
            <c:symbol val="square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  <c:pt idx="12">
                  <c:v>41821</c:v>
                </c:pt>
                <c:pt idx="13">
                  <c:v>41852</c:v>
                </c:pt>
                <c:pt idx="14">
                  <c:v>41883</c:v>
                </c:pt>
                <c:pt idx="15">
                  <c:v>41913</c:v>
                </c:pt>
                <c:pt idx="16">
                  <c:v>41944</c:v>
                </c:pt>
                <c:pt idx="17">
                  <c:v>41974</c:v>
                </c:pt>
                <c:pt idx="18">
                  <c:v>42005</c:v>
                </c:pt>
                <c:pt idx="19">
                  <c:v>42036</c:v>
                </c:pt>
                <c:pt idx="20">
                  <c:v>42064</c:v>
                </c:pt>
                <c:pt idx="21">
                  <c:v>42095</c:v>
                </c:pt>
                <c:pt idx="22">
                  <c:v>42125</c:v>
                </c:pt>
                <c:pt idx="23">
                  <c:v>42156</c:v>
                </c:pt>
                <c:pt idx="24">
                  <c:v>42186</c:v>
                </c:pt>
                <c:pt idx="25">
                  <c:v>42217</c:v>
                </c:pt>
                <c:pt idx="26">
                  <c:v>42248</c:v>
                </c:pt>
                <c:pt idx="27">
                  <c:v>42278</c:v>
                </c:pt>
                <c:pt idx="28">
                  <c:v>42309</c:v>
                </c:pt>
                <c:pt idx="29">
                  <c:v>42339</c:v>
                </c:pt>
              </c:numCache>
            </c:numRef>
          </c:cat>
          <c:val>
            <c:numRef>
              <c:f>TREND!$C$2:$C$31</c:f>
              <c:numCache>
                <c:formatCode>_(* #,##0_);_(* \(#,##0\);_(* "-"??_);_(@_)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6-4237-A6E4-69507B9BCA96}"/>
            </c:ext>
          </c:extLst>
        </c:ser>
        <c:ser>
          <c:idx val="2"/>
          <c:order val="2"/>
          <c:spPr>
            <a:ln w="38100"/>
          </c:spPr>
          <c:marker>
            <c:symbol val="triangle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  <c:pt idx="12">
                  <c:v>41821</c:v>
                </c:pt>
                <c:pt idx="13">
                  <c:v>41852</c:v>
                </c:pt>
                <c:pt idx="14">
                  <c:v>41883</c:v>
                </c:pt>
                <c:pt idx="15">
                  <c:v>41913</c:v>
                </c:pt>
                <c:pt idx="16">
                  <c:v>41944</c:v>
                </c:pt>
                <c:pt idx="17">
                  <c:v>41974</c:v>
                </c:pt>
                <c:pt idx="18">
                  <c:v>42005</c:v>
                </c:pt>
                <c:pt idx="19">
                  <c:v>42036</c:v>
                </c:pt>
                <c:pt idx="20">
                  <c:v>42064</c:v>
                </c:pt>
                <c:pt idx="21">
                  <c:v>42095</c:v>
                </c:pt>
                <c:pt idx="22">
                  <c:v>42125</c:v>
                </c:pt>
                <c:pt idx="23">
                  <c:v>42156</c:v>
                </c:pt>
                <c:pt idx="24">
                  <c:v>42186</c:v>
                </c:pt>
                <c:pt idx="25">
                  <c:v>42217</c:v>
                </c:pt>
                <c:pt idx="26">
                  <c:v>42248</c:v>
                </c:pt>
                <c:pt idx="27">
                  <c:v>42278</c:v>
                </c:pt>
                <c:pt idx="28">
                  <c:v>42309</c:v>
                </c:pt>
                <c:pt idx="29">
                  <c:v>42339</c:v>
                </c:pt>
              </c:numCache>
            </c:numRef>
          </c:cat>
          <c:val>
            <c:numRef>
              <c:f>TREND!$D$2:$D$31</c:f>
              <c:numCache>
                <c:formatCode>_(* #,##0_);_(* \(#,##0\);_(* "-"??_);_(@_)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6-4237-A6E4-69507B9B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284928"/>
        <c:axId val="289804264"/>
      </c:lineChart>
      <c:dateAx>
        <c:axId val="292284928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89804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89804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22849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55" r="0.7500000000000015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161193</xdr:colOff>
      <xdr:row>0</xdr:row>
      <xdr:rowOff>115765</xdr:rowOff>
    </xdr:from>
    <xdr:to>
      <xdr:col>9</xdr:col>
      <xdr:colOff>278423</xdr:colOff>
      <xdr:row>17</xdr:row>
      <xdr:rowOff>118696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182217</xdr:colOff>
      <xdr:row>0</xdr:row>
      <xdr:rowOff>103118</xdr:rowOff>
    </xdr:from>
    <xdr:to>
      <xdr:col>16</xdr:col>
      <xdr:colOff>304800</xdr:colOff>
      <xdr:row>28</xdr:row>
      <xdr:rowOff>132521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G5">
            <v>14805.000000000002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R611"/>
  <sheetViews>
    <sheetView tabSelected="1" zoomScale="160" zoomScaleNormal="160" workbookViewId="0">
      <selection activeCell="I7" sqref="I7"/>
    </sheetView>
  </sheetViews>
  <sheetFormatPr defaultColWidth="9.140625" defaultRowHeight="15" x14ac:dyDescent="0.25"/>
  <cols>
    <col min="1" max="1" width="8.28515625" style="4" bestFit="1" customWidth="1"/>
    <col min="2" max="2" width="9" style="4" bestFit="1" customWidth="1"/>
    <col min="3" max="3" width="8.85546875" style="4" bestFit="1" customWidth="1"/>
    <col min="4" max="4" width="10.7109375" style="26" bestFit="1" customWidth="1"/>
    <col min="5" max="5" width="9.140625" style="4"/>
    <col min="6" max="6" width="9.85546875" style="4" customWidth="1"/>
    <col min="7" max="7" width="10.85546875" style="29" customWidth="1"/>
    <col min="8" max="8" width="4.42578125" style="4" bestFit="1" customWidth="1"/>
    <col min="9" max="9" width="9.28515625" style="21" bestFit="1" customWidth="1"/>
    <col min="10" max="10" width="29.7109375" style="21" customWidth="1"/>
    <col min="11" max="11" width="17.85546875" style="4" customWidth="1"/>
    <col min="12" max="12" width="8.85546875" style="4" bestFit="1" customWidth="1"/>
    <col min="13" max="13" width="5.42578125" style="4" bestFit="1" customWidth="1"/>
    <col min="14" max="14" width="9.28515625" style="6" bestFit="1" customWidth="1"/>
    <col min="15" max="15" width="9.140625" style="4" bestFit="1" customWidth="1"/>
    <col min="16" max="16" width="11.7109375" style="4" customWidth="1"/>
    <col min="17" max="17" width="9.140625" style="4"/>
    <col min="18" max="18" width="10.5703125" style="4" customWidth="1"/>
    <col min="19" max="16384" width="9.140625" style="4"/>
  </cols>
  <sheetData>
    <row r="1" spans="1:18" x14ac:dyDescent="0.25">
      <c r="A1" s="71" t="s">
        <v>0</v>
      </c>
      <c r="B1" s="71" t="s">
        <v>1</v>
      </c>
      <c r="C1" s="71" t="s">
        <v>2</v>
      </c>
      <c r="D1" s="75" t="s">
        <v>3</v>
      </c>
      <c r="F1" s="72" t="s">
        <v>13</v>
      </c>
      <c r="G1" s="72" t="s">
        <v>14</v>
      </c>
      <c r="I1" s="12"/>
      <c r="J1" s="13"/>
      <c r="K1" s="14" t="s">
        <v>58</v>
      </c>
      <c r="L1" s="16" t="s">
        <v>17</v>
      </c>
      <c r="M1" s="16" t="s">
        <v>18</v>
      </c>
      <c r="N1" s="17" t="s">
        <v>21</v>
      </c>
      <c r="O1" s="15" t="s">
        <v>20</v>
      </c>
      <c r="P1" s="15" t="s">
        <v>510</v>
      </c>
      <c r="Q1" s="74">
        <v>3.6299999999999999E-2</v>
      </c>
    </row>
    <row r="2" spans="1:18" x14ac:dyDescent="0.25">
      <c r="A2" s="4" t="s">
        <v>4</v>
      </c>
      <c r="B2" s="4">
        <v>72</v>
      </c>
      <c r="C2" s="18">
        <v>52.99</v>
      </c>
      <c r="D2" s="26">
        <f t="shared" ref="D2:D10" si="0">B2*C2</f>
        <v>3815.28</v>
      </c>
      <c r="E2" s="19"/>
      <c r="F2" s="20">
        <v>42374</v>
      </c>
      <c r="G2" s="20">
        <v>42386</v>
      </c>
      <c r="H2" s="5">
        <f>G2-F2</f>
        <v>12</v>
      </c>
      <c r="J2" s="13"/>
      <c r="K2" s="3" t="s">
        <v>426</v>
      </c>
      <c r="L2" s="22">
        <v>37592</v>
      </c>
      <c r="M2" s="23">
        <f t="shared" ref="M2:M65" ca="1" si="1">DATEDIF(L2,TODAY(),"Y")</f>
        <v>13</v>
      </c>
      <c r="N2" s="24">
        <v>73560</v>
      </c>
      <c r="O2" s="25">
        <v>3</v>
      </c>
      <c r="P2" s="73">
        <f>ROUND(N2*$Q$1+N2,0)</f>
        <v>76230</v>
      </c>
    </row>
    <row r="3" spans="1:18" x14ac:dyDescent="0.25">
      <c r="A3" s="4" t="s">
        <v>5</v>
      </c>
      <c r="B3" s="4">
        <v>18</v>
      </c>
      <c r="C3" s="18">
        <v>62.29</v>
      </c>
      <c r="D3" s="26">
        <f t="shared" si="0"/>
        <v>1121.22</v>
      </c>
      <c r="E3" s="19"/>
      <c r="F3" s="20">
        <v>42376</v>
      </c>
      <c r="G3" s="20">
        <v>42401</v>
      </c>
      <c r="H3" s="5">
        <f t="shared" ref="H3:H13" si="2">G3-F3</f>
        <v>25</v>
      </c>
      <c r="K3" s="3" t="s">
        <v>325</v>
      </c>
      <c r="L3" s="22">
        <v>36084</v>
      </c>
      <c r="M3" s="23">
        <f t="shared" ca="1" si="1"/>
        <v>17</v>
      </c>
      <c r="N3" s="24">
        <v>28970</v>
      </c>
      <c r="O3" s="25">
        <v>3</v>
      </c>
      <c r="P3" s="73">
        <f t="shared" ref="P3:P66" si="3">ROUND(N3*$Q$1+N3,0)</f>
        <v>30022</v>
      </c>
      <c r="R3" s="19"/>
    </row>
    <row r="4" spans="1:18" x14ac:dyDescent="0.25">
      <c r="A4" s="4" t="s">
        <v>6</v>
      </c>
      <c r="B4" s="4">
        <v>22</v>
      </c>
      <c r="C4" s="18">
        <v>75.19</v>
      </c>
      <c r="D4" s="26">
        <f t="shared" si="0"/>
        <v>1654.1799999999998</v>
      </c>
      <c r="E4" s="19"/>
      <c r="F4" s="20">
        <v>42378</v>
      </c>
      <c r="G4" s="20">
        <v>42392</v>
      </c>
      <c r="H4" s="5">
        <f t="shared" si="2"/>
        <v>14</v>
      </c>
      <c r="K4" s="3" t="s">
        <v>276</v>
      </c>
      <c r="L4" s="22">
        <v>34885</v>
      </c>
      <c r="M4" s="23">
        <f t="shared" ca="1" si="1"/>
        <v>20</v>
      </c>
      <c r="N4" s="24">
        <v>46360</v>
      </c>
      <c r="O4" s="25">
        <v>5</v>
      </c>
      <c r="P4" s="73">
        <f t="shared" si="3"/>
        <v>48043</v>
      </c>
    </row>
    <row r="5" spans="1:18" x14ac:dyDescent="0.25">
      <c r="A5" s="4" t="s">
        <v>7</v>
      </c>
      <c r="B5" s="4">
        <v>64</v>
      </c>
      <c r="C5" s="18">
        <v>36.79</v>
      </c>
      <c r="D5" s="26">
        <f t="shared" si="0"/>
        <v>2354.56</v>
      </c>
      <c r="E5" s="19"/>
      <c r="F5" s="20">
        <v>42380</v>
      </c>
      <c r="G5" s="20">
        <v>42392</v>
      </c>
      <c r="H5" s="5">
        <f t="shared" si="2"/>
        <v>12</v>
      </c>
      <c r="K5" s="3" t="s">
        <v>276</v>
      </c>
      <c r="L5" s="22">
        <v>34885</v>
      </c>
      <c r="M5" s="23">
        <f t="shared" ca="1" si="1"/>
        <v>20</v>
      </c>
      <c r="N5" s="24">
        <v>46360</v>
      </c>
      <c r="O5" s="25">
        <v>5</v>
      </c>
      <c r="P5" s="73">
        <f t="shared" si="3"/>
        <v>48043</v>
      </c>
    </row>
    <row r="6" spans="1:18" x14ac:dyDescent="0.25">
      <c r="A6" s="4" t="s">
        <v>8</v>
      </c>
      <c r="B6" s="4">
        <v>40</v>
      </c>
      <c r="C6" s="18">
        <v>59.89</v>
      </c>
      <c r="D6" s="26">
        <f t="shared" si="0"/>
        <v>2395.6</v>
      </c>
      <c r="E6" s="19"/>
      <c r="F6" s="20">
        <v>42382</v>
      </c>
      <c r="G6" s="20">
        <v>42398</v>
      </c>
      <c r="H6" s="5">
        <f t="shared" si="2"/>
        <v>16</v>
      </c>
      <c r="K6" s="3" t="s">
        <v>360</v>
      </c>
      <c r="L6" s="22">
        <v>35588</v>
      </c>
      <c r="M6" s="23">
        <f t="shared" ca="1" si="1"/>
        <v>18</v>
      </c>
      <c r="N6" s="24">
        <v>71820</v>
      </c>
      <c r="O6" s="25">
        <v>2</v>
      </c>
      <c r="P6" s="73">
        <f t="shared" si="3"/>
        <v>74427</v>
      </c>
    </row>
    <row r="7" spans="1:18" x14ac:dyDescent="0.25">
      <c r="A7" s="4" t="s">
        <v>9</v>
      </c>
      <c r="B7" s="4">
        <v>70</v>
      </c>
      <c r="C7" s="18">
        <v>34.090000000000003</v>
      </c>
      <c r="D7" s="26">
        <f t="shared" si="0"/>
        <v>2386.3000000000002</v>
      </c>
      <c r="E7" s="19"/>
      <c r="F7" s="20">
        <v>42384</v>
      </c>
      <c r="G7" s="20">
        <v>42397</v>
      </c>
      <c r="H7" s="5">
        <f t="shared" si="2"/>
        <v>13</v>
      </c>
      <c r="K7" s="3" t="s">
        <v>444</v>
      </c>
      <c r="L7" s="22">
        <v>39286</v>
      </c>
      <c r="M7" s="23">
        <f t="shared" ca="1" si="1"/>
        <v>8</v>
      </c>
      <c r="N7" s="24">
        <v>68910</v>
      </c>
      <c r="O7" s="25">
        <v>5</v>
      </c>
      <c r="P7" s="73">
        <f t="shared" si="3"/>
        <v>71411</v>
      </c>
    </row>
    <row r="8" spans="1:18" x14ac:dyDescent="0.25">
      <c r="A8" s="4" t="s">
        <v>10</v>
      </c>
      <c r="B8" s="4">
        <v>90</v>
      </c>
      <c r="C8" s="18">
        <v>66.69</v>
      </c>
      <c r="D8" s="26">
        <f t="shared" si="0"/>
        <v>6002.0999999999995</v>
      </c>
      <c r="E8" s="19"/>
      <c r="F8" s="20">
        <v>42386</v>
      </c>
      <c r="G8" s="20">
        <v>42402</v>
      </c>
      <c r="H8" s="5">
        <f t="shared" si="2"/>
        <v>16</v>
      </c>
      <c r="K8" s="3" t="s">
        <v>448</v>
      </c>
      <c r="L8" s="22">
        <v>39137</v>
      </c>
      <c r="M8" s="23">
        <f t="shared" ca="1" si="1"/>
        <v>8</v>
      </c>
      <c r="N8" s="24">
        <v>33970</v>
      </c>
      <c r="O8" s="25">
        <v>4</v>
      </c>
      <c r="P8" s="73">
        <f t="shared" si="3"/>
        <v>35203</v>
      </c>
    </row>
    <row r="9" spans="1:18" x14ac:dyDescent="0.25">
      <c r="A9" s="4" t="s">
        <v>11</v>
      </c>
      <c r="B9" s="4">
        <v>30</v>
      </c>
      <c r="C9" s="18">
        <v>22.09</v>
      </c>
      <c r="D9" s="26">
        <f t="shared" si="0"/>
        <v>662.7</v>
      </c>
      <c r="E9" s="19"/>
      <c r="F9" s="20">
        <v>42387</v>
      </c>
      <c r="G9" s="20">
        <v>42402</v>
      </c>
      <c r="H9" s="5">
        <f t="shared" si="2"/>
        <v>15</v>
      </c>
      <c r="K9" s="3" t="s">
        <v>448</v>
      </c>
      <c r="L9" s="22">
        <v>39137</v>
      </c>
      <c r="M9" s="23">
        <f t="shared" ca="1" si="1"/>
        <v>8</v>
      </c>
      <c r="N9" s="24">
        <v>33970</v>
      </c>
      <c r="O9" s="25">
        <v>4</v>
      </c>
      <c r="P9" s="73">
        <f t="shared" si="3"/>
        <v>35203</v>
      </c>
    </row>
    <row r="10" spans="1:18" x14ac:dyDescent="0.25">
      <c r="A10" s="4" t="s">
        <v>12</v>
      </c>
      <c r="B10" s="4">
        <v>34</v>
      </c>
      <c r="C10" s="18">
        <v>10.69</v>
      </c>
      <c r="D10" s="26">
        <f t="shared" si="0"/>
        <v>363.46</v>
      </c>
      <c r="E10" s="19"/>
      <c r="F10" s="20">
        <v>42389</v>
      </c>
      <c r="G10" s="20">
        <v>42411</v>
      </c>
      <c r="H10" s="5">
        <f t="shared" si="2"/>
        <v>22</v>
      </c>
      <c r="K10" s="3" t="s">
        <v>418</v>
      </c>
      <c r="L10" s="22">
        <v>38386</v>
      </c>
      <c r="M10" s="23">
        <f t="shared" ca="1" si="1"/>
        <v>10</v>
      </c>
      <c r="N10" s="24">
        <v>69320</v>
      </c>
      <c r="O10" s="25">
        <v>3</v>
      </c>
      <c r="P10" s="73">
        <f t="shared" si="3"/>
        <v>71836</v>
      </c>
    </row>
    <row r="11" spans="1:18" x14ac:dyDescent="0.25">
      <c r="A11" s="2" t="s">
        <v>3</v>
      </c>
      <c r="B11" s="4">
        <f>SUM(B2:B10)</f>
        <v>440</v>
      </c>
      <c r="C11" s="4">
        <f>SUM(C2:C10)</f>
        <v>420.71</v>
      </c>
      <c r="D11" s="76">
        <f>SUM(D2:D10)</f>
        <v>20755.399999999998</v>
      </c>
      <c r="F11" s="20">
        <v>42391</v>
      </c>
      <c r="G11" s="20">
        <v>42409</v>
      </c>
      <c r="H11" s="5">
        <f t="shared" si="2"/>
        <v>18</v>
      </c>
      <c r="K11" s="3" t="s">
        <v>106</v>
      </c>
      <c r="L11" s="22">
        <v>32542</v>
      </c>
      <c r="M11" s="23">
        <f t="shared" ca="1" si="1"/>
        <v>26</v>
      </c>
      <c r="N11" s="24">
        <v>86240</v>
      </c>
      <c r="O11" s="25">
        <v>1</v>
      </c>
      <c r="P11" s="73">
        <f t="shared" si="3"/>
        <v>89371</v>
      </c>
    </row>
    <row r="12" spans="1:18" x14ac:dyDescent="0.25">
      <c r="F12" s="20">
        <v>42394</v>
      </c>
      <c r="G12" s="20">
        <v>42415</v>
      </c>
      <c r="H12" s="5">
        <f t="shared" si="2"/>
        <v>21</v>
      </c>
      <c r="K12" s="3" t="s">
        <v>242</v>
      </c>
      <c r="L12" s="22">
        <v>36097</v>
      </c>
      <c r="M12" s="23">
        <f t="shared" ca="1" si="1"/>
        <v>17</v>
      </c>
      <c r="N12" s="24">
        <v>59140</v>
      </c>
      <c r="O12" s="25">
        <v>5</v>
      </c>
      <c r="P12" s="73">
        <f t="shared" si="3"/>
        <v>61287</v>
      </c>
    </row>
    <row r="13" spans="1:18" x14ac:dyDescent="0.25">
      <c r="C13" s="27"/>
      <c r="F13" s="20">
        <v>42397</v>
      </c>
      <c r="G13" s="20">
        <v>42425</v>
      </c>
      <c r="H13" s="5">
        <f t="shared" si="2"/>
        <v>28</v>
      </c>
      <c r="K13" s="3" t="s">
        <v>192</v>
      </c>
      <c r="L13" s="22">
        <v>33859</v>
      </c>
      <c r="M13" s="23">
        <f t="shared" ca="1" si="1"/>
        <v>23</v>
      </c>
      <c r="N13" s="24">
        <v>72640</v>
      </c>
      <c r="O13" s="25">
        <v>3</v>
      </c>
      <c r="P13" s="73">
        <f t="shared" si="3"/>
        <v>75277</v>
      </c>
    </row>
    <row r="14" spans="1:18" x14ac:dyDescent="0.25">
      <c r="B14" s="28"/>
      <c r="G14" s="4"/>
      <c r="H14" s="26"/>
      <c r="K14" s="3" t="s">
        <v>105</v>
      </c>
      <c r="L14" s="22">
        <v>32097</v>
      </c>
      <c r="M14" s="23">
        <f t="shared" ca="1" si="1"/>
        <v>28</v>
      </c>
      <c r="N14" s="24">
        <v>22900</v>
      </c>
      <c r="O14" s="25">
        <v>1</v>
      </c>
      <c r="P14" s="73">
        <f t="shared" si="3"/>
        <v>23731</v>
      </c>
    </row>
    <row r="15" spans="1:18" x14ac:dyDescent="0.25">
      <c r="F15" s="78" t="s">
        <v>15</v>
      </c>
      <c r="G15" s="78"/>
      <c r="H15" s="26"/>
      <c r="K15" s="3" t="s">
        <v>417</v>
      </c>
      <c r="L15" s="22">
        <v>38899</v>
      </c>
      <c r="M15" s="23">
        <f t="shared" ca="1" si="1"/>
        <v>9</v>
      </c>
      <c r="N15" s="24">
        <v>45260</v>
      </c>
      <c r="O15" s="25">
        <v>4</v>
      </c>
      <c r="P15" s="73">
        <f t="shared" si="3"/>
        <v>46903</v>
      </c>
    </row>
    <row r="16" spans="1:18" x14ac:dyDescent="0.25">
      <c r="K16" s="3" t="s">
        <v>257</v>
      </c>
      <c r="L16" s="22">
        <v>34149</v>
      </c>
      <c r="M16" s="23">
        <f t="shared" ca="1" si="1"/>
        <v>22</v>
      </c>
      <c r="N16" s="24">
        <v>49360</v>
      </c>
      <c r="O16" s="25">
        <v>2</v>
      </c>
      <c r="P16" s="73">
        <f t="shared" si="3"/>
        <v>51152</v>
      </c>
    </row>
    <row r="17" spans="11:16" x14ac:dyDescent="0.25">
      <c r="K17" s="3" t="s">
        <v>137</v>
      </c>
      <c r="L17" s="22">
        <v>32385</v>
      </c>
      <c r="M17" s="23">
        <f t="shared" ca="1" si="1"/>
        <v>27</v>
      </c>
      <c r="N17" s="24">
        <v>60560</v>
      </c>
      <c r="O17" s="25">
        <v>4</v>
      </c>
      <c r="P17" s="73">
        <f t="shared" si="3"/>
        <v>62758</v>
      </c>
    </row>
    <row r="18" spans="11:16" x14ac:dyDescent="0.25">
      <c r="K18" s="3" t="s">
        <v>268</v>
      </c>
      <c r="L18" s="22">
        <v>34715</v>
      </c>
      <c r="M18" s="23">
        <f t="shared" ca="1" si="1"/>
        <v>20</v>
      </c>
      <c r="N18" s="24">
        <v>64470</v>
      </c>
      <c r="O18" s="25">
        <v>5</v>
      </c>
      <c r="P18" s="73">
        <f t="shared" si="3"/>
        <v>66810</v>
      </c>
    </row>
    <row r="19" spans="11:16" x14ac:dyDescent="0.25">
      <c r="K19" s="3" t="s">
        <v>404</v>
      </c>
      <c r="L19" s="22">
        <v>36832</v>
      </c>
      <c r="M19" s="23">
        <f t="shared" ca="1" si="1"/>
        <v>15</v>
      </c>
      <c r="N19" s="24">
        <v>49350</v>
      </c>
      <c r="O19" s="25">
        <v>4</v>
      </c>
      <c r="P19" s="73">
        <f t="shared" si="3"/>
        <v>51141</v>
      </c>
    </row>
    <row r="20" spans="11:16" x14ac:dyDescent="0.25">
      <c r="K20" s="3" t="s">
        <v>79</v>
      </c>
      <c r="L20" s="22">
        <v>36573</v>
      </c>
      <c r="M20" s="23">
        <f t="shared" ca="1" si="1"/>
        <v>15</v>
      </c>
      <c r="N20" s="24">
        <v>86530</v>
      </c>
      <c r="O20" s="25">
        <v>1</v>
      </c>
      <c r="P20" s="73">
        <f t="shared" si="3"/>
        <v>89671</v>
      </c>
    </row>
    <row r="21" spans="11:16" x14ac:dyDescent="0.25">
      <c r="K21" s="3" t="s">
        <v>281</v>
      </c>
      <c r="L21" s="22">
        <v>34806</v>
      </c>
      <c r="M21" s="23">
        <f t="shared" ca="1" si="1"/>
        <v>20</v>
      </c>
      <c r="N21" s="24">
        <v>49770</v>
      </c>
      <c r="O21" s="25">
        <v>1</v>
      </c>
      <c r="P21" s="73">
        <f t="shared" si="3"/>
        <v>51577</v>
      </c>
    </row>
    <row r="22" spans="11:16" x14ac:dyDescent="0.25">
      <c r="K22" s="3" t="s">
        <v>111</v>
      </c>
      <c r="L22" s="22">
        <v>34019</v>
      </c>
      <c r="M22" s="23">
        <f t="shared" ca="1" si="1"/>
        <v>22</v>
      </c>
      <c r="N22" s="24">
        <v>66740</v>
      </c>
      <c r="O22" s="25">
        <v>2</v>
      </c>
      <c r="P22" s="73">
        <f t="shared" si="3"/>
        <v>69163</v>
      </c>
    </row>
    <row r="23" spans="11:16" x14ac:dyDescent="0.25">
      <c r="K23" s="3" t="s">
        <v>111</v>
      </c>
      <c r="L23" s="22">
        <v>34019</v>
      </c>
      <c r="M23" s="23">
        <f t="shared" ca="1" si="1"/>
        <v>22</v>
      </c>
      <c r="N23" s="24">
        <v>66740</v>
      </c>
      <c r="O23" s="25">
        <v>2</v>
      </c>
      <c r="P23" s="73">
        <f t="shared" si="3"/>
        <v>69163</v>
      </c>
    </row>
    <row r="24" spans="11:16" x14ac:dyDescent="0.25">
      <c r="K24" s="3" t="s">
        <v>251</v>
      </c>
      <c r="L24" s="22">
        <v>34593</v>
      </c>
      <c r="M24" s="23">
        <f t="shared" ca="1" si="1"/>
        <v>21</v>
      </c>
      <c r="N24" s="24">
        <v>68520</v>
      </c>
      <c r="O24" s="25">
        <v>5</v>
      </c>
      <c r="P24" s="73">
        <f t="shared" si="3"/>
        <v>71007</v>
      </c>
    </row>
    <row r="25" spans="11:16" x14ac:dyDescent="0.25">
      <c r="K25" s="3" t="s">
        <v>384</v>
      </c>
      <c r="L25" s="22">
        <v>37423</v>
      </c>
      <c r="M25" s="23">
        <f t="shared" ca="1" si="1"/>
        <v>13</v>
      </c>
      <c r="N25" s="24">
        <v>68710</v>
      </c>
      <c r="O25" s="25">
        <v>4</v>
      </c>
      <c r="P25" s="73">
        <f t="shared" si="3"/>
        <v>71204</v>
      </c>
    </row>
    <row r="26" spans="11:16" x14ac:dyDescent="0.25">
      <c r="K26" s="3" t="s">
        <v>354</v>
      </c>
      <c r="L26" s="22">
        <v>36185</v>
      </c>
      <c r="M26" s="23">
        <f t="shared" ca="1" si="1"/>
        <v>16</v>
      </c>
      <c r="N26" s="24">
        <v>60300</v>
      </c>
      <c r="O26" s="25">
        <v>2</v>
      </c>
      <c r="P26" s="73">
        <f t="shared" si="3"/>
        <v>62489</v>
      </c>
    </row>
    <row r="27" spans="11:16" x14ac:dyDescent="0.25">
      <c r="K27" s="3" t="s">
        <v>154</v>
      </c>
      <c r="L27" s="22">
        <v>34001</v>
      </c>
      <c r="M27" s="23">
        <f t="shared" ca="1" si="1"/>
        <v>22</v>
      </c>
      <c r="N27" s="24">
        <v>39520</v>
      </c>
      <c r="O27" s="25">
        <v>5</v>
      </c>
      <c r="P27" s="73">
        <f t="shared" si="3"/>
        <v>40955</v>
      </c>
    </row>
    <row r="28" spans="11:16" x14ac:dyDescent="0.25">
      <c r="K28" s="3" t="s">
        <v>455</v>
      </c>
      <c r="L28" s="22">
        <v>39314</v>
      </c>
      <c r="M28" s="23">
        <f t="shared" ca="1" si="1"/>
        <v>8</v>
      </c>
      <c r="N28" s="24">
        <v>86500</v>
      </c>
      <c r="O28" s="25">
        <v>1</v>
      </c>
      <c r="P28" s="73">
        <f t="shared" si="3"/>
        <v>89640</v>
      </c>
    </row>
    <row r="29" spans="11:16" x14ac:dyDescent="0.25">
      <c r="K29" s="3" t="s">
        <v>235</v>
      </c>
      <c r="L29" s="22">
        <v>34154</v>
      </c>
      <c r="M29" s="23">
        <f t="shared" ca="1" si="1"/>
        <v>22</v>
      </c>
      <c r="N29" s="24">
        <v>60830</v>
      </c>
      <c r="O29" s="25">
        <v>1</v>
      </c>
      <c r="P29" s="73">
        <f t="shared" si="3"/>
        <v>63038</v>
      </c>
    </row>
    <row r="30" spans="11:16" x14ac:dyDescent="0.25">
      <c r="K30" s="3" t="s">
        <v>109</v>
      </c>
      <c r="L30" s="22">
        <v>33173</v>
      </c>
      <c r="M30" s="23">
        <f t="shared" ca="1" si="1"/>
        <v>25</v>
      </c>
      <c r="N30" s="24">
        <v>81010</v>
      </c>
      <c r="O30" s="25">
        <v>4</v>
      </c>
      <c r="P30" s="73">
        <f t="shared" si="3"/>
        <v>83951</v>
      </c>
    </row>
    <row r="31" spans="11:16" x14ac:dyDescent="0.25">
      <c r="K31" s="3" t="s">
        <v>216</v>
      </c>
      <c r="L31" s="22">
        <v>33392</v>
      </c>
      <c r="M31" s="23">
        <f t="shared" ca="1" si="1"/>
        <v>24</v>
      </c>
      <c r="N31" s="24">
        <v>87030</v>
      </c>
      <c r="O31" s="25">
        <v>3</v>
      </c>
      <c r="P31" s="73">
        <f t="shared" si="3"/>
        <v>90189</v>
      </c>
    </row>
    <row r="32" spans="11:16" x14ac:dyDescent="0.25">
      <c r="K32" s="3" t="s">
        <v>332</v>
      </c>
      <c r="L32" s="22">
        <v>35097</v>
      </c>
      <c r="M32" s="23">
        <f t="shared" ca="1" si="1"/>
        <v>19</v>
      </c>
      <c r="N32" s="24">
        <v>45880</v>
      </c>
      <c r="O32" s="25">
        <v>5</v>
      </c>
      <c r="P32" s="73">
        <f t="shared" si="3"/>
        <v>47545</v>
      </c>
    </row>
    <row r="33" spans="11:16" x14ac:dyDescent="0.25">
      <c r="K33" s="3" t="s">
        <v>394</v>
      </c>
      <c r="L33" s="22">
        <v>37861</v>
      </c>
      <c r="M33" s="23">
        <f t="shared" ca="1" si="1"/>
        <v>12</v>
      </c>
      <c r="N33" s="24">
        <v>25690</v>
      </c>
      <c r="O33" s="25">
        <v>2</v>
      </c>
      <c r="P33" s="73">
        <f t="shared" si="3"/>
        <v>26623</v>
      </c>
    </row>
    <row r="34" spans="11:16" x14ac:dyDescent="0.25">
      <c r="K34" s="3" t="s">
        <v>142</v>
      </c>
      <c r="L34" s="22">
        <v>32613</v>
      </c>
      <c r="M34" s="23">
        <f t="shared" ca="1" si="1"/>
        <v>26</v>
      </c>
      <c r="N34" s="24">
        <v>46340</v>
      </c>
      <c r="O34" s="25">
        <v>5</v>
      </c>
      <c r="P34" s="73">
        <f t="shared" si="3"/>
        <v>48022</v>
      </c>
    </row>
    <row r="35" spans="11:16" x14ac:dyDescent="0.25">
      <c r="K35" s="3" t="s">
        <v>142</v>
      </c>
      <c r="L35" s="22">
        <v>32613</v>
      </c>
      <c r="M35" s="23">
        <f t="shared" ca="1" si="1"/>
        <v>26</v>
      </c>
      <c r="N35" s="24">
        <v>46340</v>
      </c>
      <c r="O35" s="25">
        <v>5</v>
      </c>
      <c r="P35" s="73">
        <f t="shared" si="3"/>
        <v>48022</v>
      </c>
    </row>
    <row r="36" spans="11:16" x14ac:dyDescent="0.25">
      <c r="K36" s="3" t="s">
        <v>163</v>
      </c>
      <c r="L36" s="22">
        <v>33686</v>
      </c>
      <c r="M36" s="23">
        <f t="shared" ca="1" si="1"/>
        <v>23</v>
      </c>
      <c r="N36" s="24">
        <v>67890</v>
      </c>
      <c r="O36" s="25">
        <v>5</v>
      </c>
      <c r="P36" s="73">
        <f t="shared" si="3"/>
        <v>70354</v>
      </c>
    </row>
    <row r="37" spans="11:16" x14ac:dyDescent="0.25">
      <c r="K37" s="3" t="s">
        <v>385</v>
      </c>
      <c r="L37" s="22">
        <v>37499</v>
      </c>
      <c r="M37" s="23">
        <f t="shared" ca="1" si="1"/>
        <v>13</v>
      </c>
      <c r="N37" s="24">
        <v>76584</v>
      </c>
      <c r="O37" s="25">
        <v>1</v>
      </c>
      <c r="P37" s="73">
        <f t="shared" si="3"/>
        <v>79364</v>
      </c>
    </row>
    <row r="38" spans="11:16" x14ac:dyDescent="0.25">
      <c r="K38" s="3" t="s">
        <v>402</v>
      </c>
      <c r="L38" s="22">
        <v>32226</v>
      </c>
      <c r="M38" s="23">
        <f t="shared" ca="1" si="1"/>
        <v>27</v>
      </c>
      <c r="N38" s="24">
        <v>81530</v>
      </c>
      <c r="O38" s="25">
        <v>5</v>
      </c>
      <c r="P38" s="73">
        <f t="shared" si="3"/>
        <v>84490</v>
      </c>
    </row>
    <row r="39" spans="11:16" x14ac:dyDescent="0.25">
      <c r="K39" s="3" t="s">
        <v>208</v>
      </c>
      <c r="L39" s="22">
        <v>34306</v>
      </c>
      <c r="M39" s="23">
        <f t="shared" ca="1" si="1"/>
        <v>22</v>
      </c>
      <c r="N39" s="24">
        <v>34060</v>
      </c>
      <c r="O39" s="25">
        <v>2</v>
      </c>
      <c r="P39" s="73">
        <f t="shared" si="3"/>
        <v>35296</v>
      </c>
    </row>
    <row r="40" spans="11:16" x14ac:dyDescent="0.25">
      <c r="K40" s="3" t="s">
        <v>348</v>
      </c>
      <c r="L40" s="22">
        <v>32130</v>
      </c>
      <c r="M40" s="23">
        <f t="shared" ca="1" si="1"/>
        <v>27</v>
      </c>
      <c r="N40" s="24">
        <v>69400</v>
      </c>
      <c r="O40" s="25">
        <v>5</v>
      </c>
      <c r="P40" s="73">
        <f t="shared" si="3"/>
        <v>71919</v>
      </c>
    </row>
    <row r="41" spans="11:16" x14ac:dyDescent="0.25">
      <c r="K41" s="3" t="s">
        <v>381</v>
      </c>
      <c r="L41" s="22">
        <v>37018</v>
      </c>
      <c r="M41" s="23">
        <f t="shared" ca="1" si="1"/>
        <v>14</v>
      </c>
      <c r="N41" s="24">
        <v>48280</v>
      </c>
      <c r="O41" s="25">
        <v>4</v>
      </c>
      <c r="P41" s="73">
        <f t="shared" si="3"/>
        <v>50033</v>
      </c>
    </row>
    <row r="42" spans="11:16" x14ac:dyDescent="0.25">
      <c r="K42" s="3" t="s">
        <v>135</v>
      </c>
      <c r="L42" s="22">
        <v>32668</v>
      </c>
      <c r="M42" s="23">
        <f t="shared" ca="1" si="1"/>
        <v>26</v>
      </c>
      <c r="N42" s="24">
        <v>46410</v>
      </c>
      <c r="O42" s="25">
        <v>2</v>
      </c>
      <c r="P42" s="73">
        <f t="shared" si="3"/>
        <v>48095</v>
      </c>
    </row>
    <row r="43" spans="11:16" x14ac:dyDescent="0.25">
      <c r="K43" s="3" t="s">
        <v>230</v>
      </c>
      <c r="L43" s="22">
        <v>34511</v>
      </c>
      <c r="M43" s="23">
        <f t="shared" ca="1" si="1"/>
        <v>21</v>
      </c>
      <c r="N43" s="24">
        <v>22870</v>
      </c>
      <c r="O43" s="25">
        <v>3</v>
      </c>
      <c r="P43" s="73">
        <f t="shared" si="3"/>
        <v>23700</v>
      </c>
    </row>
    <row r="44" spans="11:16" x14ac:dyDescent="0.25">
      <c r="K44" s="3" t="s">
        <v>326</v>
      </c>
      <c r="L44" s="22">
        <v>35050</v>
      </c>
      <c r="M44" s="23">
        <f t="shared" ca="1" si="1"/>
        <v>19</v>
      </c>
      <c r="N44" s="24">
        <v>67020</v>
      </c>
      <c r="O44" s="25">
        <v>1</v>
      </c>
      <c r="P44" s="73">
        <f t="shared" si="3"/>
        <v>69453</v>
      </c>
    </row>
    <row r="45" spans="11:16" x14ac:dyDescent="0.25">
      <c r="K45" s="3" t="s">
        <v>367</v>
      </c>
      <c r="L45" s="22">
        <v>38347</v>
      </c>
      <c r="M45" s="23">
        <f t="shared" ca="1" si="1"/>
        <v>10</v>
      </c>
      <c r="N45" s="24">
        <v>80880</v>
      </c>
      <c r="O45" s="25">
        <v>1</v>
      </c>
      <c r="P45" s="73">
        <f t="shared" si="3"/>
        <v>83816</v>
      </c>
    </row>
    <row r="46" spans="11:16" x14ac:dyDescent="0.25">
      <c r="K46" s="3" t="s">
        <v>364</v>
      </c>
      <c r="L46" s="22">
        <v>36836</v>
      </c>
      <c r="M46" s="23">
        <f t="shared" ca="1" si="1"/>
        <v>15</v>
      </c>
      <c r="N46" s="24">
        <v>47340</v>
      </c>
      <c r="O46" s="25">
        <v>2</v>
      </c>
      <c r="P46" s="73">
        <f t="shared" si="3"/>
        <v>49058</v>
      </c>
    </row>
    <row r="47" spans="11:16" x14ac:dyDescent="0.25">
      <c r="K47" s="3" t="s">
        <v>231</v>
      </c>
      <c r="L47" s="22">
        <v>34141</v>
      </c>
      <c r="M47" s="23">
        <f t="shared" ca="1" si="1"/>
        <v>22</v>
      </c>
      <c r="N47" s="24">
        <v>62965</v>
      </c>
      <c r="O47" s="25">
        <v>1</v>
      </c>
      <c r="P47" s="73">
        <f t="shared" si="3"/>
        <v>65251</v>
      </c>
    </row>
    <row r="48" spans="11:16" x14ac:dyDescent="0.25">
      <c r="K48" s="3" t="s">
        <v>121</v>
      </c>
      <c r="L48" s="22">
        <v>33661</v>
      </c>
      <c r="M48" s="23">
        <f t="shared" ca="1" si="1"/>
        <v>23</v>
      </c>
      <c r="N48" s="24">
        <v>67050</v>
      </c>
      <c r="O48" s="25">
        <v>4</v>
      </c>
      <c r="P48" s="73">
        <f t="shared" si="3"/>
        <v>69484</v>
      </c>
    </row>
    <row r="49" spans="11:16" x14ac:dyDescent="0.25">
      <c r="K49" s="3" t="s">
        <v>344</v>
      </c>
      <c r="L49" s="22">
        <v>37113</v>
      </c>
      <c r="M49" s="23">
        <f t="shared" ca="1" si="1"/>
        <v>14</v>
      </c>
      <c r="N49" s="24">
        <v>61330</v>
      </c>
      <c r="O49" s="25">
        <v>2</v>
      </c>
      <c r="P49" s="73">
        <f t="shared" si="3"/>
        <v>63556</v>
      </c>
    </row>
    <row r="50" spans="11:16" x14ac:dyDescent="0.25">
      <c r="K50" s="3" t="s">
        <v>269</v>
      </c>
      <c r="L50" s="22">
        <v>34826</v>
      </c>
      <c r="M50" s="23">
        <f t="shared" ca="1" si="1"/>
        <v>20</v>
      </c>
      <c r="N50" s="24">
        <v>45000</v>
      </c>
      <c r="O50" s="25">
        <v>4</v>
      </c>
      <c r="P50" s="73">
        <f t="shared" si="3"/>
        <v>46634</v>
      </c>
    </row>
    <row r="51" spans="11:16" x14ac:dyDescent="0.25">
      <c r="K51" s="3" t="s">
        <v>401</v>
      </c>
      <c r="L51" s="22">
        <v>38369</v>
      </c>
      <c r="M51" s="23">
        <f t="shared" ca="1" si="1"/>
        <v>10</v>
      </c>
      <c r="N51" s="24">
        <v>22820</v>
      </c>
      <c r="O51" s="25">
        <v>5</v>
      </c>
      <c r="P51" s="73">
        <f t="shared" si="3"/>
        <v>23648</v>
      </c>
    </row>
    <row r="52" spans="11:16" x14ac:dyDescent="0.25">
      <c r="K52" s="3" t="s">
        <v>59</v>
      </c>
      <c r="L52" s="22">
        <v>31788</v>
      </c>
      <c r="M52" s="23">
        <f t="shared" ca="1" si="1"/>
        <v>28</v>
      </c>
      <c r="N52" s="24">
        <v>48080</v>
      </c>
      <c r="O52" s="25">
        <v>2</v>
      </c>
      <c r="P52" s="73">
        <f t="shared" si="3"/>
        <v>49825</v>
      </c>
    </row>
    <row r="53" spans="11:16" x14ac:dyDescent="0.25">
      <c r="K53" s="3" t="s">
        <v>336</v>
      </c>
      <c r="L53" s="22">
        <v>36258</v>
      </c>
      <c r="M53" s="23">
        <f t="shared" ca="1" si="1"/>
        <v>16</v>
      </c>
      <c r="N53" s="24">
        <v>45100</v>
      </c>
      <c r="O53" s="25">
        <v>2</v>
      </c>
      <c r="P53" s="73">
        <f t="shared" si="3"/>
        <v>46737</v>
      </c>
    </row>
    <row r="54" spans="11:16" x14ac:dyDescent="0.25">
      <c r="K54" s="3" t="s">
        <v>371</v>
      </c>
      <c r="L54" s="22">
        <v>37011</v>
      </c>
      <c r="M54" s="23">
        <f t="shared" ca="1" si="1"/>
        <v>14</v>
      </c>
      <c r="N54" s="24">
        <v>70760</v>
      </c>
      <c r="O54" s="25">
        <v>1</v>
      </c>
      <c r="P54" s="73">
        <f t="shared" si="3"/>
        <v>73329</v>
      </c>
    </row>
    <row r="55" spans="11:16" x14ac:dyDescent="0.25">
      <c r="K55" s="3" t="s">
        <v>362</v>
      </c>
      <c r="L55" s="22">
        <v>35803</v>
      </c>
      <c r="M55" s="23">
        <f t="shared" ca="1" si="1"/>
        <v>17</v>
      </c>
      <c r="N55" s="24">
        <v>61150</v>
      </c>
      <c r="O55" s="25">
        <v>4</v>
      </c>
      <c r="P55" s="73">
        <f t="shared" si="3"/>
        <v>63370</v>
      </c>
    </row>
    <row r="56" spans="11:16" x14ac:dyDescent="0.25">
      <c r="K56" s="3" t="s">
        <v>215</v>
      </c>
      <c r="L56" s="22">
        <v>31936</v>
      </c>
      <c r="M56" s="23">
        <f t="shared" ca="1" si="1"/>
        <v>28</v>
      </c>
      <c r="N56" s="24">
        <v>71730</v>
      </c>
      <c r="O56" s="25">
        <v>1</v>
      </c>
      <c r="P56" s="73">
        <f t="shared" si="3"/>
        <v>74334</v>
      </c>
    </row>
    <row r="57" spans="11:16" x14ac:dyDescent="0.25">
      <c r="K57" s="3" t="s">
        <v>399</v>
      </c>
      <c r="L57" s="22">
        <v>37847</v>
      </c>
      <c r="M57" s="23">
        <f t="shared" ca="1" si="1"/>
        <v>12</v>
      </c>
      <c r="N57" s="24">
        <v>47610</v>
      </c>
      <c r="O57" s="25">
        <v>4</v>
      </c>
      <c r="P57" s="73">
        <f t="shared" si="3"/>
        <v>49338</v>
      </c>
    </row>
    <row r="58" spans="11:16" x14ac:dyDescent="0.25">
      <c r="K58" s="3" t="s">
        <v>233</v>
      </c>
      <c r="L58" s="22">
        <v>34791</v>
      </c>
      <c r="M58" s="23">
        <f t="shared" ca="1" si="1"/>
        <v>20</v>
      </c>
      <c r="N58" s="24">
        <v>88240</v>
      </c>
      <c r="O58" s="25">
        <v>5</v>
      </c>
      <c r="P58" s="73">
        <f t="shared" si="3"/>
        <v>91443</v>
      </c>
    </row>
    <row r="59" spans="11:16" x14ac:dyDescent="0.25">
      <c r="K59" s="3" t="s">
        <v>263</v>
      </c>
      <c r="L59" s="22">
        <v>35022</v>
      </c>
      <c r="M59" s="23">
        <f t="shared" ca="1" si="1"/>
        <v>20</v>
      </c>
      <c r="N59" s="24">
        <v>37760</v>
      </c>
      <c r="O59" s="25">
        <v>2</v>
      </c>
      <c r="P59" s="73">
        <f t="shared" si="3"/>
        <v>39131</v>
      </c>
    </row>
    <row r="60" spans="11:16" x14ac:dyDescent="0.25">
      <c r="K60" s="3" t="s">
        <v>178</v>
      </c>
      <c r="L60" s="22">
        <v>33887</v>
      </c>
      <c r="M60" s="23">
        <f t="shared" ca="1" si="1"/>
        <v>23</v>
      </c>
      <c r="N60" s="24">
        <v>82120</v>
      </c>
      <c r="O60" s="25">
        <v>5</v>
      </c>
      <c r="P60" s="73">
        <f t="shared" si="3"/>
        <v>85101</v>
      </c>
    </row>
    <row r="61" spans="11:16" x14ac:dyDescent="0.25">
      <c r="K61" s="3" t="s">
        <v>339</v>
      </c>
      <c r="L61" s="22">
        <v>37497</v>
      </c>
      <c r="M61" s="23">
        <f t="shared" ca="1" si="1"/>
        <v>13</v>
      </c>
      <c r="N61" s="24">
        <v>47060</v>
      </c>
      <c r="O61" s="25">
        <v>4</v>
      </c>
      <c r="P61" s="73">
        <f t="shared" si="3"/>
        <v>48768</v>
      </c>
    </row>
    <row r="62" spans="11:16" x14ac:dyDescent="0.25">
      <c r="K62" s="3" t="s">
        <v>177</v>
      </c>
      <c r="L62" s="22">
        <v>33784</v>
      </c>
      <c r="M62" s="23">
        <f t="shared" ca="1" si="1"/>
        <v>23</v>
      </c>
      <c r="N62" s="24">
        <v>61148</v>
      </c>
      <c r="O62" s="25">
        <v>2</v>
      </c>
      <c r="P62" s="73">
        <f t="shared" si="3"/>
        <v>63368</v>
      </c>
    </row>
    <row r="63" spans="11:16" x14ac:dyDescent="0.25">
      <c r="K63" s="3" t="s">
        <v>250</v>
      </c>
      <c r="L63" s="22">
        <v>34259</v>
      </c>
      <c r="M63" s="23">
        <f t="shared" ca="1" si="1"/>
        <v>22</v>
      </c>
      <c r="N63" s="24">
        <v>37770</v>
      </c>
      <c r="O63" s="25">
        <v>5</v>
      </c>
      <c r="P63" s="73">
        <f t="shared" si="3"/>
        <v>39141</v>
      </c>
    </row>
    <row r="64" spans="11:16" x14ac:dyDescent="0.25">
      <c r="K64" s="3" t="s">
        <v>293</v>
      </c>
      <c r="L64" s="22">
        <v>34767</v>
      </c>
      <c r="M64" s="23">
        <f t="shared" ca="1" si="1"/>
        <v>20</v>
      </c>
      <c r="N64" s="24">
        <v>50110</v>
      </c>
      <c r="O64" s="25">
        <v>1</v>
      </c>
      <c r="P64" s="73">
        <f t="shared" si="3"/>
        <v>51929</v>
      </c>
    </row>
    <row r="65" spans="11:16" x14ac:dyDescent="0.25">
      <c r="K65" s="3" t="s">
        <v>430</v>
      </c>
      <c r="L65" s="22">
        <v>32278</v>
      </c>
      <c r="M65" s="23">
        <f t="shared" ca="1" si="1"/>
        <v>27</v>
      </c>
      <c r="N65" s="24">
        <v>44620</v>
      </c>
      <c r="O65" s="25">
        <v>5</v>
      </c>
      <c r="P65" s="73">
        <f t="shared" si="3"/>
        <v>46240</v>
      </c>
    </row>
    <row r="66" spans="11:16" x14ac:dyDescent="0.25">
      <c r="K66" s="3" t="s">
        <v>174</v>
      </c>
      <c r="L66" s="22">
        <v>33444</v>
      </c>
      <c r="M66" s="23">
        <f t="shared" ref="M66:M129" ca="1" si="4">DATEDIF(L66,TODAY(),"Y")</f>
        <v>24</v>
      </c>
      <c r="N66" s="24">
        <v>39000</v>
      </c>
      <c r="O66" s="25">
        <v>5</v>
      </c>
      <c r="P66" s="73">
        <f t="shared" si="3"/>
        <v>40416</v>
      </c>
    </row>
    <row r="67" spans="11:16" x14ac:dyDescent="0.25">
      <c r="K67" s="3" t="s">
        <v>193</v>
      </c>
      <c r="L67" s="22">
        <v>33909</v>
      </c>
      <c r="M67" s="23">
        <f t="shared" ca="1" si="4"/>
        <v>23</v>
      </c>
      <c r="N67" s="24">
        <v>47340</v>
      </c>
      <c r="O67" s="25">
        <v>2</v>
      </c>
      <c r="P67" s="73">
        <f t="shared" ref="P67:P130" si="5">ROUND(N67*$Q$1+N67,0)</f>
        <v>49058</v>
      </c>
    </row>
    <row r="68" spans="11:16" x14ac:dyDescent="0.25">
      <c r="K68" s="3" t="s">
        <v>333</v>
      </c>
      <c r="L68" s="22">
        <v>35698</v>
      </c>
      <c r="M68" s="23">
        <f t="shared" ca="1" si="4"/>
        <v>18</v>
      </c>
      <c r="N68" s="24">
        <v>27180</v>
      </c>
      <c r="O68" s="25">
        <v>4</v>
      </c>
      <c r="P68" s="73">
        <f t="shared" si="5"/>
        <v>28167</v>
      </c>
    </row>
    <row r="69" spans="11:16" x14ac:dyDescent="0.25">
      <c r="K69" s="3" t="s">
        <v>260</v>
      </c>
      <c r="L69" s="22">
        <v>35008</v>
      </c>
      <c r="M69" s="23">
        <f t="shared" ca="1" si="4"/>
        <v>20</v>
      </c>
      <c r="N69" s="24">
        <v>68750</v>
      </c>
      <c r="O69" s="25">
        <v>1</v>
      </c>
      <c r="P69" s="73">
        <f t="shared" si="5"/>
        <v>71246</v>
      </c>
    </row>
    <row r="70" spans="11:16" x14ac:dyDescent="0.25">
      <c r="K70" s="3" t="s">
        <v>328</v>
      </c>
      <c r="L70" s="22">
        <v>35104</v>
      </c>
      <c r="M70" s="23">
        <f t="shared" ca="1" si="4"/>
        <v>19</v>
      </c>
      <c r="N70" s="24">
        <v>39680</v>
      </c>
      <c r="O70" s="25">
        <v>5</v>
      </c>
      <c r="P70" s="73">
        <f t="shared" si="5"/>
        <v>41120</v>
      </c>
    </row>
    <row r="71" spans="11:16" x14ac:dyDescent="0.25">
      <c r="K71" s="3" t="s">
        <v>144</v>
      </c>
      <c r="L71" s="22">
        <v>33164</v>
      </c>
      <c r="M71" s="23">
        <f t="shared" ca="1" si="4"/>
        <v>25</v>
      </c>
      <c r="N71" s="24">
        <v>74670</v>
      </c>
      <c r="O71" s="25">
        <v>5</v>
      </c>
      <c r="P71" s="73">
        <f t="shared" si="5"/>
        <v>77381</v>
      </c>
    </row>
    <row r="72" spans="11:16" x14ac:dyDescent="0.25">
      <c r="K72" s="3" t="s">
        <v>313</v>
      </c>
      <c r="L72" s="22">
        <v>35153</v>
      </c>
      <c r="M72" s="23">
        <f t="shared" ca="1" si="4"/>
        <v>19</v>
      </c>
      <c r="N72" s="24">
        <v>44220</v>
      </c>
      <c r="O72" s="25">
        <v>3</v>
      </c>
      <c r="P72" s="73">
        <f t="shared" si="5"/>
        <v>45825</v>
      </c>
    </row>
    <row r="73" spans="11:16" x14ac:dyDescent="0.25">
      <c r="K73" s="3" t="s">
        <v>343</v>
      </c>
      <c r="L73" s="22">
        <v>35866</v>
      </c>
      <c r="M73" s="23">
        <f t="shared" ca="1" si="4"/>
        <v>17</v>
      </c>
      <c r="N73" s="24">
        <v>62790</v>
      </c>
      <c r="O73" s="25">
        <v>2</v>
      </c>
      <c r="P73" s="73">
        <f t="shared" si="5"/>
        <v>65069</v>
      </c>
    </row>
    <row r="74" spans="11:16" x14ac:dyDescent="0.25">
      <c r="K74" s="3" t="s">
        <v>351</v>
      </c>
      <c r="L74" s="22">
        <v>37480</v>
      </c>
      <c r="M74" s="23">
        <f t="shared" ca="1" si="4"/>
        <v>13</v>
      </c>
      <c r="N74" s="24">
        <v>62688</v>
      </c>
      <c r="O74" s="25">
        <v>3</v>
      </c>
      <c r="P74" s="73">
        <f t="shared" si="5"/>
        <v>64964</v>
      </c>
    </row>
    <row r="75" spans="11:16" x14ac:dyDescent="0.25">
      <c r="K75" s="3" t="s">
        <v>159</v>
      </c>
      <c r="L75" s="22">
        <v>34204</v>
      </c>
      <c r="M75" s="23">
        <f t="shared" ca="1" si="4"/>
        <v>22</v>
      </c>
      <c r="N75" s="24">
        <v>26510</v>
      </c>
      <c r="O75" s="25">
        <v>1</v>
      </c>
      <c r="P75" s="73">
        <f t="shared" si="5"/>
        <v>27472</v>
      </c>
    </row>
    <row r="76" spans="11:16" x14ac:dyDescent="0.25">
      <c r="K76" s="3" t="s">
        <v>203</v>
      </c>
      <c r="L76" s="22">
        <v>34046</v>
      </c>
      <c r="M76" s="23">
        <f t="shared" ca="1" si="4"/>
        <v>22</v>
      </c>
      <c r="N76" s="24">
        <v>63030</v>
      </c>
      <c r="O76" s="25">
        <v>1</v>
      </c>
      <c r="P76" s="73">
        <f t="shared" si="5"/>
        <v>65318</v>
      </c>
    </row>
    <row r="77" spans="11:16" x14ac:dyDescent="0.25">
      <c r="K77" s="3" t="s">
        <v>370</v>
      </c>
      <c r="L77" s="22">
        <v>36650</v>
      </c>
      <c r="M77" s="23">
        <f t="shared" ca="1" si="4"/>
        <v>15</v>
      </c>
      <c r="N77" s="24">
        <v>66890</v>
      </c>
      <c r="O77" s="25">
        <v>5</v>
      </c>
      <c r="P77" s="73">
        <f t="shared" si="5"/>
        <v>69318</v>
      </c>
    </row>
    <row r="78" spans="11:16" x14ac:dyDescent="0.25">
      <c r="K78" s="3" t="s">
        <v>320</v>
      </c>
      <c r="L78" s="22">
        <v>36021</v>
      </c>
      <c r="M78" s="23">
        <f t="shared" ca="1" si="4"/>
        <v>17</v>
      </c>
      <c r="N78" s="24">
        <v>62750</v>
      </c>
      <c r="O78" s="25">
        <v>3</v>
      </c>
      <c r="P78" s="73">
        <f t="shared" si="5"/>
        <v>65028</v>
      </c>
    </row>
    <row r="79" spans="11:16" x14ac:dyDescent="0.25">
      <c r="K79" s="3" t="s">
        <v>302</v>
      </c>
      <c r="L79" s="22">
        <v>35397</v>
      </c>
      <c r="M79" s="23">
        <f t="shared" ca="1" si="4"/>
        <v>19</v>
      </c>
      <c r="N79" s="24">
        <v>38870</v>
      </c>
      <c r="O79" s="25">
        <v>2</v>
      </c>
      <c r="P79" s="73">
        <f t="shared" si="5"/>
        <v>40281</v>
      </c>
    </row>
    <row r="80" spans="11:16" x14ac:dyDescent="0.25">
      <c r="K80" s="3" t="s">
        <v>284</v>
      </c>
      <c r="L80" s="22">
        <v>35225</v>
      </c>
      <c r="M80" s="23">
        <f t="shared" ca="1" si="4"/>
        <v>19</v>
      </c>
      <c r="N80" s="24">
        <v>76192</v>
      </c>
      <c r="O80" s="25">
        <v>4</v>
      </c>
      <c r="P80" s="73">
        <f t="shared" si="5"/>
        <v>78958</v>
      </c>
    </row>
    <row r="81" spans="11:16" x14ac:dyDescent="0.25">
      <c r="K81" s="3" t="s">
        <v>198</v>
      </c>
      <c r="L81" s="22">
        <v>34491</v>
      </c>
      <c r="M81" s="23">
        <f t="shared" ca="1" si="4"/>
        <v>21</v>
      </c>
      <c r="N81" s="24">
        <v>78570</v>
      </c>
      <c r="O81" s="25">
        <v>1</v>
      </c>
      <c r="P81" s="73">
        <f t="shared" si="5"/>
        <v>81422</v>
      </c>
    </row>
    <row r="82" spans="11:16" x14ac:dyDescent="0.25">
      <c r="K82" s="3" t="s">
        <v>123</v>
      </c>
      <c r="L82" s="22">
        <v>32594</v>
      </c>
      <c r="M82" s="23">
        <f t="shared" ca="1" si="4"/>
        <v>26</v>
      </c>
      <c r="N82" s="24">
        <v>87980</v>
      </c>
      <c r="O82" s="25">
        <v>1</v>
      </c>
      <c r="P82" s="73">
        <f t="shared" si="5"/>
        <v>91174</v>
      </c>
    </row>
    <row r="83" spans="11:16" x14ac:dyDescent="0.25">
      <c r="K83" s="3" t="s">
        <v>261</v>
      </c>
      <c r="L83" s="22">
        <v>34546</v>
      </c>
      <c r="M83" s="23">
        <f t="shared" ca="1" si="4"/>
        <v>21</v>
      </c>
      <c r="N83" s="24">
        <v>86830</v>
      </c>
      <c r="O83" s="25">
        <v>3</v>
      </c>
      <c r="P83" s="73">
        <f t="shared" si="5"/>
        <v>89982</v>
      </c>
    </row>
    <row r="84" spans="11:16" x14ac:dyDescent="0.25">
      <c r="K84" s="3" t="s">
        <v>182</v>
      </c>
      <c r="L84" s="22">
        <v>32867</v>
      </c>
      <c r="M84" s="23">
        <f t="shared" ca="1" si="4"/>
        <v>25</v>
      </c>
      <c r="N84" s="24">
        <v>65250</v>
      </c>
      <c r="O84" s="25">
        <v>2</v>
      </c>
      <c r="P84" s="73">
        <f t="shared" si="5"/>
        <v>67619</v>
      </c>
    </row>
    <row r="85" spans="11:16" x14ac:dyDescent="0.25">
      <c r="K85" s="3" t="s">
        <v>82</v>
      </c>
      <c r="L85" s="22">
        <v>32241</v>
      </c>
      <c r="M85" s="23">
        <f t="shared" ca="1" si="4"/>
        <v>27</v>
      </c>
      <c r="N85" s="24">
        <v>41350</v>
      </c>
      <c r="O85" s="25">
        <v>2</v>
      </c>
      <c r="P85" s="73">
        <f t="shared" si="5"/>
        <v>42851</v>
      </c>
    </row>
    <row r="86" spans="11:16" x14ac:dyDescent="0.25">
      <c r="K86" s="3" t="s">
        <v>341</v>
      </c>
      <c r="L86" s="22">
        <v>36374</v>
      </c>
      <c r="M86" s="23">
        <f t="shared" ca="1" si="4"/>
        <v>16</v>
      </c>
      <c r="N86" s="24">
        <v>42800</v>
      </c>
      <c r="O86" s="25">
        <v>5</v>
      </c>
      <c r="P86" s="73">
        <f t="shared" si="5"/>
        <v>44354</v>
      </c>
    </row>
    <row r="87" spans="11:16" x14ac:dyDescent="0.25">
      <c r="K87" s="3" t="s">
        <v>419</v>
      </c>
      <c r="L87" s="22">
        <v>39160</v>
      </c>
      <c r="M87" s="23">
        <f t="shared" ca="1" si="4"/>
        <v>8</v>
      </c>
      <c r="N87" s="24">
        <v>42620</v>
      </c>
      <c r="O87" s="25">
        <v>3</v>
      </c>
      <c r="P87" s="73">
        <f t="shared" si="5"/>
        <v>44167</v>
      </c>
    </row>
    <row r="88" spans="11:16" x14ac:dyDescent="0.25">
      <c r="K88" s="3" t="s">
        <v>295</v>
      </c>
      <c r="L88" s="22">
        <v>34771</v>
      </c>
      <c r="M88" s="23">
        <f t="shared" ca="1" si="4"/>
        <v>20</v>
      </c>
      <c r="N88" s="24">
        <v>67407</v>
      </c>
      <c r="O88" s="25">
        <v>5</v>
      </c>
      <c r="P88" s="73">
        <f t="shared" si="5"/>
        <v>69854</v>
      </c>
    </row>
    <row r="89" spans="11:16" x14ac:dyDescent="0.25">
      <c r="K89" s="3" t="s">
        <v>65</v>
      </c>
      <c r="L89" s="22">
        <v>32038</v>
      </c>
      <c r="M89" s="23">
        <f t="shared" ca="1" si="4"/>
        <v>28</v>
      </c>
      <c r="N89" s="24">
        <v>49810</v>
      </c>
      <c r="O89" s="25">
        <v>2</v>
      </c>
      <c r="P89" s="73">
        <f t="shared" si="5"/>
        <v>51618</v>
      </c>
    </row>
    <row r="90" spans="11:16" x14ac:dyDescent="0.25">
      <c r="K90" s="3" t="s">
        <v>300</v>
      </c>
      <c r="L90" s="22">
        <v>34935</v>
      </c>
      <c r="M90" s="23">
        <f t="shared" ca="1" si="4"/>
        <v>20</v>
      </c>
      <c r="N90" s="24">
        <v>58410</v>
      </c>
      <c r="O90" s="25">
        <v>5</v>
      </c>
      <c r="P90" s="73">
        <f t="shared" si="5"/>
        <v>60530</v>
      </c>
    </row>
    <row r="91" spans="11:16" x14ac:dyDescent="0.25">
      <c r="K91" s="3" t="s">
        <v>217</v>
      </c>
      <c r="L91" s="22">
        <v>33427</v>
      </c>
      <c r="M91" s="23">
        <f t="shared" ca="1" si="4"/>
        <v>24</v>
      </c>
      <c r="N91" s="24">
        <v>88850</v>
      </c>
      <c r="O91" s="25">
        <v>3</v>
      </c>
      <c r="P91" s="73">
        <f t="shared" si="5"/>
        <v>92075</v>
      </c>
    </row>
    <row r="92" spans="11:16" x14ac:dyDescent="0.25">
      <c r="K92" s="3" t="s">
        <v>433</v>
      </c>
      <c r="L92" s="22">
        <v>38960</v>
      </c>
      <c r="M92" s="23">
        <f t="shared" ca="1" si="4"/>
        <v>9</v>
      </c>
      <c r="N92" s="24">
        <v>35300</v>
      </c>
      <c r="O92" s="25">
        <v>5</v>
      </c>
      <c r="P92" s="73">
        <f t="shared" si="5"/>
        <v>36581</v>
      </c>
    </row>
    <row r="93" spans="11:16" x14ac:dyDescent="0.25">
      <c r="K93" s="3" t="s">
        <v>88</v>
      </c>
      <c r="L93" s="22">
        <v>32265</v>
      </c>
      <c r="M93" s="23">
        <f t="shared" ca="1" si="4"/>
        <v>27</v>
      </c>
      <c r="N93" s="24">
        <v>61400</v>
      </c>
      <c r="O93" s="25">
        <v>5</v>
      </c>
      <c r="P93" s="73">
        <f t="shared" si="5"/>
        <v>63629</v>
      </c>
    </row>
    <row r="94" spans="11:16" x14ac:dyDescent="0.25">
      <c r="K94" s="3" t="s">
        <v>308</v>
      </c>
      <c r="L94" s="22">
        <v>34679</v>
      </c>
      <c r="M94" s="23">
        <f t="shared" ca="1" si="4"/>
        <v>20</v>
      </c>
      <c r="N94" s="24">
        <v>71010</v>
      </c>
      <c r="O94" s="25">
        <v>5</v>
      </c>
      <c r="P94" s="73">
        <f t="shared" si="5"/>
        <v>73588</v>
      </c>
    </row>
    <row r="95" spans="11:16" x14ac:dyDescent="0.25">
      <c r="K95" s="3" t="s">
        <v>447</v>
      </c>
      <c r="L95" s="22">
        <v>38768</v>
      </c>
      <c r="M95" s="23">
        <f t="shared" ca="1" si="4"/>
        <v>9</v>
      </c>
      <c r="N95" s="24">
        <v>23190</v>
      </c>
      <c r="O95" s="25">
        <v>5</v>
      </c>
      <c r="P95" s="73">
        <f t="shared" si="5"/>
        <v>24032</v>
      </c>
    </row>
    <row r="96" spans="11:16" x14ac:dyDescent="0.25">
      <c r="K96" s="3" t="s">
        <v>125</v>
      </c>
      <c r="L96" s="22">
        <v>31761</v>
      </c>
      <c r="M96" s="23">
        <f t="shared" ca="1" si="4"/>
        <v>28</v>
      </c>
      <c r="N96" s="24">
        <v>69060</v>
      </c>
      <c r="O96" s="25">
        <v>1</v>
      </c>
      <c r="P96" s="73">
        <f t="shared" si="5"/>
        <v>71567</v>
      </c>
    </row>
    <row r="97" spans="11:16" x14ac:dyDescent="0.25">
      <c r="K97" s="3" t="s">
        <v>219</v>
      </c>
      <c r="L97" s="22">
        <v>34939</v>
      </c>
      <c r="M97" s="23">
        <f t="shared" ca="1" si="4"/>
        <v>20</v>
      </c>
      <c r="N97" s="24">
        <v>49860</v>
      </c>
      <c r="O97" s="25">
        <v>2</v>
      </c>
      <c r="P97" s="73">
        <f t="shared" si="5"/>
        <v>51670</v>
      </c>
    </row>
    <row r="98" spans="11:16" x14ac:dyDescent="0.25">
      <c r="K98" s="3" t="s">
        <v>110</v>
      </c>
      <c r="L98" s="22">
        <v>33231</v>
      </c>
      <c r="M98" s="23">
        <f t="shared" ca="1" si="4"/>
        <v>24</v>
      </c>
      <c r="N98" s="24">
        <v>34480</v>
      </c>
      <c r="O98" s="25">
        <v>3</v>
      </c>
      <c r="P98" s="73">
        <f t="shared" si="5"/>
        <v>35732</v>
      </c>
    </row>
    <row r="99" spans="11:16" x14ac:dyDescent="0.25">
      <c r="K99" s="3" t="s">
        <v>414</v>
      </c>
      <c r="L99" s="22">
        <v>38080</v>
      </c>
      <c r="M99" s="23">
        <f t="shared" ca="1" si="4"/>
        <v>11</v>
      </c>
      <c r="N99" s="24">
        <v>71490</v>
      </c>
      <c r="O99" s="25">
        <v>5</v>
      </c>
      <c r="P99" s="73">
        <f t="shared" si="5"/>
        <v>74085</v>
      </c>
    </row>
    <row r="100" spans="11:16" x14ac:dyDescent="0.25">
      <c r="K100" s="3" t="s">
        <v>169</v>
      </c>
      <c r="L100" s="22">
        <v>32976</v>
      </c>
      <c r="M100" s="23">
        <f t="shared" ca="1" si="4"/>
        <v>25</v>
      </c>
      <c r="N100" s="24">
        <v>87220</v>
      </c>
      <c r="O100" s="25">
        <v>1</v>
      </c>
      <c r="P100" s="73">
        <f t="shared" si="5"/>
        <v>90386</v>
      </c>
    </row>
    <row r="101" spans="11:16" x14ac:dyDescent="0.25">
      <c r="K101" s="3" t="s">
        <v>129</v>
      </c>
      <c r="L101" s="22">
        <v>32585</v>
      </c>
      <c r="M101" s="23">
        <f t="shared" ca="1" si="4"/>
        <v>26</v>
      </c>
      <c r="N101" s="24">
        <v>71670</v>
      </c>
      <c r="O101" s="25">
        <v>4</v>
      </c>
      <c r="P101" s="73">
        <f t="shared" si="5"/>
        <v>74272</v>
      </c>
    </row>
    <row r="102" spans="11:16" x14ac:dyDescent="0.25">
      <c r="K102" s="3" t="s">
        <v>334</v>
      </c>
      <c r="L102" s="22">
        <v>39074</v>
      </c>
      <c r="M102" s="23">
        <f t="shared" ca="1" si="4"/>
        <v>8</v>
      </c>
      <c r="N102" s="24">
        <v>46680</v>
      </c>
      <c r="O102" s="25">
        <v>1</v>
      </c>
      <c r="P102" s="73">
        <f t="shared" si="5"/>
        <v>48374</v>
      </c>
    </row>
    <row r="103" spans="11:16" x14ac:dyDescent="0.25">
      <c r="K103" s="3" t="s">
        <v>382</v>
      </c>
      <c r="L103" s="22">
        <v>36315</v>
      </c>
      <c r="M103" s="23">
        <f t="shared" ca="1" si="4"/>
        <v>16</v>
      </c>
      <c r="N103" s="24">
        <v>82490</v>
      </c>
      <c r="O103" s="25">
        <v>5</v>
      </c>
      <c r="P103" s="73">
        <f t="shared" si="5"/>
        <v>85484</v>
      </c>
    </row>
    <row r="104" spans="11:16" x14ac:dyDescent="0.25">
      <c r="K104" s="3" t="s">
        <v>428</v>
      </c>
      <c r="L104" s="22">
        <v>37843</v>
      </c>
      <c r="M104" s="23">
        <f t="shared" ca="1" si="4"/>
        <v>12</v>
      </c>
      <c r="N104" s="24">
        <v>43600</v>
      </c>
      <c r="O104" s="25">
        <v>5</v>
      </c>
      <c r="P104" s="73">
        <f t="shared" si="5"/>
        <v>45183</v>
      </c>
    </row>
    <row r="105" spans="11:16" x14ac:dyDescent="0.25">
      <c r="K105" s="3" t="s">
        <v>156</v>
      </c>
      <c r="L105" s="22">
        <v>32568</v>
      </c>
      <c r="M105" s="23">
        <f t="shared" ca="1" si="4"/>
        <v>26</v>
      </c>
      <c r="N105" s="24">
        <v>75370</v>
      </c>
      <c r="O105" s="25">
        <v>2</v>
      </c>
      <c r="P105" s="73">
        <f t="shared" si="5"/>
        <v>78106</v>
      </c>
    </row>
    <row r="106" spans="11:16" x14ac:dyDescent="0.25">
      <c r="K106" s="3" t="s">
        <v>416</v>
      </c>
      <c r="L106" s="22">
        <v>38145</v>
      </c>
      <c r="M106" s="23">
        <f t="shared" ca="1" si="4"/>
        <v>11</v>
      </c>
      <c r="N106" s="24">
        <v>59420</v>
      </c>
      <c r="O106" s="25">
        <v>4</v>
      </c>
      <c r="P106" s="73">
        <f t="shared" si="5"/>
        <v>61577</v>
      </c>
    </row>
    <row r="107" spans="11:16" x14ac:dyDescent="0.25">
      <c r="K107" s="3" t="s">
        <v>321</v>
      </c>
      <c r="L107" s="22">
        <v>35196</v>
      </c>
      <c r="M107" s="23">
        <f t="shared" ca="1" si="4"/>
        <v>19</v>
      </c>
      <c r="N107" s="24">
        <v>32100</v>
      </c>
      <c r="O107" s="25">
        <v>1</v>
      </c>
      <c r="P107" s="73">
        <f t="shared" si="5"/>
        <v>33265</v>
      </c>
    </row>
    <row r="108" spans="11:16" x14ac:dyDescent="0.25">
      <c r="K108" s="3" t="s">
        <v>363</v>
      </c>
      <c r="L108" s="22">
        <v>38094</v>
      </c>
      <c r="M108" s="23">
        <f t="shared" ca="1" si="4"/>
        <v>11</v>
      </c>
      <c r="N108" s="24">
        <v>50990</v>
      </c>
      <c r="O108" s="25">
        <v>4</v>
      </c>
      <c r="P108" s="73">
        <f t="shared" si="5"/>
        <v>52841</v>
      </c>
    </row>
    <row r="109" spans="11:16" x14ac:dyDescent="0.25">
      <c r="K109" s="3" t="s">
        <v>207</v>
      </c>
      <c r="L109" s="22">
        <v>34628</v>
      </c>
      <c r="M109" s="23">
        <f t="shared" ca="1" si="4"/>
        <v>21</v>
      </c>
      <c r="N109" s="24">
        <v>55450</v>
      </c>
      <c r="O109" s="25">
        <v>5</v>
      </c>
      <c r="P109" s="73">
        <f t="shared" si="5"/>
        <v>57463</v>
      </c>
    </row>
    <row r="110" spans="11:16" x14ac:dyDescent="0.25">
      <c r="K110" s="3" t="s">
        <v>397</v>
      </c>
      <c r="L110" s="22">
        <v>38131</v>
      </c>
      <c r="M110" s="23">
        <f t="shared" ca="1" si="4"/>
        <v>11</v>
      </c>
      <c r="N110" s="24">
        <v>68860</v>
      </c>
      <c r="O110" s="25">
        <v>2</v>
      </c>
      <c r="P110" s="73">
        <f t="shared" si="5"/>
        <v>71360</v>
      </c>
    </row>
    <row r="111" spans="11:16" x14ac:dyDescent="0.25">
      <c r="K111" s="3" t="s">
        <v>172</v>
      </c>
      <c r="L111" s="22">
        <v>33776</v>
      </c>
      <c r="M111" s="23">
        <f t="shared" ca="1" si="4"/>
        <v>23</v>
      </c>
      <c r="N111" s="24">
        <v>77350</v>
      </c>
      <c r="O111" s="25">
        <v>5</v>
      </c>
      <c r="P111" s="73">
        <f t="shared" si="5"/>
        <v>80158</v>
      </c>
    </row>
    <row r="112" spans="11:16" x14ac:dyDescent="0.25">
      <c r="K112" s="3" t="s">
        <v>365</v>
      </c>
      <c r="L112" s="22">
        <v>36825</v>
      </c>
      <c r="M112" s="23">
        <f t="shared" ca="1" si="4"/>
        <v>15</v>
      </c>
      <c r="N112" s="24">
        <v>65560</v>
      </c>
      <c r="O112" s="25">
        <v>1</v>
      </c>
      <c r="P112" s="73">
        <f t="shared" si="5"/>
        <v>67940</v>
      </c>
    </row>
    <row r="113" spans="11:16" x14ac:dyDescent="0.25">
      <c r="K113" s="3" t="s">
        <v>329</v>
      </c>
      <c r="L113" s="22">
        <v>36199</v>
      </c>
      <c r="M113" s="23">
        <f t="shared" ca="1" si="4"/>
        <v>16</v>
      </c>
      <c r="N113" s="24">
        <v>69080</v>
      </c>
      <c r="O113" s="25">
        <v>3</v>
      </c>
      <c r="P113" s="73">
        <f t="shared" si="5"/>
        <v>71588</v>
      </c>
    </row>
    <row r="114" spans="11:16" x14ac:dyDescent="0.25">
      <c r="K114" s="3" t="s">
        <v>323</v>
      </c>
      <c r="L114" s="22">
        <v>35699</v>
      </c>
      <c r="M114" s="23">
        <f t="shared" ca="1" si="4"/>
        <v>18</v>
      </c>
      <c r="N114" s="24">
        <v>78710</v>
      </c>
      <c r="O114" s="25">
        <v>2</v>
      </c>
      <c r="P114" s="73">
        <f t="shared" si="5"/>
        <v>81567</v>
      </c>
    </row>
    <row r="115" spans="11:16" x14ac:dyDescent="0.25">
      <c r="K115" s="3" t="s">
        <v>294</v>
      </c>
      <c r="L115" s="22">
        <v>34987</v>
      </c>
      <c r="M115" s="23">
        <f t="shared" ca="1" si="4"/>
        <v>20</v>
      </c>
      <c r="N115" s="24">
        <v>46030</v>
      </c>
      <c r="O115" s="25">
        <v>2</v>
      </c>
      <c r="P115" s="73">
        <f t="shared" si="5"/>
        <v>47701</v>
      </c>
    </row>
    <row r="116" spans="11:16" x14ac:dyDescent="0.25">
      <c r="K116" s="3" t="s">
        <v>83</v>
      </c>
      <c r="L116" s="22">
        <v>31803</v>
      </c>
      <c r="M116" s="23">
        <f t="shared" ca="1" si="4"/>
        <v>28</v>
      </c>
      <c r="N116" s="24">
        <v>32600</v>
      </c>
      <c r="O116" s="25">
        <v>5</v>
      </c>
      <c r="P116" s="73">
        <f t="shared" si="5"/>
        <v>33783</v>
      </c>
    </row>
    <row r="117" spans="11:16" x14ac:dyDescent="0.25">
      <c r="K117" s="3" t="s">
        <v>288</v>
      </c>
      <c r="L117" s="22">
        <v>35257</v>
      </c>
      <c r="M117" s="23">
        <f t="shared" ca="1" si="4"/>
        <v>19</v>
      </c>
      <c r="N117" s="24">
        <v>45450</v>
      </c>
      <c r="O117" s="25">
        <v>5</v>
      </c>
      <c r="P117" s="73">
        <f t="shared" si="5"/>
        <v>47100</v>
      </c>
    </row>
    <row r="118" spans="11:16" x14ac:dyDescent="0.25">
      <c r="K118" s="3" t="s">
        <v>112</v>
      </c>
      <c r="L118" s="22">
        <v>33475</v>
      </c>
      <c r="M118" s="23">
        <f t="shared" ca="1" si="4"/>
        <v>24</v>
      </c>
      <c r="N118" s="24">
        <v>24300</v>
      </c>
      <c r="O118" s="25">
        <v>3</v>
      </c>
      <c r="P118" s="73">
        <f t="shared" si="5"/>
        <v>25182</v>
      </c>
    </row>
    <row r="119" spans="11:16" x14ac:dyDescent="0.25">
      <c r="K119" s="3" t="s">
        <v>369</v>
      </c>
      <c r="L119" s="22">
        <v>36475</v>
      </c>
      <c r="M119" s="23">
        <f t="shared" ca="1" si="4"/>
        <v>16</v>
      </c>
      <c r="N119" s="24">
        <v>87280</v>
      </c>
      <c r="O119" s="25">
        <v>4</v>
      </c>
      <c r="P119" s="73">
        <f t="shared" si="5"/>
        <v>90448</v>
      </c>
    </row>
    <row r="120" spans="11:16" x14ac:dyDescent="0.25">
      <c r="K120" s="3" t="s">
        <v>152</v>
      </c>
      <c r="L120" s="22">
        <v>32303</v>
      </c>
      <c r="M120" s="23">
        <f t="shared" ca="1" si="4"/>
        <v>27</v>
      </c>
      <c r="N120" s="24">
        <v>82500</v>
      </c>
      <c r="O120" s="25">
        <v>5</v>
      </c>
      <c r="P120" s="73">
        <f t="shared" si="5"/>
        <v>85495</v>
      </c>
    </row>
    <row r="121" spans="11:16" x14ac:dyDescent="0.25">
      <c r="K121" s="3" t="s">
        <v>254</v>
      </c>
      <c r="L121" s="22">
        <v>34519</v>
      </c>
      <c r="M121" s="23">
        <f t="shared" ca="1" si="4"/>
        <v>21</v>
      </c>
      <c r="N121" s="24">
        <v>61030</v>
      </c>
      <c r="O121" s="25">
        <v>3</v>
      </c>
      <c r="P121" s="73">
        <f t="shared" si="5"/>
        <v>63245</v>
      </c>
    </row>
    <row r="122" spans="11:16" x14ac:dyDescent="0.25">
      <c r="K122" s="3" t="s">
        <v>380</v>
      </c>
      <c r="L122" s="22">
        <v>37354</v>
      </c>
      <c r="M122" s="23">
        <f t="shared" ca="1" si="4"/>
        <v>13</v>
      </c>
      <c r="N122" s="24">
        <v>61060</v>
      </c>
      <c r="O122" s="25">
        <v>5</v>
      </c>
      <c r="P122" s="73">
        <f t="shared" si="5"/>
        <v>63276</v>
      </c>
    </row>
    <row r="123" spans="11:16" x14ac:dyDescent="0.25">
      <c r="K123" s="3" t="s">
        <v>393</v>
      </c>
      <c r="L123" s="22">
        <v>39060</v>
      </c>
      <c r="M123" s="23">
        <f t="shared" ca="1" si="4"/>
        <v>9</v>
      </c>
      <c r="N123" s="24">
        <v>66840</v>
      </c>
      <c r="O123" s="25">
        <v>4</v>
      </c>
      <c r="P123" s="73">
        <f t="shared" si="5"/>
        <v>69266</v>
      </c>
    </row>
    <row r="124" spans="11:16" x14ac:dyDescent="0.25">
      <c r="K124" s="3" t="s">
        <v>316</v>
      </c>
      <c r="L124" s="22">
        <v>35646</v>
      </c>
      <c r="M124" s="23">
        <f t="shared" ca="1" si="4"/>
        <v>18</v>
      </c>
      <c r="N124" s="24">
        <v>49930</v>
      </c>
      <c r="O124" s="25">
        <v>1</v>
      </c>
      <c r="P124" s="73">
        <f t="shared" si="5"/>
        <v>51742</v>
      </c>
    </row>
    <row r="125" spans="11:16" x14ac:dyDescent="0.25">
      <c r="K125" s="3" t="s">
        <v>442</v>
      </c>
      <c r="L125" s="22">
        <v>38394</v>
      </c>
      <c r="M125" s="23">
        <f t="shared" ca="1" si="4"/>
        <v>10</v>
      </c>
      <c r="N125" s="24">
        <v>58290</v>
      </c>
      <c r="O125" s="25">
        <v>5</v>
      </c>
      <c r="P125" s="73">
        <f t="shared" si="5"/>
        <v>60406</v>
      </c>
    </row>
    <row r="126" spans="11:16" x14ac:dyDescent="0.25">
      <c r="K126" s="3" t="s">
        <v>222</v>
      </c>
      <c r="L126" s="22">
        <v>34686</v>
      </c>
      <c r="M126" s="23">
        <f t="shared" ca="1" si="4"/>
        <v>20</v>
      </c>
      <c r="N126" s="24">
        <v>40340</v>
      </c>
      <c r="O126" s="25">
        <v>2</v>
      </c>
      <c r="P126" s="73">
        <f t="shared" si="5"/>
        <v>41804</v>
      </c>
    </row>
    <row r="127" spans="11:16" x14ac:dyDescent="0.25">
      <c r="K127" s="3" t="s">
        <v>195</v>
      </c>
      <c r="L127" s="22">
        <v>32801</v>
      </c>
      <c r="M127" s="23">
        <f t="shared" ca="1" si="4"/>
        <v>26</v>
      </c>
      <c r="N127" s="24">
        <v>73030</v>
      </c>
      <c r="O127" s="25">
        <v>5</v>
      </c>
      <c r="P127" s="73">
        <f t="shared" si="5"/>
        <v>75681</v>
      </c>
    </row>
    <row r="128" spans="11:16" x14ac:dyDescent="0.25">
      <c r="K128" s="3" t="s">
        <v>318</v>
      </c>
      <c r="L128" s="22">
        <v>36917</v>
      </c>
      <c r="M128" s="23">
        <f t="shared" ca="1" si="4"/>
        <v>14</v>
      </c>
      <c r="N128" s="24">
        <v>86200</v>
      </c>
      <c r="O128" s="25">
        <v>3</v>
      </c>
      <c r="P128" s="73">
        <f t="shared" si="5"/>
        <v>89329</v>
      </c>
    </row>
    <row r="129" spans="11:16" x14ac:dyDescent="0.25">
      <c r="K129" s="3" t="s">
        <v>299</v>
      </c>
      <c r="L129" s="22">
        <v>35082</v>
      </c>
      <c r="M129" s="23">
        <f t="shared" ca="1" si="4"/>
        <v>19</v>
      </c>
      <c r="N129" s="24">
        <v>51410</v>
      </c>
      <c r="O129" s="25">
        <v>4</v>
      </c>
      <c r="P129" s="73">
        <f t="shared" si="5"/>
        <v>53276</v>
      </c>
    </row>
    <row r="130" spans="11:16" x14ac:dyDescent="0.25">
      <c r="K130" s="3" t="s">
        <v>280</v>
      </c>
      <c r="L130" s="22">
        <v>35020</v>
      </c>
      <c r="M130" s="23">
        <f t="shared" ref="M130:M193" ca="1" si="6">DATEDIF(L130,TODAY(),"Y")</f>
        <v>20</v>
      </c>
      <c r="N130" s="24">
        <v>61850</v>
      </c>
      <c r="O130" s="25">
        <v>2</v>
      </c>
      <c r="P130" s="73">
        <f t="shared" si="5"/>
        <v>64095</v>
      </c>
    </row>
    <row r="131" spans="11:16" x14ac:dyDescent="0.25">
      <c r="K131" s="3" t="s">
        <v>199</v>
      </c>
      <c r="L131" s="22">
        <v>33742</v>
      </c>
      <c r="M131" s="23">
        <f t="shared" ca="1" si="6"/>
        <v>23</v>
      </c>
      <c r="N131" s="24">
        <v>64780</v>
      </c>
      <c r="O131" s="25">
        <v>5</v>
      </c>
      <c r="P131" s="73">
        <f t="shared" ref="P131:P194" si="7">ROUND(N131*$Q$1+N131,0)</f>
        <v>67132</v>
      </c>
    </row>
    <row r="132" spans="11:16" x14ac:dyDescent="0.25">
      <c r="K132" s="3" t="s">
        <v>199</v>
      </c>
      <c r="L132" s="22">
        <v>33742</v>
      </c>
      <c r="M132" s="23">
        <f t="shared" ca="1" si="6"/>
        <v>23</v>
      </c>
      <c r="N132" s="24">
        <v>64780</v>
      </c>
      <c r="O132" s="25">
        <v>5</v>
      </c>
      <c r="P132" s="73">
        <f t="shared" si="7"/>
        <v>67132</v>
      </c>
    </row>
    <row r="133" spans="11:16" x14ac:dyDescent="0.25">
      <c r="K133" s="3" t="s">
        <v>184</v>
      </c>
      <c r="L133" s="22">
        <v>34872</v>
      </c>
      <c r="M133" s="23">
        <f t="shared" ca="1" si="6"/>
        <v>20</v>
      </c>
      <c r="N133" s="24">
        <v>68300</v>
      </c>
      <c r="O133" s="25">
        <v>5</v>
      </c>
      <c r="P133" s="73">
        <f t="shared" si="7"/>
        <v>70779</v>
      </c>
    </row>
    <row r="134" spans="11:16" x14ac:dyDescent="0.25">
      <c r="K134" s="3" t="s">
        <v>206</v>
      </c>
      <c r="L134" s="22">
        <v>31869</v>
      </c>
      <c r="M134" s="23">
        <f t="shared" ca="1" si="6"/>
        <v>28</v>
      </c>
      <c r="N134" s="24">
        <v>43110</v>
      </c>
      <c r="O134" s="25">
        <v>2</v>
      </c>
      <c r="P134" s="73">
        <f t="shared" si="7"/>
        <v>44675</v>
      </c>
    </row>
    <row r="135" spans="11:16" x14ac:dyDescent="0.25">
      <c r="K135" s="3" t="s">
        <v>301</v>
      </c>
      <c r="L135" s="22">
        <v>35239</v>
      </c>
      <c r="M135" s="23">
        <f t="shared" ca="1" si="6"/>
        <v>19</v>
      </c>
      <c r="N135" s="24">
        <v>35460</v>
      </c>
      <c r="O135" s="25">
        <v>1</v>
      </c>
      <c r="P135" s="73">
        <f t="shared" si="7"/>
        <v>36747</v>
      </c>
    </row>
    <row r="136" spans="11:16" x14ac:dyDescent="0.25">
      <c r="K136" s="3" t="s">
        <v>285</v>
      </c>
      <c r="L136" s="22">
        <v>33943</v>
      </c>
      <c r="M136" s="23">
        <f t="shared" ca="1" si="6"/>
        <v>23</v>
      </c>
      <c r="N136" s="24">
        <v>63780</v>
      </c>
      <c r="O136" s="25">
        <v>5</v>
      </c>
      <c r="P136" s="73">
        <f t="shared" si="7"/>
        <v>66095</v>
      </c>
    </row>
    <row r="137" spans="11:16" x14ac:dyDescent="0.25">
      <c r="K137" s="3" t="s">
        <v>68</v>
      </c>
      <c r="L137" s="22">
        <v>32410</v>
      </c>
      <c r="M137" s="23">
        <f t="shared" ca="1" si="6"/>
        <v>27</v>
      </c>
      <c r="N137" s="24">
        <v>58910</v>
      </c>
      <c r="O137" s="25">
        <v>1</v>
      </c>
      <c r="P137" s="73">
        <f t="shared" si="7"/>
        <v>61048</v>
      </c>
    </row>
    <row r="138" spans="11:16" x14ac:dyDescent="0.25">
      <c r="K138" s="3" t="s">
        <v>95</v>
      </c>
      <c r="L138" s="22">
        <v>32375</v>
      </c>
      <c r="M138" s="23">
        <f t="shared" ca="1" si="6"/>
        <v>27</v>
      </c>
      <c r="N138" s="24">
        <v>65571</v>
      </c>
      <c r="O138" s="25">
        <v>3</v>
      </c>
      <c r="P138" s="73">
        <f t="shared" si="7"/>
        <v>67951</v>
      </c>
    </row>
    <row r="139" spans="11:16" x14ac:dyDescent="0.25">
      <c r="K139" s="3" t="s">
        <v>127</v>
      </c>
      <c r="L139" s="22">
        <v>32268</v>
      </c>
      <c r="M139" s="23">
        <f t="shared" ca="1" si="6"/>
        <v>27</v>
      </c>
      <c r="N139" s="24">
        <v>43580</v>
      </c>
      <c r="O139" s="25">
        <v>5</v>
      </c>
      <c r="P139" s="73">
        <f t="shared" si="7"/>
        <v>45162</v>
      </c>
    </row>
    <row r="140" spans="11:16" x14ac:dyDescent="0.25">
      <c r="K140" s="3" t="s">
        <v>99</v>
      </c>
      <c r="L140" s="22">
        <v>32436</v>
      </c>
      <c r="M140" s="23">
        <f t="shared" ca="1" si="6"/>
        <v>27</v>
      </c>
      <c r="N140" s="24">
        <v>31830</v>
      </c>
      <c r="O140" s="25">
        <v>3</v>
      </c>
      <c r="P140" s="73">
        <f t="shared" si="7"/>
        <v>32985</v>
      </c>
    </row>
    <row r="141" spans="11:16" x14ac:dyDescent="0.25">
      <c r="K141" s="3" t="s">
        <v>209</v>
      </c>
      <c r="L141" s="22">
        <v>33827</v>
      </c>
      <c r="M141" s="23">
        <f t="shared" ca="1" si="6"/>
        <v>23</v>
      </c>
      <c r="N141" s="24">
        <v>33590</v>
      </c>
      <c r="O141" s="25">
        <v>5</v>
      </c>
      <c r="P141" s="73">
        <f t="shared" si="7"/>
        <v>34809</v>
      </c>
    </row>
    <row r="142" spans="11:16" x14ac:dyDescent="0.25">
      <c r="K142" s="3" t="s">
        <v>307</v>
      </c>
      <c r="L142" s="22">
        <v>35362</v>
      </c>
      <c r="M142" s="23">
        <f t="shared" ca="1" si="6"/>
        <v>19</v>
      </c>
      <c r="N142" s="24">
        <v>65320</v>
      </c>
      <c r="O142" s="25">
        <v>5</v>
      </c>
      <c r="P142" s="73">
        <f t="shared" si="7"/>
        <v>67691</v>
      </c>
    </row>
    <row r="143" spans="11:16" x14ac:dyDescent="0.25">
      <c r="K143" s="3" t="s">
        <v>409</v>
      </c>
      <c r="L143" s="22">
        <v>39089</v>
      </c>
      <c r="M143" s="23">
        <f t="shared" ca="1" si="6"/>
        <v>8</v>
      </c>
      <c r="N143" s="24">
        <v>32640</v>
      </c>
      <c r="O143" s="25">
        <v>4</v>
      </c>
      <c r="P143" s="73">
        <f t="shared" si="7"/>
        <v>33825</v>
      </c>
    </row>
    <row r="144" spans="11:16" x14ac:dyDescent="0.25">
      <c r="K144" s="3" t="s">
        <v>427</v>
      </c>
      <c r="L144" s="22">
        <v>38662</v>
      </c>
      <c r="M144" s="23">
        <f t="shared" ca="1" si="6"/>
        <v>10</v>
      </c>
      <c r="N144" s="24">
        <v>78170</v>
      </c>
      <c r="O144" s="25">
        <v>5</v>
      </c>
      <c r="P144" s="73">
        <f t="shared" si="7"/>
        <v>81008</v>
      </c>
    </row>
    <row r="145" spans="11:16" x14ac:dyDescent="0.25">
      <c r="K145" s="3" t="s">
        <v>275</v>
      </c>
      <c r="L145" s="22">
        <v>34702</v>
      </c>
      <c r="M145" s="23">
        <f t="shared" ca="1" si="6"/>
        <v>20</v>
      </c>
      <c r="N145" s="24">
        <v>78950</v>
      </c>
      <c r="O145" s="25">
        <v>1</v>
      </c>
      <c r="P145" s="73">
        <f t="shared" si="7"/>
        <v>81816</v>
      </c>
    </row>
    <row r="146" spans="11:16" x14ac:dyDescent="0.25">
      <c r="K146" s="3" t="s">
        <v>94</v>
      </c>
      <c r="L146" s="22">
        <v>31807</v>
      </c>
      <c r="M146" s="23">
        <f t="shared" ca="1" si="6"/>
        <v>28</v>
      </c>
      <c r="N146" s="24">
        <v>35360</v>
      </c>
      <c r="O146" s="25">
        <v>5</v>
      </c>
      <c r="P146" s="73">
        <f t="shared" si="7"/>
        <v>36644</v>
      </c>
    </row>
    <row r="147" spans="11:16" x14ac:dyDescent="0.25">
      <c r="K147" s="3" t="s">
        <v>441</v>
      </c>
      <c r="L147" s="22">
        <v>39191</v>
      </c>
      <c r="M147" s="23">
        <f t="shared" ca="1" si="6"/>
        <v>8</v>
      </c>
      <c r="N147" s="24">
        <v>77820</v>
      </c>
      <c r="O147" s="25">
        <v>3</v>
      </c>
      <c r="P147" s="73">
        <f t="shared" si="7"/>
        <v>80645</v>
      </c>
    </row>
    <row r="148" spans="11:16" x14ac:dyDescent="0.25">
      <c r="K148" s="3" t="s">
        <v>221</v>
      </c>
      <c r="L148" s="22">
        <v>34063</v>
      </c>
      <c r="M148" s="23">
        <f t="shared" ca="1" si="6"/>
        <v>22</v>
      </c>
      <c r="N148" s="24">
        <v>66440</v>
      </c>
      <c r="O148" s="25">
        <v>3</v>
      </c>
      <c r="P148" s="73">
        <f t="shared" si="7"/>
        <v>68852</v>
      </c>
    </row>
    <row r="149" spans="11:16" x14ac:dyDescent="0.25">
      <c r="K149" s="3" t="s">
        <v>423</v>
      </c>
      <c r="L149" s="22">
        <v>37043</v>
      </c>
      <c r="M149" s="23">
        <f t="shared" ca="1" si="6"/>
        <v>14</v>
      </c>
      <c r="N149" s="24">
        <v>83710</v>
      </c>
      <c r="O149" s="25">
        <v>3</v>
      </c>
      <c r="P149" s="73">
        <f t="shared" si="7"/>
        <v>86749</v>
      </c>
    </row>
    <row r="150" spans="11:16" x14ac:dyDescent="0.25">
      <c r="K150" s="3" t="s">
        <v>78</v>
      </c>
      <c r="L150" s="22">
        <v>31969</v>
      </c>
      <c r="M150" s="23">
        <f t="shared" ca="1" si="6"/>
        <v>28</v>
      </c>
      <c r="N150" s="24">
        <v>24200</v>
      </c>
      <c r="O150" s="25">
        <v>5</v>
      </c>
      <c r="P150" s="73">
        <f t="shared" si="7"/>
        <v>25078</v>
      </c>
    </row>
    <row r="151" spans="11:16" x14ac:dyDescent="0.25">
      <c r="K151" s="3" t="s">
        <v>236</v>
      </c>
      <c r="L151" s="22">
        <v>34812</v>
      </c>
      <c r="M151" s="23">
        <f t="shared" ca="1" si="6"/>
        <v>20</v>
      </c>
      <c r="N151" s="24">
        <v>22660</v>
      </c>
      <c r="O151" s="25">
        <v>2</v>
      </c>
      <c r="P151" s="73">
        <f t="shared" si="7"/>
        <v>23483</v>
      </c>
    </row>
    <row r="152" spans="11:16" x14ac:dyDescent="0.25">
      <c r="K152" s="3" t="s">
        <v>232</v>
      </c>
      <c r="L152" s="22">
        <v>33944</v>
      </c>
      <c r="M152" s="23">
        <f t="shared" ca="1" si="6"/>
        <v>23</v>
      </c>
      <c r="N152" s="24">
        <v>48800</v>
      </c>
      <c r="O152" s="25">
        <v>4</v>
      </c>
      <c r="P152" s="73">
        <f t="shared" si="7"/>
        <v>50571</v>
      </c>
    </row>
    <row r="153" spans="11:16" x14ac:dyDescent="0.25">
      <c r="K153" s="3" t="s">
        <v>340</v>
      </c>
      <c r="L153" s="22">
        <v>36538</v>
      </c>
      <c r="M153" s="23">
        <f t="shared" ca="1" si="6"/>
        <v>15</v>
      </c>
      <c r="N153" s="24">
        <v>76910</v>
      </c>
      <c r="O153" s="25">
        <v>2</v>
      </c>
      <c r="P153" s="73">
        <f t="shared" si="7"/>
        <v>79702</v>
      </c>
    </row>
    <row r="154" spans="11:16" x14ac:dyDescent="0.25">
      <c r="K154" s="3" t="s">
        <v>436</v>
      </c>
      <c r="L154" s="22">
        <v>38964</v>
      </c>
      <c r="M154" s="23">
        <f t="shared" ca="1" si="6"/>
        <v>9</v>
      </c>
      <c r="N154" s="24">
        <v>38730</v>
      </c>
      <c r="O154" s="25">
        <v>1</v>
      </c>
      <c r="P154" s="73">
        <f t="shared" si="7"/>
        <v>40136</v>
      </c>
    </row>
    <row r="155" spans="11:16" x14ac:dyDescent="0.25">
      <c r="K155" s="3" t="s">
        <v>292</v>
      </c>
      <c r="L155" s="22">
        <v>35226</v>
      </c>
      <c r="M155" s="23">
        <f t="shared" ca="1" si="6"/>
        <v>19</v>
      </c>
      <c r="N155" s="24">
        <v>62400</v>
      </c>
      <c r="O155" s="25">
        <v>4</v>
      </c>
      <c r="P155" s="73">
        <f t="shared" si="7"/>
        <v>64665</v>
      </c>
    </row>
    <row r="156" spans="11:16" x14ac:dyDescent="0.25">
      <c r="K156" s="3" t="s">
        <v>429</v>
      </c>
      <c r="L156" s="22">
        <v>39327</v>
      </c>
      <c r="M156" s="23">
        <f t="shared" ca="1" si="6"/>
        <v>8</v>
      </c>
      <c r="N156" s="24">
        <v>86640</v>
      </c>
      <c r="O156" s="25">
        <v>3</v>
      </c>
      <c r="P156" s="73">
        <f t="shared" si="7"/>
        <v>89785</v>
      </c>
    </row>
    <row r="157" spans="11:16" x14ac:dyDescent="0.25">
      <c r="K157" s="3" t="s">
        <v>224</v>
      </c>
      <c r="L157" s="22">
        <v>34177</v>
      </c>
      <c r="M157" s="23">
        <f t="shared" ca="1" si="6"/>
        <v>22</v>
      </c>
      <c r="N157" s="24">
        <v>80120</v>
      </c>
      <c r="O157" s="25">
        <v>4</v>
      </c>
      <c r="P157" s="73">
        <f t="shared" si="7"/>
        <v>83028</v>
      </c>
    </row>
    <row r="158" spans="11:16" x14ac:dyDescent="0.25">
      <c r="K158" s="3" t="s">
        <v>238</v>
      </c>
      <c r="L158" s="22">
        <v>33997</v>
      </c>
      <c r="M158" s="23">
        <f t="shared" ca="1" si="6"/>
        <v>22</v>
      </c>
      <c r="N158" s="24">
        <v>31690</v>
      </c>
      <c r="O158" s="25">
        <v>4</v>
      </c>
      <c r="P158" s="73">
        <f t="shared" si="7"/>
        <v>32840</v>
      </c>
    </row>
    <row r="159" spans="11:16" x14ac:dyDescent="0.25">
      <c r="K159" s="3" t="s">
        <v>438</v>
      </c>
      <c r="L159" s="22">
        <v>38435</v>
      </c>
      <c r="M159" s="23">
        <f t="shared" ca="1" si="6"/>
        <v>10</v>
      </c>
      <c r="N159" s="24">
        <v>29330</v>
      </c>
      <c r="O159" s="25">
        <v>5</v>
      </c>
      <c r="P159" s="73">
        <f t="shared" si="7"/>
        <v>30395</v>
      </c>
    </row>
    <row r="160" spans="11:16" x14ac:dyDescent="0.25">
      <c r="K160" s="3" t="s">
        <v>322</v>
      </c>
      <c r="L160" s="22">
        <v>35657</v>
      </c>
      <c r="M160" s="23">
        <f t="shared" ca="1" si="6"/>
        <v>18</v>
      </c>
      <c r="N160" s="24">
        <v>63060</v>
      </c>
      <c r="O160" s="25">
        <v>4</v>
      </c>
      <c r="P160" s="73">
        <f t="shared" si="7"/>
        <v>65349</v>
      </c>
    </row>
    <row r="161" spans="11:16" x14ac:dyDescent="0.25">
      <c r="K161" s="3" t="s">
        <v>247</v>
      </c>
      <c r="L161" s="22">
        <v>34102</v>
      </c>
      <c r="M161" s="23">
        <f t="shared" ca="1" si="6"/>
        <v>22</v>
      </c>
      <c r="N161" s="24">
        <v>77950</v>
      </c>
      <c r="O161" s="25">
        <v>4</v>
      </c>
      <c r="P161" s="73">
        <f t="shared" si="7"/>
        <v>80780</v>
      </c>
    </row>
    <row r="162" spans="11:16" x14ac:dyDescent="0.25">
      <c r="K162" s="3" t="s">
        <v>162</v>
      </c>
      <c r="L162" s="22">
        <v>34046</v>
      </c>
      <c r="M162" s="23">
        <f t="shared" ca="1" si="6"/>
        <v>22</v>
      </c>
      <c r="N162" s="24">
        <v>45480</v>
      </c>
      <c r="O162" s="25">
        <v>4</v>
      </c>
      <c r="P162" s="73">
        <f t="shared" si="7"/>
        <v>47131</v>
      </c>
    </row>
    <row r="163" spans="11:16" x14ac:dyDescent="0.25">
      <c r="K163" s="3" t="s">
        <v>366</v>
      </c>
      <c r="L163" s="22">
        <v>36500</v>
      </c>
      <c r="M163" s="23">
        <f t="shared" ca="1" si="6"/>
        <v>16</v>
      </c>
      <c r="N163" s="24">
        <v>48010</v>
      </c>
      <c r="O163" s="25">
        <v>3</v>
      </c>
      <c r="P163" s="73">
        <f t="shared" si="7"/>
        <v>49753</v>
      </c>
    </row>
    <row r="164" spans="11:16" x14ac:dyDescent="0.25">
      <c r="K164" s="3" t="s">
        <v>297</v>
      </c>
      <c r="L164" s="22">
        <v>34295</v>
      </c>
      <c r="M164" s="23">
        <f t="shared" ca="1" si="6"/>
        <v>22</v>
      </c>
      <c r="N164" s="24">
        <v>56870</v>
      </c>
      <c r="O164" s="25">
        <v>1</v>
      </c>
      <c r="P164" s="73">
        <f t="shared" si="7"/>
        <v>58934</v>
      </c>
    </row>
    <row r="165" spans="11:16" x14ac:dyDescent="0.25">
      <c r="K165" s="3" t="s">
        <v>124</v>
      </c>
      <c r="L165" s="22">
        <v>32711</v>
      </c>
      <c r="M165" s="23">
        <f t="shared" ca="1" si="6"/>
        <v>26</v>
      </c>
      <c r="N165" s="24">
        <v>45110</v>
      </c>
      <c r="O165" s="25">
        <v>2</v>
      </c>
      <c r="P165" s="73">
        <f t="shared" si="7"/>
        <v>46747</v>
      </c>
    </row>
    <row r="166" spans="11:16" x14ac:dyDescent="0.25">
      <c r="K166" s="3" t="s">
        <v>319</v>
      </c>
      <c r="L166" s="22">
        <v>34950</v>
      </c>
      <c r="M166" s="23">
        <f t="shared" ca="1" si="6"/>
        <v>20</v>
      </c>
      <c r="N166" s="24">
        <v>75150</v>
      </c>
      <c r="O166" s="25">
        <v>1</v>
      </c>
      <c r="P166" s="73">
        <f t="shared" si="7"/>
        <v>77878</v>
      </c>
    </row>
    <row r="167" spans="11:16" x14ac:dyDescent="0.25">
      <c r="K167" s="3" t="s">
        <v>246</v>
      </c>
      <c r="L167" s="22">
        <v>37837</v>
      </c>
      <c r="M167" s="23">
        <f t="shared" ca="1" si="6"/>
        <v>12</v>
      </c>
      <c r="N167" s="24">
        <v>43680</v>
      </c>
      <c r="O167" s="25">
        <v>5</v>
      </c>
      <c r="P167" s="73">
        <f t="shared" si="7"/>
        <v>45266</v>
      </c>
    </row>
    <row r="168" spans="11:16" x14ac:dyDescent="0.25">
      <c r="K168" s="3" t="s">
        <v>349</v>
      </c>
      <c r="L168" s="22">
        <v>35204</v>
      </c>
      <c r="M168" s="23">
        <f t="shared" ca="1" si="6"/>
        <v>19</v>
      </c>
      <c r="N168" s="24">
        <v>48250</v>
      </c>
      <c r="O168" s="25">
        <v>3</v>
      </c>
      <c r="P168" s="73">
        <f t="shared" si="7"/>
        <v>50001</v>
      </c>
    </row>
    <row r="169" spans="11:16" x14ac:dyDescent="0.25">
      <c r="K169" s="3" t="s">
        <v>200</v>
      </c>
      <c r="L169" s="22">
        <v>33565</v>
      </c>
      <c r="M169" s="23">
        <f t="shared" ca="1" si="6"/>
        <v>24</v>
      </c>
      <c r="N169" s="24">
        <v>66920</v>
      </c>
      <c r="O169" s="25">
        <v>2</v>
      </c>
      <c r="P169" s="73">
        <f t="shared" si="7"/>
        <v>69349</v>
      </c>
    </row>
    <row r="170" spans="11:16" x14ac:dyDescent="0.25">
      <c r="K170" s="3" t="s">
        <v>306</v>
      </c>
      <c r="L170" s="22">
        <v>35146</v>
      </c>
      <c r="M170" s="23">
        <f t="shared" ca="1" si="6"/>
        <v>19</v>
      </c>
      <c r="N170" s="24">
        <v>43460</v>
      </c>
      <c r="O170" s="25">
        <v>5</v>
      </c>
      <c r="P170" s="73">
        <f t="shared" si="7"/>
        <v>45038</v>
      </c>
    </row>
    <row r="171" spans="11:16" x14ac:dyDescent="0.25">
      <c r="K171" s="3" t="s">
        <v>87</v>
      </c>
      <c r="L171" s="22">
        <v>37087</v>
      </c>
      <c r="M171" s="23">
        <f t="shared" ca="1" si="6"/>
        <v>14</v>
      </c>
      <c r="N171" s="24">
        <v>36630</v>
      </c>
      <c r="O171" s="25">
        <v>4</v>
      </c>
      <c r="P171" s="73">
        <f t="shared" si="7"/>
        <v>37960</v>
      </c>
    </row>
    <row r="172" spans="11:16" x14ac:dyDescent="0.25">
      <c r="K172" s="3" t="s">
        <v>84</v>
      </c>
      <c r="L172" s="22">
        <v>32217</v>
      </c>
      <c r="M172" s="23">
        <f t="shared" ca="1" si="6"/>
        <v>27</v>
      </c>
      <c r="N172" s="24">
        <v>85920</v>
      </c>
      <c r="O172" s="25">
        <v>4</v>
      </c>
      <c r="P172" s="73">
        <f t="shared" si="7"/>
        <v>89039</v>
      </c>
    </row>
    <row r="173" spans="11:16" x14ac:dyDescent="0.25">
      <c r="K173" s="3" t="s">
        <v>435</v>
      </c>
      <c r="L173" s="22">
        <v>36741</v>
      </c>
      <c r="M173" s="23">
        <f t="shared" ca="1" si="6"/>
        <v>15</v>
      </c>
      <c r="N173" s="24">
        <v>30350</v>
      </c>
      <c r="O173" s="25">
        <v>1</v>
      </c>
      <c r="P173" s="73">
        <f t="shared" si="7"/>
        <v>31452</v>
      </c>
    </row>
    <row r="174" spans="11:16" x14ac:dyDescent="0.25">
      <c r="K174" s="3" t="s">
        <v>342</v>
      </c>
      <c r="L174" s="22">
        <v>35978</v>
      </c>
      <c r="M174" s="23">
        <f t="shared" ca="1" si="6"/>
        <v>17</v>
      </c>
      <c r="N174" s="24">
        <v>42480</v>
      </c>
      <c r="O174" s="25">
        <v>3</v>
      </c>
      <c r="P174" s="73">
        <f t="shared" si="7"/>
        <v>44022</v>
      </c>
    </row>
    <row r="175" spans="11:16" x14ac:dyDescent="0.25">
      <c r="K175" s="3" t="s">
        <v>298</v>
      </c>
      <c r="L175" s="22">
        <v>35828</v>
      </c>
      <c r="M175" s="23">
        <f t="shared" ca="1" si="6"/>
        <v>17</v>
      </c>
      <c r="N175" s="24">
        <v>29130</v>
      </c>
      <c r="O175" s="25">
        <v>1</v>
      </c>
      <c r="P175" s="73">
        <f t="shared" si="7"/>
        <v>30187</v>
      </c>
    </row>
    <row r="176" spans="11:16" x14ac:dyDescent="0.25">
      <c r="K176" s="3" t="s">
        <v>279</v>
      </c>
      <c r="L176" s="22">
        <v>34933</v>
      </c>
      <c r="M176" s="23">
        <f t="shared" ca="1" si="6"/>
        <v>20</v>
      </c>
      <c r="N176" s="24">
        <v>77680</v>
      </c>
      <c r="O176" s="25">
        <v>3</v>
      </c>
      <c r="P176" s="73">
        <f t="shared" si="7"/>
        <v>80500</v>
      </c>
    </row>
    <row r="177" spans="11:16" x14ac:dyDescent="0.25">
      <c r="K177" s="3" t="s">
        <v>286</v>
      </c>
      <c r="L177" s="22">
        <v>34655</v>
      </c>
      <c r="M177" s="23">
        <f t="shared" ca="1" si="6"/>
        <v>21</v>
      </c>
      <c r="N177" s="24">
        <v>34780</v>
      </c>
      <c r="O177" s="25">
        <v>4</v>
      </c>
      <c r="P177" s="73">
        <f t="shared" si="7"/>
        <v>36043</v>
      </c>
    </row>
    <row r="178" spans="11:16" x14ac:dyDescent="0.25">
      <c r="K178" s="3" t="s">
        <v>138</v>
      </c>
      <c r="L178" s="22">
        <v>32392</v>
      </c>
      <c r="M178" s="23">
        <f t="shared" ca="1" si="6"/>
        <v>27</v>
      </c>
      <c r="N178" s="24">
        <v>37020</v>
      </c>
      <c r="O178" s="25">
        <v>2</v>
      </c>
      <c r="P178" s="73">
        <f t="shared" si="7"/>
        <v>38364</v>
      </c>
    </row>
    <row r="179" spans="11:16" x14ac:dyDescent="0.25">
      <c r="K179" s="3" t="s">
        <v>186</v>
      </c>
      <c r="L179" s="22">
        <v>34281</v>
      </c>
      <c r="M179" s="23">
        <f t="shared" ca="1" si="6"/>
        <v>22</v>
      </c>
      <c r="N179" s="24">
        <v>61150</v>
      </c>
      <c r="O179" s="25">
        <v>2</v>
      </c>
      <c r="P179" s="73">
        <f t="shared" si="7"/>
        <v>63370</v>
      </c>
    </row>
    <row r="180" spans="11:16" x14ac:dyDescent="0.25">
      <c r="K180" s="3" t="s">
        <v>389</v>
      </c>
      <c r="L180" s="22">
        <v>37277</v>
      </c>
      <c r="M180" s="23">
        <f t="shared" ca="1" si="6"/>
        <v>13</v>
      </c>
      <c r="N180" s="24">
        <v>47350</v>
      </c>
      <c r="O180" s="25">
        <v>5</v>
      </c>
      <c r="P180" s="73">
        <f t="shared" si="7"/>
        <v>49069</v>
      </c>
    </row>
    <row r="181" spans="11:16" x14ac:dyDescent="0.25">
      <c r="K181" s="3" t="s">
        <v>278</v>
      </c>
      <c r="L181" s="22">
        <v>34432</v>
      </c>
      <c r="M181" s="23">
        <f t="shared" ca="1" si="6"/>
        <v>21</v>
      </c>
      <c r="N181" s="24">
        <v>85300</v>
      </c>
      <c r="O181" s="25">
        <v>2</v>
      </c>
      <c r="P181" s="73">
        <f t="shared" si="7"/>
        <v>88396</v>
      </c>
    </row>
    <row r="182" spans="11:16" x14ac:dyDescent="0.25">
      <c r="K182" s="3" t="s">
        <v>101</v>
      </c>
      <c r="L182" s="22">
        <v>32401</v>
      </c>
      <c r="M182" s="23">
        <f t="shared" ca="1" si="6"/>
        <v>27</v>
      </c>
      <c r="N182" s="24">
        <v>68470</v>
      </c>
      <c r="O182" s="25">
        <v>4</v>
      </c>
      <c r="P182" s="73">
        <f t="shared" si="7"/>
        <v>70955</v>
      </c>
    </row>
    <row r="183" spans="11:16" x14ac:dyDescent="0.25">
      <c r="K183" s="3" t="s">
        <v>337</v>
      </c>
      <c r="L183" s="22">
        <v>36391</v>
      </c>
      <c r="M183" s="23">
        <f t="shared" ca="1" si="6"/>
        <v>16</v>
      </c>
      <c r="N183" s="24">
        <v>23560</v>
      </c>
      <c r="O183" s="25">
        <v>3</v>
      </c>
      <c r="P183" s="73">
        <f t="shared" si="7"/>
        <v>24415</v>
      </c>
    </row>
    <row r="184" spans="11:16" x14ac:dyDescent="0.25">
      <c r="K184" s="3" t="s">
        <v>86</v>
      </c>
      <c r="L184" s="22">
        <v>38137</v>
      </c>
      <c r="M184" s="23">
        <f t="shared" ca="1" si="6"/>
        <v>11</v>
      </c>
      <c r="N184" s="24">
        <v>72830</v>
      </c>
      <c r="O184" s="25">
        <v>2</v>
      </c>
      <c r="P184" s="73">
        <f t="shared" si="7"/>
        <v>75474</v>
      </c>
    </row>
    <row r="185" spans="11:16" x14ac:dyDescent="0.25">
      <c r="K185" s="3" t="s">
        <v>86</v>
      </c>
      <c r="L185" s="22">
        <v>38137</v>
      </c>
      <c r="M185" s="23">
        <f t="shared" ca="1" si="6"/>
        <v>11</v>
      </c>
      <c r="N185" s="24">
        <v>72830</v>
      </c>
      <c r="O185" s="25">
        <v>2</v>
      </c>
      <c r="P185" s="73">
        <f t="shared" si="7"/>
        <v>75474</v>
      </c>
    </row>
    <row r="186" spans="11:16" x14ac:dyDescent="0.25">
      <c r="K186" s="3" t="s">
        <v>289</v>
      </c>
      <c r="L186" s="22">
        <v>35388</v>
      </c>
      <c r="M186" s="23">
        <f t="shared" ca="1" si="6"/>
        <v>19</v>
      </c>
      <c r="N186" s="24">
        <v>23650</v>
      </c>
      <c r="O186" s="25">
        <v>1</v>
      </c>
      <c r="P186" s="73">
        <f t="shared" si="7"/>
        <v>24508</v>
      </c>
    </row>
    <row r="187" spans="11:16" x14ac:dyDescent="0.25">
      <c r="K187" s="3" t="s">
        <v>80</v>
      </c>
      <c r="L187" s="22">
        <v>32307</v>
      </c>
      <c r="M187" s="23">
        <f t="shared" ca="1" si="6"/>
        <v>27</v>
      </c>
      <c r="N187" s="24">
        <v>39110</v>
      </c>
      <c r="O187" s="25">
        <v>5</v>
      </c>
      <c r="P187" s="73">
        <f t="shared" si="7"/>
        <v>40530</v>
      </c>
    </row>
    <row r="188" spans="11:16" x14ac:dyDescent="0.25">
      <c r="K188" s="3" t="s">
        <v>258</v>
      </c>
      <c r="L188" s="22">
        <v>34317</v>
      </c>
      <c r="M188" s="23">
        <f t="shared" ca="1" si="6"/>
        <v>21</v>
      </c>
      <c r="N188" s="24">
        <v>41380</v>
      </c>
      <c r="O188" s="25">
        <v>2</v>
      </c>
      <c r="P188" s="73">
        <f t="shared" si="7"/>
        <v>42882</v>
      </c>
    </row>
    <row r="189" spans="11:16" x14ac:dyDescent="0.25">
      <c r="K189" s="3" t="s">
        <v>211</v>
      </c>
      <c r="L189" s="22">
        <v>33966</v>
      </c>
      <c r="M189" s="23">
        <f t="shared" ca="1" si="6"/>
        <v>22</v>
      </c>
      <c r="N189" s="24">
        <v>58370</v>
      </c>
      <c r="O189" s="25">
        <v>5</v>
      </c>
      <c r="P189" s="73">
        <f t="shared" si="7"/>
        <v>60489</v>
      </c>
    </row>
    <row r="190" spans="11:16" x14ac:dyDescent="0.25">
      <c r="K190" s="3" t="s">
        <v>120</v>
      </c>
      <c r="L190" s="22">
        <v>32476</v>
      </c>
      <c r="M190" s="23">
        <f t="shared" ca="1" si="6"/>
        <v>27</v>
      </c>
      <c r="N190" s="24">
        <v>71150</v>
      </c>
      <c r="O190" s="25">
        <v>2</v>
      </c>
      <c r="P190" s="73">
        <f t="shared" si="7"/>
        <v>73733</v>
      </c>
    </row>
    <row r="191" spans="11:16" x14ac:dyDescent="0.25">
      <c r="K191" s="3" t="s">
        <v>412</v>
      </c>
      <c r="L191" s="22">
        <v>36302</v>
      </c>
      <c r="M191" s="23">
        <f t="shared" ca="1" si="6"/>
        <v>16</v>
      </c>
      <c r="N191" s="24">
        <v>39740</v>
      </c>
      <c r="O191" s="25">
        <v>1</v>
      </c>
      <c r="P191" s="73">
        <f t="shared" si="7"/>
        <v>41183</v>
      </c>
    </row>
    <row r="192" spans="11:16" x14ac:dyDescent="0.25">
      <c r="K192" s="3" t="s">
        <v>403</v>
      </c>
      <c r="L192" s="22">
        <v>38827</v>
      </c>
      <c r="M192" s="23">
        <f t="shared" ca="1" si="6"/>
        <v>9</v>
      </c>
      <c r="N192" s="24">
        <v>54190</v>
      </c>
      <c r="O192" s="25">
        <v>4</v>
      </c>
      <c r="P192" s="73">
        <f t="shared" si="7"/>
        <v>56157</v>
      </c>
    </row>
    <row r="193" spans="11:16" x14ac:dyDescent="0.25">
      <c r="K193" s="3" t="s">
        <v>91</v>
      </c>
      <c r="L193" s="22">
        <v>32238</v>
      </c>
      <c r="M193" s="23">
        <f t="shared" ca="1" si="6"/>
        <v>27</v>
      </c>
      <c r="N193" s="24">
        <v>63050</v>
      </c>
      <c r="O193" s="25">
        <v>3</v>
      </c>
      <c r="P193" s="73">
        <f t="shared" si="7"/>
        <v>65339</v>
      </c>
    </row>
    <row r="194" spans="11:16" x14ac:dyDescent="0.25">
      <c r="K194" s="3" t="s">
        <v>118</v>
      </c>
      <c r="L194" s="22">
        <v>32700</v>
      </c>
      <c r="M194" s="23">
        <f t="shared" ref="M194:M257" ca="1" si="8">DATEDIF(L194,TODAY(),"Y")</f>
        <v>26</v>
      </c>
      <c r="N194" s="24">
        <v>54270</v>
      </c>
      <c r="O194" s="25">
        <v>3</v>
      </c>
      <c r="P194" s="73">
        <f t="shared" si="7"/>
        <v>56240</v>
      </c>
    </row>
    <row r="195" spans="11:16" x14ac:dyDescent="0.25">
      <c r="K195" s="3" t="s">
        <v>175</v>
      </c>
      <c r="L195" s="22">
        <v>34210</v>
      </c>
      <c r="M195" s="23">
        <f t="shared" ca="1" si="8"/>
        <v>22</v>
      </c>
      <c r="N195" s="24">
        <v>79730</v>
      </c>
      <c r="O195" s="25">
        <v>2</v>
      </c>
      <c r="P195" s="73">
        <f t="shared" ref="P195:P258" si="9">ROUND(N195*$Q$1+N195,0)</f>
        <v>82624</v>
      </c>
    </row>
    <row r="196" spans="11:16" x14ac:dyDescent="0.25">
      <c r="K196" s="3" t="s">
        <v>131</v>
      </c>
      <c r="L196" s="22">
        <v>32310</v>
      </c>
      <c r="M196" s="23">
        <f t="shared" ca="1" si="8"/>
        <v>27</v>
      </c>
      <c r="N196" s="24">
        <v>43190</v>
      </c>
      <c r="O196" s="25">
        <v>2</v>
      </c>
      <c r="P196" s="73">
        <f t="shared" si="9"/>
        <v>44758</v>
      </c>
    </row>
    <row r="197" spans="11:16" x14ac:dyDescent="0.25">
      <c r="K197" s="3" t="s">
        <v>314</v>
      </c>
      <c r="L197" s="22">
        <v>35758</v>
      </c>
      <c r="M197" s="23">
        <f t="shared" ca="1" si="8"/>
        <v>18</v>
      </c>
      <c r="N197" s="24">
        <v>66010</v>
      </c>
      <c r="O197" s="25">
        <v>5</v>
      </c>
      <c r="P197" s="73">
        <f t="shared" si="9"/>
        <v>68406</v>
      </c>
    </row>
    <row r="198" spans="11:16" x14ac:dyDescent="0.25">
      <c r="K198" s="3" t="s">
        <v>239</v>
      </c>
      <c r="L198" s="22">
        <v>34888</v>
      </c>
      <c r="M198" s="23">
        <f t="shared" ca="1" si="8"/>
        <v>20</v>
      </c>
      <c r="N198" s="24">
        <v>81400</v>
      </c>
      <c r="O198" s="25">
        <v>2</v>
      </c>
      <c r="P198" s="73">
        <f t="shared" si="9"/>
        <v>84355</v>
      </c>
    </row>
    <row r="199" spans="11:16" x14ac:dyDescent="0.25">
      <c r="K199" s="3" t="s">
        <v>267</v>
      </c>
      <c r="L199" s="22">
        <v>34586</v>
      </c>
      <c r="M199" s="23">
        <f t="shared" ca="1" si="8"/>
        <v>21</v>
      </c>
      <c r="N199" s="24">
        <v>70280</v>
      </c>
      <c r="O199" s="25">
        <v>3</v>
      </c>
      <c r="P199" s="73">
        <f t="shared" si="9"/>
        <v>72831</v>
      </c>
    </row>
    <row r="200" spans="11:16" x14ac:dyDescent="0.25">
      <c r="K200" s="3" t="s">
        <v>72</v>
      </c>
      <c r="L200" s="22">
        <v>32051</v>
      </c>
      <c r="M200" s="23">
        <f t="shared" ca="1" si="8"/>
        <v>28</v>
      </c>
      <c r="N200" s="24">
        <v>24090</v>
      </c>
      <c r="O200" s="25">
        <v>4</v>
      </c>
      <c r="P200" s="73">
        <f t="shared" si="9"/>
        <v>24964</v>
      </c>
    </row>
    <row r="201" spans="11:16" x14ac:dyDescent="0.25">
      <c r="K201" s="3" t="s">
        <v>451</v>
      </c>
      <c r="L201" s="22">
        <v>39167</v>
      </c>
      <c r="M201" s="23">
        <f t="shared" ca="1" si="8"/>
        <v>8</v>
      </c>
      <c r="N201" s="24">
        <v>63206</v>
      </c>
      <c r="O201" s="25">
        <v>1</v>
      </c>
      <c r="P201" s="73">
        <f t="shared" si="9"/>
        <v>65500</v>
      </c>
    </row>
    <row r="202" spans="11:16" x14ac:dyDescent="0.25">
      <c r="K202" s="3" t="s">
        <v>61</v>
      </c>
      <c r="L202" s="22">
        <v>32321</v>
      </c>
      <c r="M202" s="23">
        <f t="shared" ca="1" si="8"/>
        <v>27</v>
      </c>
      <c r="N202" s="24">
        <v>52940</v>
      </c>
      <c r="O202" s="25">
        <v>4</v>
      </c>
      <c r="P202" s="73">
        <f t="shared" si="9"/>
        <v>54862</v>
      </c>
    </row>
    <row r="203" spans="11:16" x14ac:dyDescent="0.25">
      <c r="K203" s="3" t="s">
        <v>143</v>
      </c>
      <c r="L203" s="22">
        <v>32839</v>
      </c>
      <c r="M203" s="23">
        <f t="shared" ca="1" si="8"/>
        <v>26</v>
      </c>
      <c r="N203" s="24">
        <v>63440</v>
      </c>
      <c r="O203" s="25">
        <v>3</v>
      </c>
      <c r="P203" s="73">
        <f t="shared" si="9"/>
        <v>65743</v>
      </c>
    </row>
    <row r="204" spans="11:16" x14ac:dyDescent="0.25">
      <c r="K204" s="3" t="s">
        <v>270</v>
      </c>
      <c r="L204" s="22">
        <v>36626</v>
      </c>
      <c r="M204" s="23">
        <f t="shared" ca="1" si="8"/>
        <v>15</v>
      </c>
      <c r="N204" s="24">
        <v>53870</v>
      </c>
      <c r="O204" s="25">
        <v>2</v>
      </c>
      <c r="P204" s="73">
        <f t="shared" si="9"/>
        <v>55825</v>
      </c>
    </row>
    <row r="205" spans="11:16" x14ac:dyDescent="0.25">
      <c r="K205" s="3" t="s">
        <v>296</v>
      </c>
      <c r="L205" s="22">
        <v>35363</v>
      </c>
      <c r="M205" s="23">
        <f t="shared" ca="1" si="8"/>
        <v>19</v>
      </c>
      <c r="N205" s="24">
        <v>48330</v>
      </c>
      <c r="O205" s="25">
        <v>1</v>
      </c>
      <c r="P205" s="73">
        <f t="shared" si="9"/>
        <v>50084</v>
      </c>
    </row>
    <row r="206" spans="11:16" x14ac:dyDescent="0.25">
      <c r="K206" s="3" t="s">
        <v>117</v>
      </c>
      <c r="L206" s="22">
        <v>33571</v>
      </c>
      <c r="M206" s="23">
        <f t="shared" ca="1" si="8"/>
        <v>24</v>
      </c>
      <c r="N206" s="24">
        <v>63070</v>
      </c>
      <c r="O206" s="25">
        <v>1</v>
      </c>
      <c r="P206" s="73">
        <f t="shared" si="9"/>
        <v>65359</v>
      </c>
    </row>
    <row r="207" spans="11:16" x14ac:dyDescent="0.25">
      <c r="K207" s="3" t="s">
        <v>425</v>
      </c>
      <c r="L207" s="22">
        <v>38775</v>
      </c>
      <c r="M207" s="23">
        <f t="shared" ca="1" si="8"/>
        <v>9</v>
      </c>
      <c r="N207" s="24">
        <v>41490</v>
      </c>
      <c r="O207" s="25">
        <v>5</v>
      </c>
      <c r="P207" s="73">
        <f t="shared" si="9"/>
        <v>42996</v>
      </c>
    </row>
    <row r="208" spans="11:16" x14ac:dyDescent="0.25">
      <c r="K208" s="3" t="s">
        <v>331</v>
      </c>
      <c r="L208" s="22">
        <v>37728</v>
      </c>
      <c r="M208" s="23">
        <f t="shared" ca="1" si="8"/>
        <v>12</v>
      </c>
      <c r="N208" s="24">
        <v>71400</v>
      </c>
      <c r="O208" s="25">
        <v>4</v>
      </c>
      <c r="P208" s="73">
        <f t="shared" si="9"/>
        <v>73992</v>
      </c>
    </row>
    <row r="209" spans="11:16" x14ac:dyDescent="0.25">
      <c r="K209" s="3" t="s">
        <v>167</v>
      </c>
      <c r="L209" s="22">
        <v>34051</v>
      </c>
      <c r="M209" s="23">
        <f t="shared" ca="1" si="8"/>
        <v>22</v>
      </c>
      <c r="N209" s="24">
        <v>59320</v>
      </c>
      <c r="O209" s="25">
        <v>4</v>
      </c>
      <c r="P209" s="73">
        <f t="shared" si="9"/>
        <v>61473</v>
      </c>
    </row>
    <row r="210" spans="11:16" x14ac:dyDescent="0.25">
      <c r="K210" s="3" t="s">
        <v>210</v>
      </c>
      <c r="L210" s="22">
        <v>35733</v>
      </c>
      <c r="M210" s="23">
        <f t="shared" ca="1" si="8"/>
        <v>18</v>
      </c>
      <c r="N210" s="24">
        <v>45150</v>
      </c>
      <c r="O210" s="25">
        <v>1</v>
      </c>
      <c r="P210" s="73">
        <f t="shared" si="9"/>
        <v>46789</v>
      </c>
    </row>
    <row r="211" spans="11:16" x14ac:dyDescent="0.25">
      <c r="K211" s="3" t="s">
        <v>353</v>
      </c>
      <c r="L211" s="30">
        <v>39003</v>
      </c>
      <c r="M211" s="23">
        <f t="shared" ca="1" si="8"/>
        <v>9</v>
      </c>
      <c r="N211" s="24">
        <v>27250</v>
      </c>
      <c r="O211" s="25">
        <v>5</v>
      </c>
      <c r="P211" s="73">
        <f t="shared" si="9"/>
        <v>28239</v>
      </c>
    </row>
    <row r="212" spans="11:16" x14ac:dyDescent="0.25">
      <c r="K212" s="3" t="s">
        <v>290</v>
      </c>
      <c r="L212" s="22">
        <v>35083</v>
      </c>
      <c r="M212" s="23">
        <f t="shared" ca="1" si="8"/>
        <v>19</v>
      </c>
      <c r="N212" s="24">
        <v>65910</v>
      </c>
      <c r="O212" s="25">
        <v>5</v>
      </c>
      <c r="P212" s="73">
        <f t="shared" si="9"/>
        <v>68303</v>
      </c>
    </row>
    <row r="213" spans="11:16" x14ac:dyDescent="0.25">
      <c r="K213" s="3" t="s">
        <v>253</v>
      </c>
      <c r="L213" s="22">
        <v>34963</v>
      </c>
      <c r="M213" s="23">
        <f t="shared" ca="1" si="8"/>
        <v>20</v>
      </c>
      <c r="N213" s="24">
        <v>61330</v>
      </c>
      <c r="O213" s="25">
        <v>4</v>
      </c>
      <c r="P213" s="73">
        <f t="shared" si="9"/>
        <v>63556</v>
      </c>
    </row>
    <row r="214" spans="11:16" x14ac:dyDescent="0.25">
      <c r="K214" s="3" t="s">
        <v>255</v>
      </c>
      <c r="L214" s="22">
        <v>34237</v>
      </c>
      <c r="M214" s="23">
        <f t="shared" ca="1" si="8"/>
        <v>22</v>
      </c>
      <c r="N214" s="24">
        <v>81640</v>
      </c>
      <c r="O214" s="25">
        <v>4</v>
      </c>
      <c r="P214" s="73">
        <f t="shared" si="9"/>
        <v>84604</v>
      </c>
    </row>
    <row r="215" spans="11:16" x14ac:dyDescent="0.25">
      <c r="K215" s="3" t="s">
        <v>255</v>
      </c>
      <c r="L215" s="22">
        <v>34237</v>
      </c>
      <c r="M215" s="23">
        <f t="shared" ca="1" si="8"/>
        <v>22</v>
      </c>
      <c r="N215" s="24">
        <v>81640</v>
      </c>
      <c r="O215" s="25">
        <v>4</v>
      </c>
      <c r="P215" s="73">
        <f t="shared" si="9"/>
        <v>84604</v>
      </c>
    </row>
    <row r="216" spans="11:16" x14ac:dyDescent="0.25">
      <c r="K216" s="3" t="s">
        <v>335</v>
      </c>
      <c r="L216" s="22">
        <v>35352</v>
      </c>
      <c r="M216" s="23">
        <f t="shared" ca="1" si="8"/>
        <v>19</v>
      </c>
      <c r="N216" s="24">
        <v>52490</v>
      </c>
      <c r="O216" s="25">
        <v>4</v>
      </c>
      <c r="P216" s="73">
        <f t="shared" si="9"/>
        <v>54395</v>
      </c>
    </row>
    <row r="217" spans="11:16" x14ac:dyDescent="0.25">
      <c r="K217" s="3" t="s">
        <v>132</v>
      </c>
      <c r="L217" s="22">
        <v>32562</v>
      </c>
      <c r="M217" s="23">
        <f t="shared" ca="1" si="8"/>
        <v>26</v>
      </c>
      <c r="N217" s="24">
        <v>64510</v>
      </c>
      <c r="O217" s="25">
        <v>3</v>
      </c>
      <c r="P217" s="73">
        <f t="shared" si="9"/>
        <v>66852</v>
      </c>
    </row>
    <row r="218" spans="11:16" x14ac:dyDescent="0.25">
      <c r="K218" s="3" t="s">
        <v>102</v>
      </c>
      <c r="L218" s="22">
        <v>33094</v>
      </c>
      <c r="M218" s="23">
        <f t="shared" ca="1" si="8"/>
        <v>25</v>
      </c>
      <c r="N218" s="24">
        <v>24710</v>
      </c>
      <c r="O218" s="25">
        <v>2</v>
      </c>
      <c r="P218" s="73">
        <f t="shared" si="9"/>
        <v>25607</v>
      </c>
    </row>
    <row r="219" spans="11:16" x14ac:dyDescent="0.25">
      <c r="K219" s="3" t="s">
        <v>100</v>
      </c>
      <c r="L219" s="22">
        <v>32137</v>
      </c>
      <c r="M219" s="23">
        <f t="shared" ca="1" si="8"/>
        <v>27</v>
      </c>
      <c r="N219" s="24">
        <v>37620</v>
      </c>
      <c r="O219" s="25">
        <v>5</v>
      </c>
      <c r="P219" s="73">
        <f t="shared" si="9"/>
        <v>38986</v>
      </c>
    </row>
    <row r="220" spans="11:16" x14ac:dyDescent="0.25">
      <c r="K220" s="3" t="s">
        <v>449</v>
      </c>
      <c r="L220" s="22">
        <v>39128</v>
      </c>
      <c r="M220" s="23">
        <f t="shared" ca="1" si="8"/>
        <v>8</v>
      </c>
      <c r="N220" s="24">
        <v>59150</v>
      </c>
      <c r="O220" s="25">
        <v>4</v>
      </c>
      <c r="P220" s="73">
        <f t="shared" si="9"/>
        <v>61297</v>
      </c>
    </row>
    <row r="221" spans="11:16" x14ac:dyDescent="0.25">
      <c r="K221" s="3" t="s">
        <v>194</v>
      </c>
      <c r="L221" s="22">
        <v>33976</v>
      </c>
      <c r="M221" s="23">
        <f t="shared" ca="1" si="8"/>
        <v>22</v>
      </c>
      <c r="N221" s="24">
        <v>72700</v>
      </c>
      <c r="O221" s="25">
        <v>5</v>
      </c>
      <c r="P221" s="73">
        <f t="shared" si="9"/>
        <v>75339</v>
      </c>
    </row>
    <row r="222" spans="11:16" x14ac:dyDescent="0.25">
      <c r="K222" s="3" t="s">
        <v>445</v>
      </c>
      <c r="L222" s="22">
        <v>39268</v>
      </c>
      <c r="M222" s="23">
        <f t="shared" ca="1" si="8"/>
        <v>8</v>
      </c>
      <c r="N222" s="24">
        <v>43820</v>
      </c>
      <c r="O222" s="25">
        <v>2</v>
      </c>
      <c r="P222" s="73">
        <f t="shared" si="9"/>
        <v>45411</v>
      </c>
    </row>
    <row r="223" spans="11:16" x14ac:dyDescent="0.25">
      <c r="K223" s="3" t="s">
        <v>377</v>
      </c>
      <c r="L223" s="22">
        <v>32150</v>
      </c>
      <c r="M223" s="23">
        <f t="shared" ca="1" si="8"/>
        <v>27</v>
      </c>
      <c r="N223" s="24">
        <v>77720</v>
      </c>
      <c r="O223" s="25">
        <v>3</v>
      </c>
      <c r="P223" s="73">
        <f t="shared" si="9"/>
        <v>80541</v>
      </c>
    </row>
    <row r="224" spans="11:16" x14ac:dyDescent="0.25">
      <c r="K224" s="3" t="s">
        <v>202</v>
      </c>
      <c r="L224" s="22">
        <v>34218</v>
      </c>
      <c r="M224" s="23">
        <f t="shared" ca="1" si="8"/>
        <v>22</v>
      </c>
      <c r="N224" s="24">
        <v>63270</v>
      </c>
      <c r="O224" s="25">
        <v>1</v>
      </c>
      <c r="P224" s="73">
        <f t="shared" si="9"/>
        <v>65567</v>
      </c>
    </row>
    <row r="225" spans="11:16" x14ac:dyDescent="0.25">
      <c r="K225" s="3" t="s">
        <v>97</v>
      </c>
      <c r="L225" s="22">
        <v>32095</v>
      </c>
      <c r="M225" s="23">
        <f t="shared" ca="1" si="8"/>
        <v>28</v>
      </c>
      <c r="N225" s="24">
        <v>32140</v>
      </c>
      <c r="O225" s="25">
        <v>2</v>
      </c>
      <c r="P225" s="73">
        <f t="shared" si="9"/>
        <v>33307</v>
      </c>
    </row>
    <row r="226" spans="11:16" x14ac:dyDescent="0.25">
      <c r="K226" s="3" t="s">
        <v>271</v>
      </c>
      <c r="L226" s="22">
        <v>34770</v>
      </c>
      <c r="M226" s="23">
        <f t="shared" ca="1" si="8"/>
        <v>20</v>
      </c>
      <c r="N226" s="24">
        <v>48410</v>
      </c>
      <c r="O226" s="25">
        <v>5</v>
      </c>
      <c r="P226" s="73">
        <f t="shared" si="9"/>
        <v>50167</v>
      </c>
    </row>
    <row r="227" spans="11:16" x14ac:dyDescent="0.25">
      <c r="K227" s="3" t="s">
        <v>345</v>
      </c>
      <c r="L227" s="22">
        <v>35931</v>
      </c>
      <c r="M227" s="23">
        <f t="shared" ca="1" si="8"/>
        <v>17</v>
      </c>
      <c r="N227" s="24">
        <v>71950</v>
      </c>
      <c r="O227" s="25">
        <v>5</v>
      </c>
      <c r="P227" s="73">
        <f t="shared" si="9"/>
        <v>74562</v>
      </c>
    </row>
    <row r="228" spans="11:16" x14ac:dyDescent="0.25">
      <c r="K228" s="3" t="s">
        <v>116</v>
      </c>
      <c r="L228" s="22">
        <v>32431</v>
      </c>
      <c r="M228" s="23">
        <f t="shared" ca="1" si="8"/>
        <v>27</v>
      </c>
      <c r="N228" s="24">
        <v>48550</v>
      </c>
      <c r="O228" s="25">
        <v>5</v>
      </c>
      <c r="P228" s="73">
        <f t="shared" si="9"/>
        <v>50312</v>
      </c>
    </row>
    <row r="229" spans="11:16" x14ac:dyDescent="0.25">
      <c r="K229" s="3" t="s">
        <v>134</v>
      </c>
      <c r="L229" s="22">
        <v>33710</v>
      </c>
      <c r="M229" s="23">
        <f t="shared" ca="1" si="8"/>
        <v>23</v>
      </c>
      <c r="N229" s="24">
        <v>38940</v>
      </c>
      <c r="O229" s="25">
        <v>2</v>
      </c>
      <c r="P229" s="73">
        <f t="shared" si="9"/>
        <v>40354</v>
      </c>
    </row>
    <row r="230" spans="11:16" x14ac:dyDescent="0.25">
      <c r="K230" s="3" t="s">
        <v>151</v>
      </c>
      <c r="L230" s="22">
        <v>33878</v>
      </c>
      <c r="M230" s="23">
        <f t="shared" ca="1" si="8"/>
        <v>23</v>
      </c>
      <c r="N230" s="24">
        <v>44270</v>
      </c>
      <c r="O230" s="25">
        <v>2</v>
      </c>
      <c r="P230" s="73">
        <f t="shared" si="9"/>
        <v>45877</v>
      </c>
    </row>
    <row r="231" spans="11:16" x14ac:dyDescent="0.25">
      <c r="K231" s="3" t="s">
        <v>432</v>
      </c>
      <c r="L231" s="22">
        <v>38893</v>
      </c>
      <c r="M231" s="23">
        <f t="shared" ca="1" si="8"/>
        <v>9</v>
      </c>
      <c r="N231" s="24">
        <v>35600</v>
      </c>
      <c r="O231" s="25">
        <v>5</v>
      </c>
      <c r="P231" s="73">
        <f t="shared" si="9"/>
        <v>36892</v>
      </c>
    </row>
    <row r="232" spans="11:16" x14ac:dyDescent="0.25">
      <c r="K232" s="3" t="s">
        <v>311</v>
      </c>
      <c r="L232" s="22">
        <v>35533</v>
      </c>
      <c r="M232" s="23">
        <f t="shared" ca="1" si="8"/>
        <v>18</v>
      </c>
      <c r="N232" s="24">
        <v>47630</v>
      </c>
      <c r="O232" s="25">
        <v>3</v>
      </c>
      <c r="P232" s="73">
        <f t="shared" si="9"/>
        <v>49359</v>
      </c>
    </row>
    <row r="233" spans="11:16" x14ac:dyDescent="0.25">
      <c r="K233" s="3" t="s">
        <v>147</v>
      </c>
      <c r="L233" s="22">
        <v>32859</v>
      </c>
      <c r="M233" s="23">
        <f t="shared" ca="1" si="8"/>
        <v>25</v>
      </c>
      <c r="N233" s="24">
        <v>69420</v>
      </c>
      <c r="O233" s="25">
        <v>2</v>
      </c>
      <c r="P233" s="73">
        <f t="shared" si="9"/>
        <v>71940</v>
      </c>
    </row>
    <row r="234" spans="11:16" x14ac:dyDescent="0.25">
      <c r="K234" s="3" t="s">
        <v>201</v>
      </c>
      <c r="L234" s="22">
        <v>34520</v>
      </c>
      <c r="M234" s="23">
        <f t="shared" ca="1" si="8"/>
        <v>21</v>
      </c>
      <c r="N234" s="24">
        <v>35460</v>
      </c>
      <c r="O234" s="25">
        <v>5</v>
      </c>
      <c r="P234" s="73">
        <f t="shared" si="9"/>
        <v>36747</v>
      </c>
    </row>
    <row r="235" spans="11:16" x14ac:dyDescent="0.25">
      <c r="K235" s="3" t="s">
        <v>390</v>
      </c>
      <c r="L235" s="22">
        <v>37316</v>
      </c>
      <c r="M235" s="23">
        <f t="shared" ca="1" si="8"/>
        <v>13</v>
      </c>
      <c r="N235" s="24">
        <v>44530</v>
      </c>
      <c r="O235" s="25">
        <v>2</v>
      </c>
      <c r="P235" s="73">
        <f t="shared" si="9"/>
        <v>46146</v>
      </c>
    </row>
    <row r="236" spans="11:16" x14ac:dyDescent="0.25">
      <c r="K236" s="3" t="s">
        <v>89</v>
      </c>
      <c r="L236" s="22">
        <v>32150</v>
      </c>
      <c r="M236" s="23">
        <f t="shared" ca="1" si="8"/>
        <v>27</v>
      </c>
      <c r="N236" s="24">
        <v>77740</v>
      </c>
      <c r="O236" s="25">
        <v>1</v>
      </c>
      <c r="P236" s="73">
        <f t="shared" si="9"/>
        <v>80562</v>
      </c>
    </row>
    <row r="237" spans="11:16" x14ac:dyDescent="0.25">
      <c r="K237" s="3" t="s">
        <v>274</v>
      </c>
      <c r="L237" s="22">
        <v>35134</v>
      </c>
      <c r="M237" s="23">
        <f t="shared" ca="1" si="8"/>
        <v>19</v>
      </c>
      <c r="N237" s="24">
        <v>67280</v>
      </c>
      <c r="O237" s="25">
        <v>3</v>
      </c>
      <c r="P237" s="73">
        <f t="shared" si="9"/>
        <v>69722</v>
      </c>
    </row>
    <row r="238" spans="11:16" x14ac:dyDescent="0.25">
      <c r="K238" s="3" t="s">
        <v>358</v>
      </c>
      <c r="L238" s="22">
        <v>36633</v>
      </c>
      <c r="M238" s="23">
        <f t="shared" ca="1" si="8"/>
        <v>15</v>
      </c>
      <c r="N238" s="24">
        <v>75176</v>
      </c>
      <c r="O238" s="25">
        <v>3</v>
      </c>
      <c r="P238" s="73">
        <f t="shared" si="9"/>
        <v>77905</v>
      </c>
    </row>
    <row r="239" spans="11:16" x14ac:dyDescent="0.25">
      <c r="K239" s="3" t="s">
        <v>185</v>
      </c>
      <c r="L239" s="22">
        <v>33897</v>
      </c>
      <c r="M239" s="23">
        <f t="shared" ca="1" si="8"/>
        <v>23</v>
      </c>
      <c r="N239" s="24">
        <v>77580</v>
      </c>
      <c r="O239" s="25">
        <v>3</v>
      </c>
      <c r="P239" s="73">
        <f t="shared" si="9"/>
        <v>80396</v>
      </c>
    </row>
    <row r="240" spans="11:16" x14ac:dyDescent="0.25">
      <c r="K240" s="3" t="s">
        <v>405</v>
      </c>
      <c r="L240" s="22">
        <v>34904</v>
      </c>
      <c r="M240" s="23">
        <f t="shared" ca="1" si="8"/>
        <v>20</v>
      </c>
      <c r="N240" s="24">
        <v>47850</v>
      </c>
      <c r="O240" s="25">
        <v>1</v>
      </c>
      <c r="P240" s="73">
        <f t="shared" si="9"/>
        <v>49587</v>
      </c>
    </row>
    <row r="241" spans="11:16" x14ac:dyDescent="0.25">
      <c r="K241" s="3" t="s">
        <v>303</v>
      </c>
      <c r="L241" s="22">
        <v>33504</v>
      </c>
      <c r="M241" s="23">
        <f t="shared" ca="1" si="8"/>
        <v>24</v>
      </c>
      <c r="N241" s="24">
        <v>63190</v>
      </c>
      <c r="O241" s="25">
        <v>1</v>
      </c>
      <c r="P241" s="73">
        <f t="shared" si="9"/>
        <v>65484</v>
      </c>
    </row>
    <row r="242" spans="11:16" x14ac:dyDescent="0.25">
      <c r="K242" s="3" t="s">
        <v>70</v>
      </c>
      <c r="L242" s="22">
        <v>32411</v>
      </c>
      <c r="M242" s="23">
        <f t="shared" ca="1" si="8"/>
        <v>27</v>
      </c>
      <c r="N242" s="24">
        <v>26190</v>
      </c>
      <c r="O242" s="25">
        <v>5</v>
      </c>
      <c r="P242" s="73">
        <f t="shared" si="9"/>
        <v>27141</v>
      </c>
    </row>
    <row r="243" spans="11:16" x14ac:dyDescent="0.25">
      <c r="K243" s="3" t="s">
        <v>108</v>
      </c>
      <c r="L243" s="22">
        <v>32496</v>
      </c>
      <c r="M243" s="23">
        <f t="shared" ca="1" si="8"/>
        <v>26</v>
      </c>
      <c r="N243" s="24">
        <v>62780</v>
      </c>
      <c r="O243" s="25">
        <v>3</v>
      </c>
      <c r="P243" s="73">
        <f t="shared" si="9"/>
        <v>65059</v>
      </c>
    </row>
    <row r="244" spans="11:16" x14ac:dyDescent="0.25">
      <c r="K244" s="3" t="s">
        <v>374</v>
      </c>
      <c r="L244" s="22">
        <v>36094</v>
      </c>
      <c r="M244" s="23">
        <f t="shared" ca="1" si="8"/>
        <v>17</v>
      </c>
      <c r="N244" s="24">
        <v>30780</v>
      </c>
      <c r="O244" s="25">
        <v>4</v>
      </c>
      <c r="P244" s="73">
        <f t="shared" si="9"/>
        <v>31897</v>
      </c>
    </row>
    <row r="245" spans="11:16" x14ac:dyDescent="0.25">
      <c r="K245" s="3" t="s">
        <v>180</v>
      </c>
      <c r="L245" s="22">
        <v>34279</v>
      </c>
      <c r="M245" s="23">
        <f t="shared" ca="1" si="8"/>
        <v>22</v>
      </c>
      <c r="N245" s="24">
        <v>60280</v>
      </c>
      <c r="O245" s="25">
        <v>1</v>
      </c>
      <c r="P245" s="73">
        <f t="shared" si="9"/>
        <v>62468</v>
      </c>
    </row>
    <row r="246" spans="11:16" x14ac:dyDescent="0.25">
      <c r="K246" s="3" t="s">
        <v>446</v>
      </c>
      <c r="L246" s="30">
        <v>39370</v>
      </c>
      <c r="M246" s="23">
        <f t="shared" ca="1" si="8"/>
        <v>8</v>
      </c>
      <c r="N246" s="24">
        <v>23030</v>
      </c>
      <c r="O246" s="25">
        <v>4</v>
      </c>
      <c r="P246" s="73">
        <f t="shared" si="9"/>
        <v>23866</v>
      </c>
    </row>
    <row r="247" spans="11:16" x14ac:dyDescent="0.25">
      <c r="K247" s="3" t="s">
        <v>66</v>
      </c>
      <c r="L247" s="22">
        <v>34861</v>
      </c>
      <c r="M247" s="23">
        <f t="shared" ca="1" si="8"/>
        <v>20</v>
      </c>
      <c r="N247" s="24">
        <v>24550</v>
      </c>
      <c r="O247" s="25">
        <v>1</v>
      </c>
      <c r="P247" s="73">
        <f t="shared" si="9"/>
        <v>25441</v>
      </c>
    </row>
    <row r="248" spans="11:16" x14ac:dyDescent="0.25">
      <c r="K248" s="3" t="s">
        <v>187</v>
      </c>
      <c r="L248" s="22">
        <v>38078</v>
      </c>
      <c r="M248" s="23">
        <f t="shared" ca="1" si="8"/>
        <v>11</v>
      </c>
      <c r="N248" s="24">
        <v>71120</v>
      </c>
      <c r="O248" s="25">
        <v>4</v>
      </c>
      <c r="P248" s="73">
        <f t="shared" si="9"/>
        <v>73702</v>
      </c>
    </row>
    <row r="249" spans="11:16" x14ac:dyDescent="0.25">
      <c r="K249" s="3" t="s">
        <v>113</v>
      </c>
      <c r="L249" s="22">
        <v>32611</v>
      </c>
      <c r="M249" s="23">
        <f t="shared" ca="1" si="8"/>
        <v>26</v>
      </c>
      <c r="N249" s="24">
        <v>32160</v>
      </c>
      <c r="O249" s="25">
        <v>3</v>
      </c>
      <c r="P249" s="73">
        <f t="shared" si="9"/>
        <v>33327</v>
      </c>
    </row>
    <row r="250" spans="11:16" x14ac:dyDescent="0.25">
      <c r="K250" s="3" t="s">
        <v>361</v>
      </c>
      <c r="L250" s="22">
        <v>37907</v>
      </c>
      <c r="M250" s="23">
        <f t="shared" ca="1" si="8"/>
        <v>12</v>
      </c>
      <c r="N250" s="24">
        <v>73830</v>
      </c>
      <c r="O250" s="25">
        <v>2</v>
      </c>
      <c r="P250" s="73">
        <f t="shared" si="9"/>
        <v>76510</v>
      </c>
    </row>
    <row r="251" spans="11:16" x14ac:dyDescent="0.25">
      <c r="K251" s="3" t="s">
        <v>93</v>
      </c>
      <c r="L251" s="22">
        <v>32200</v>
      </c>
      <c r="M251" s="23">
        <f t="shared" ca="1" si="8"/>
        <v>27</v>
      </c>
      <c r="N251" s="24">
        <v>54500</v>
      </c>
      <c r="O251" s="25">
        <v>5</v>
      </c>
      <c r="P251" s="73">
        <f t="shared" si="9"/>
        <v>56478</v>
      </c>
    </row>
    <row r="252" spans="11:16" x14ac:dyDescent="0.25">
      <c r="K252" s="3" t="s">
        <v>378</v>
      </c>
      <c r="L252" s="22">
        <v>37443</v>
      </c>
      <c r="M252" s="23">
        <f t="shared" ca="1" si="8"/>
        <v>13</v>
      </c>
      <c r="N252" s="24">
        <v>22410</v>
      </c>
      <c r="O252" s="25">
        <v>4</v>
      </c>
      <c r="P252" s="73">
        <f t="shared" si="9"/>
        <v>23223</v>
      </c>
    </row>
    <row r="253" spans="11:16" x14ac:dyDescent="0.25">
      <c r="K253" s="3" t="s">
        <v>226</v>
      </c>
      <c r="L253" s="22">
        <v>33823</v>
      </c>
      <c r="M253" s="23">
        <f t="shared" ca="1" si="8"/>
        <v>23</v>
      </c>
      <c r="N253" s="24">
        <v>63080</v>
      </c>
      <c r="O253" s="25">
        <v>5</v>
      </c>
      <c r="P253" s="73">
        <f t="shared" si="9"/>
        <v>65370</v>
      </c>
    </row>
    <row r="254" spans="11:16" x14ac:dyDescent="0.25">
      <c r="K254" s="3" t="s">
        <v>64</v>
      </c>
      <c r="L254" s="22">
        <v>32338</v>
      </c>
      <c r="M254" s="23">
        <f t="shared" ca="1" si="8"/>
        <v>27</v>
      </c>
      <c r="N254" s="24">
        <v>60380</v>
      </c>
      <c r="O254" s="25">
        <v>4</v>
      </c>
      <c r="P254" s="73">
        <f t="shared" si="9"/>
        <v>62572</v>
      </c>
    </row>
    <row r="255" spans="11:16" x14ac:dyDescent="0.25">
      <c r="K255" s="3" t="s">
        <v>92</v>
      </c>
      <c r="L255" s="22">
        <v>32294</v>
      </c>
      <c r="M255" s="23">
        <f t="shared" ca="1" si="8"/>
        <v>27</v>
      </c>
      <c r="N255" s="24">
        <v>54830</v>
      </c>
      <c r="O255" s="25">
        <v>1</v>
      </c>
      <c r="P255" s="73">
        <f t="shared" si="9"/>
        <v>56820</v>
      </c>
    </row>
    <row r="256" spans="11:16" x14ac:dyDescent="0.25">
      <c r="K256" s="3" t="s">
        <v>373</v>
      </c>
      <c r="L256" s="22">
        <v>37067</v>
      </c>
      <c r="M256" s="23">
        <f t="shared" ca="1" si="8"/>
        <v>14</v>
      </c>
      <c r="N256" s="24">
        <v>87760</v>
      </c>
      <c r="O256" s="25">
        <v>1</v>
      </c>
      <c r="P256" s="73">
        <f t="shared" si="9"/>
        <v>90946</v>
      </c>
    </row>
    <row r="257" spans="11:16" x14ac:dyDescent="0.25">
      <c r="K257" s="3" t="s">
        <v>386</v>
      </c>
      <c r="L257" s="22">
        <v>37511</v>
      </c>
      <c r="M257" s="23">
        <f t="shared" ca="1" si="8"/>
        <v>13</v>
      </c>
      <c r="N257" s="24">
        <v>65720</v>
      </c>
      <c r="O257" s="25">
        <v>1</v>
      </c>
      <c r="P257" s="73">
        <f t="shared" si="9"/>
        <v>68106</v>
      </c>
    </row>
    <row r="258" spans="11:16" x14ac:dyDescent="0.25">
      <c r="K258" s="3" t="s">
        <v>149</v>
      </c>
      <c r="L258" s="22">
        <v>34139</v>
      </c>
      <c r="M258" s="23">
        <f t="shared" ref="M258:M321" ca="1" si="10">DATEDIF(L258,TODAY(),"Y")</f>
        <v>22</v>
      </c>
      <c r="N258" s="24">
        <v>22920</v>
      </c>
      <c r="O258" s="25">
        <v>3</v>
      </c>
      <c r="P258" s="73">
        <f t="shared" si="9"/>
        <v>23752</v>
      </c>
    </row>
    <row r="259" spans="11:16" x14ac:dyDescent="0.25">
      <c r="K259" s="3" t="s">
        <v>406</v>
      </c>
      <c r="L259" s="22">
        <v>35309</v>
      </c>
      <c r="M259" s="23">
        <f t="shared" ca="1" si="10"/>
        <v>19</v>
      </c>
      <c r="N259" s="24">
        <v>56440</v>
      </c>
      <c r="O259" s="25">
        <v>1</v>
      </c>
      <c r="P259" s="73">
        <f t="shared" ref="P259:P322" si="11">ROUND(N259*$Q$1+N259,0)</f>
        <v>58489</v>
      </c>
    </row>
    <row r="260" spans="11:16" x14ac:dyDescent="0.25">
      <c r="K260" s="3" t="s">
        <v>411</v>
      </c>
      <c r="L260" s="22">
        <v>38002</v>
      </c>
      <c r="M260" s="23">
        <f t="shared" ca="1" si="10"/>
        <v>11</v>
      </c>
      <c r="N260" s="24">
        <v>71030</v>
      </c>
      <c r="O260" s="25">
        <v>3</v>
      </c>
      <c r="P260" s="73">
        <f t="shared" si="11"/>
        <v>73608</v>
      </c>
    </row>
    <row r="261" spans="11:16" x14ac:dyDescent="0.25">
      <c r="K261" s="3" t="s">
        <v>214</v>
      </c>
      <c r="L261" s="22">
        <v>34383</v>
      </c>
      <c r="M261" s="23">
        <f t="shared" ca="1" si="10"/>
        <v>21</v>
      </c>
      <c r="N261" s="24">
        <v>24340</v>
      </c>
      <c r="O261" s="25">
        <v>4</v>
      </c>
      <c r="P261" s="73">
        <f t="shared" si="11"/>
        <v>25224</v>
      </c>
    </row>
    <row r="262" spans="11:16" x14ac:dyDescent="0.25">
      <c r="K262" s="3" t="s">
        <v>148</v>
      </c>
      <c r="L262" s="22">
        <v>35763</v>
      </c>
      <c r="M262" s="23">
        <f t="shared" ca="1" si="10"/>
        <v>18</v>
      </c>
      <c r="N262" s="24">
        <v>40680</v>
      </c>
      <c r="O262" s="25">
        <v>5</v>
      </c>
      <c r="P262" s="73">
        <f t="shared" si="11"/>
        <v>42157</v>
      </c>
    </row>
    <row r="263" spans="11:16" x14ac:dyDescent="0.25">
      <c r="K263" s="3" t="s">
        <v>415</v>
      </c>
      <c r="L263" s="22">
        <v>38773</v>
      </c>
      <c r="M263" s="23">
        <f t="shared" ca="1" si="10"/>
        <v>9</v>
      </c>
      <c r="N263" s="24">
        <v>44150</v>
      </c>
      <c r="O263" s="25">
        <v>4</v>
      </c>
      <c r="P263" s="73">
        <f t="shared" si="11"/>
        <v>45753</v>
      </c>
    </row>
    <row r="264" spans="11:16" x14ac:dyDescent="0.25">
      <c r="K264" s="3" t="s">
        <v>228</v>
      </c>
      <c r="L264" s="22">
        <v>34029</v>
      </c>
      <c r="M264" s="23">
        <f t="shared" ca="1" si="10"/>
        <v>22</v>
      </c>
      <c r="N264" s="24">
        <v>43410</v>
      </c>
      <c r="O264" s="25">
        <v>1</v>
      </c>
      <c r="P264" s="73">
        <f t="shared" si="11"/>
        <v>44986</v>
      </c>
    </row>
    <row r="265" spans="11:16" x14ac:dyDescent="0.25">
      <c r="K265" s="3" t="s">
        <v>205</v>
      </c>
      <c r="L265" s="22">
        <v>34622</v>
      </c>
      <c r="M265" s="23">
        <f t="shared" ca="1" si="10"/>
        <v>21</v>
      </c>
      <c r="N265" s="24">
        <v>89740</v>
      </c>
      <c r="O265" s="25">
        <v>5</v>
      </c>
      <c r="P265" s="73">
        <f t="shared" si="11"/>
        <v>92998</v>
      </c>
    </row>
    <row r="266" spans="11:16" x14ac:dyDescent="0.25">
      <c r="K266" s="3" t="s">
        <v>140</v>
      </c>
      <c r="L266" s="22">
        <v>32326</v>
      </c>
      <c r="M266" s="23">
        <f t="shared" ca="1" si="10"/>
        <v>27</v>
      </c>
      <c r="N266" s="24">
        <v>26360</v>
      </c>
      <c r="O266" s="25">
        <v>1</v>
      </c>
      <c r="P266" s="73">
        <f t="shared" si="11"/>
        <v>27317</v>
      </c>
    </row>
    <row r="267" spans="11:16" x14ac:dyDescent="0.25">
      <c r="K267" s="3" t="s">
        <v>133</v>
      </c>
      <c r="L267" s="22">
        <v>33811</v>
      </c>
      <c r="M267" s="23">
        <f t="shared" ca="1" si="10"/>
        <v>23</v>
      </c>
      <c r="N267" s="24">
        <v>22860</v>
      </c>
      <c r="O267" s="25">
        <v>5</v>
      </c>
      <c r="P267" s="73">
        <f t="shared" si="11"/>
        <v>23690</v>
      </c>
    </row>
    <row r="268" spans="11:16" x14ac:dyDescent="0.25">
      <c r="K268" s="3" t="s">
        <v>155</v>
      </c>
      <c r="L268" s="22">
        <v>33383</v>
      </c>
      <c r="M268" s="23">
        <f t="shared" ca="1" si="10"/>
        <v>24</v>
      </c>
      <c r="N268" s="24">
        <v>88820</v>
      </c>
      <c r="O268" s="25">
        <v>2</v>
      </c>
      <c r="P268" s="73">
        <f t="shared" si="11"/>
        <v>92044</v>
      </c>
    </row>
    <row r="269" spans="11:16" x14ac:dyDescent="0.25">
      <c r="K269" s="3" t="s">
        <v>179</v>
      </c>
      <c r="L269" s="22">
        <v>34219</v>
      </c>
      <c r="M269" s="23">
        <f t="shared" ca="1" si="10"/>
        <v>22</v>
      </c>
      <c r="N269" s="24">
        <v>44920</v>
      </c>
      <c r="O269" s="25">
        <v>1</v>
      </c>
      <c r="P269" s="73">
        <f t="shared" si="11"/>
        <v>46551</v>
      </c>
    </row>
    <row r="270" spans="11:16" x14ac:dyDescent="0.25">
      <c r="K270" s="3" t="s">
        <v>434</v>
      </c>
      <c r="L270" s="22">
        <v>39223</v>
      </c>
      <c r="M270" s="23">
        <f t="shared" ca="1" si="10"/>
        <v>8</v>
      </c>
      <c r="N270" s="24">
        <v>62180</v>
      </c>
      <c r="O270" s="25">
        <v>2</v>
      </c>
      <c r="P270" s="73">
        <f t="shared" si="11"/>
        <v>64437</v>
      </c>
    </row>
    <row r="271" spans="11:16" x14ac:dyDescent="0.25">
      <c r="K271" s="3" t="s">
        <v>181</v>
      </c>
      <c r="L271" s="22">
        <v>32618</v>
      </c>
      <c r="M271" s="23">
        <f t="shared" ca="1" si="10"/>
        <v>26</v>
      </c>
      <c r="N271" s="24">
        <v>68010</v>
      </c>
      <c r="O271" s="25">
        <v>1</v>
      </c>
      <c r="P271" s="73">
        <f t="shared" si="11"/>
        <v>70479</v>
      </c>
    </row>
    <row r="272" spans="11:16" x14ac:dyDescent="0.25">
      <c r="K272" s="3" t="s">
        <v>312</v>
      </c>
      <c r="L272" s="22">
        <v>34980</v>
      </c>
      <c r="M272" s="23">
        <f t="shared" ca="1" si="10"/>
        <v>20</v>
      </c>
      <c r="N272" s="24">
        <v>39000</v>
      </c>
      <c r="O272" s="25">
        <v>3</v>
      </c>
      <c r="P272" s="73">
        <f t="shared" si="11"/>
        <v>40416</v>
      </c>
    </row>
    <row r="273" spans="11:16" x14ac:dyDescent="0.25">
      <c r="K273" s="3" t="s">
        <v>153</v>
      </c>
      <c r="L273" s="22">
        <v>33889</v>
      </c>
      <c r="M273" s="23">
        <f t="shared" ca="1" si="10"/>
        <v>23</v>
      </c>
      <c r="N273" s="24">
        <v>73450</v>
      </c>
      <c r="O273" s="25">
        <v>3</v>
      </c>
      <c r="P273" s="73">
        <f t="shared" si="11"/>
        <v>76116</v>
      </c>
    </row>
    <row r="274" spans="11:16" x14ac:dyDescent="0.25">
      <c r="K274" s="3" t="s">
        <v>183</v>
      </c>
      <c r="L274" s="22">
        <v>32521</v>
      </c>
      <c r="M274" s="23">
        <f t="shared" ca="1" si="10"/>
        <v>26</v>
      </c>
      <c r="N274" s="24">
        <v>79760</v>
      </c>
      <c r="O274" s="25">
        <v>5</v>
      </c>
      <c r="P274" s="73">
        <f t="shared" si="11"/>
        <v>82655</v>
      </c>
    </row>
    <row r="275" spans="11:16" x14ac:dyDescent="0.25">
      <c r="K275" s="3" t="s">
        <v>452</v>
      </c>
      <c r="L275" s="30">
        <v>39370</v>
      </c>
      <c r="M275" s="23">
        <f t="shared" ca="1" si="10"/>
        <v>8</v>
      </c>
      <c r="N275" s="24">
        <v>40260</v>
      </c>
      <c r="O275" s="25">
        <v>5</v>
      </c>
      <c r="P275" s="73">
        <f t="shared" si="11"/>
        <v>41721</v>
      </c>
    </row>
    <row r="276" spans="11:16" x14ac:dyDescent="0.25">
      <c r="K276" s="3" t="s">
        <v>310</v>
      </c>
      <c r="L276" s="22">
        <v>38613</v>
      </c>
      <c r="M276" s="23">
        <f t="shared" ca="1" si="10"/>
        <v>10</v>
      </c>
      <c r="N276" s="24">
        <v>76440</v>
      </c>
      <c r="O276" s="25">
        <v>3</v>
      </c>
      <c r="P276" s="73">
        <f t="shared" si="11"/>
        <v>79215</v>
      </c>
    </row>
    <row r="277" spans="11:16" x14ac:dyDescent="0.25">
      <c r="K277" s="3" t="s">
        <v>164</v>
      </c>
      <c r="L277" s="22">
        <v>32975</v>
      </c>
      <c r="M277" s="23">
        <f t="shared" ca="1" si="10"/>
        <v>25</v>
      </c>
      <c r="N277" s="24">
        <v>48490</v>
      </c>
      <c r="O277" s="25">
        <v>2</v>
      </c>
      <c r="P277" s="73">
        <f t="shared" si="11"/>
        <v>50250</v>
      </c>
    </row>
    <row r="278" spans="11:16" x14ac:dyDescent="0.25">
      <c r="K278" s="3" t="s">
        <v>439</v>
      </c>
      <c r="L278" s="22">
        <v>39051</v>
      </c>
      <c r="M278" s="23">
        <f t="shared" ca="1" si="10"/>
        <v>9</v>
      </c>
      <c r="N278" s="24">
        <v>75780</v>
      </c>
      <c r="O278" s="25">
        <v>2</v>
      </c>
      <c r="P278" s="73">
        <f t="shared" si="11"/>
        <v>78531</v>
      </c>
    </row>
    <row r="279" spans="11:16" x14ac:dyDescent="0.25">
      <c r="K279" s="3" t="s">
        <v>256</v>
      </c>
      <c r="L279" s="22">
        <v>33774</v>
      </c>
      <c r="M279" s="23">
        <f t="shared" ca="1" si="10"/>
        <v>23</v>
      </c>
      <c r="N279" s="24">
        <v>49260</v>
      </c>
      <c r="O279" s="25">
        <v>3</v>
      </c>
      <c r="P279" s="73">
        <f t="shared" si="11"/>
        <v>51048</v>
      </c>
    </row>
    <row r="280" spans="11:16" x14ac:dyDescent="0.25">
      <c r="K280" s="3" t="s">
        <v>157</v>
      </c>
      <c r="L280" s="22">
        <v>32455</v>
      </c>
      <c r="M280" s="23">
        <f t="shared" ca="1" si="10"/>
        <v>27</v>
      </c>
      <c r="N280" s="24">
        <v>73930</v>
      </c>
      <c r="O280" s="25">
        <v>1</v>
      </c>
      <c r="P280" s="73">
        <f t="shared" si="11"/>
        <v>76614</v>
      </c>
    </row>
    <row r="281" spans="11:16" x14ac:dyDescent="0.25">
      <c r="K281" s="3" t="s">
        <v>75</v>
      </c>
      <c r="L281" s="22">
        <v>31769</v>
      </c>
      <c r="M281" s="23">
        <f t="shared" ca="1" si="10"/>
        <v>28</v>
      </c>
      <c r="N281" s="24">
        <v>32360</v>
      </c>
      <c r="O281" s="25">
        <v>4</v>
      </c>
      <c r="P281" s="73">
        <f t="shared" si="11"/>
        <v>33535</v>
      </c>
    </row>
    <row r="282" spans="11:16" x14ac:dyDescent="0.25">
      <c r="K282" s="3" t="s">
        <v>67</v>
      </c>
      <c r="L282" s="22">
        <v>31913</v>
      </c>
      <c r="M282" s="23">
        <f t="shared" ca="1" si="10"/>
        <v>28</v>
      </c>
      <c r="N282" s="24">
        <v>31260</v>
      </c>
      <c r="O282" s="25">
        <v>5</v>
      </c>
      <c r="P282" s="73">
        <f t="shared" si="11"/>
        <v>32395</v>
      </c>
    </row>
    <row r="283" spans="11:16" x14ac:dyDescent="0.25">
      <c r="K283" s="3" t="s">
        <v>357</v>
      </c>
      <c r="L283" s="22">
        <v>35630</v>
      </c>
      <c r="M283" s="23">
        <f t="shared" ca="1" si="10"/>
        <v>18</v>
      </c>
      <c r="N283" s="24">
        <v>48990</v>
      </c>
      <c r="O283" s="25">
        <v>5</v>
      </c>
      <c r="P283" s="73">
        <f t="shared" si="11"/>
        <v>50768</v>
      </c>
    </row>
    <row r="284" spans="11:16" x14ac:dyDescent="0.25">
      <c r="K284" s="3" t="s">
        <v>223</v>
      </c>
      <c r="L284" s="22">
        <v>33910</v>
      </c>
      <c r="M284" s="23">
        <f t="shared" ca="1" si="10"/>
        <v>23</v>
      </c>
      <c r="N284" s="24">
        <v>70480</v>
      </c>
      <c r="O284" s="25">
        <v>4</v>
      </c>
      <c r="P284" s="73">
        <f t="shared" si="11"/>
        <v>73038</v>
      </c>
    </row>
    <row r="285" spans="11:16" x14ac:dyDescent="0.25">
      <c r="K285" s="3" t="s">
        <v>437</v>
      </c>
      <c r="L285" s="30">
        <v>38982</v>
      </c>
      <c r="M285" s="23">
        <f t="shared" ca="1" si="10"/>
        <v>9</v>
      </c>
      <c r="N285" s="24">
        <v>23280</v>
      </c>
      <c r="O285" s="25">
        <v>1</v>
      </c>
      <c r="P285" s="73">
        <f t="shared" si="11"/>
        <v>24125</v>
      </c>
    </row>
    <row r="286" spans="11:16" x14ac:dyDescent="0.25">
      <c r="K286" s="3" t="s">
        <v>220</v>
      </c>
      <c r="L286" s="22">
        <v>33591</v>
      </c>
      <c r="M286" s="23">
        <f t="shared" ca="1" si="10"/>
        <v>23</v>
      </c>
      <c r="N286" s="24">
        <v>25830</v>
      </c>
      <c r="O286" s="25">
        <v>5</v>
      </c>
      <c r="P286" s="73">
        <f t="shared" si="11"/>
        <v>26768</v>
      </c>
    </row>
    <row r="287" spans="11:16" x14ac:dyDescent="0.25">
      <c r="K287" s="3" t="s">
        <v>454</v>
      </c>
      <c r="L287" s="22">
        <v>39271</v>
      </c>
      <c r="M287" s="23">
        <f t="shared" ca="1" si="10"/>
        <v>8</v>
      </c>
      <c r="N287" s="24">
        <v>80260</v>
      </c>
      <c r="O287" s="25">
        <v>3</v>
      </c>
      <c r="P287" s="73">
        <f t="shared" si="11"/>
        <v>83173</v>
      </c>
    </row>
    <row r="288" spans="11:16" x14ac:dyDescent="0.25">
      <c r="K288" s="3" t="s">
        <v>422</v>
      </c>
      <c r="L288" s="30">
        <v>39226</v>
      </c>
      <c r="M288" s="23">
        <f t="shared" ca="1" si="10"/>
        <v>8</v>
      </c>
      <c r="N288" s="24">
        <v>70730</v>
      </c>
      <c r="O288" s="25">
        <v>1</v>
      </c>
      <c r="P288" s="73">
        <f t="shared" si="11"/>
        <v>73297</v>
      </c>
    </row>
    <row r="289" spans="11:16" x14ac:dyDescent="0.25">
      <c r="K289" s="3" t="s">
        <v>90</v>
      </c>
      <c r="L289" s="22">
        <v>32758</v>
      </c>
      <c r="M289" s="23">
        <f t="shared" ca="1" si="10"/>
        <v>26</v>
      </c>
      <c r="N289" s="24">
        <v>23330</v>
      </c>
      <c r="O289" s="25">
        <v>4</v>
      </c>
      <c r="P289" s="73">
        <f t="shared" si="11"/>
        <v>24177</v>
      </c>
    </row>
    <row r="290" spans="11:16" x14ac:dyDescent="0.25">
      <c r="K290" s="3" t="s">
        <v>77</v>
      </c>
      <c r="L290" s="22">
        <v>32403</v>
      </c>
      <c r="M290" s="23">
        <f t="shared" ca="1" si="10"/>
        <v>27</v>
      </c>
      <c r="N290" s="24">
        <v>46220</v>
      </c>
      <c r="O290" s="25">
        <v>3</v>
      </c>
      <c r="P290" s="73">
        <f t="shared" si="11"/>
        <v>47898</v>
      </c>
    </row>
    <row r="291" spans="11:16" x14ac:dyDescent="0.25">
      <c r="K291" s="3" t="s">
        <v>85</v>
      </c>
      <c r="L291" s="22">
        <v>32144</v>
      </c>
      <c r="M291" s="23">
        <f t="shared" ca="1" si="10"/>
        <v>27</v>
      </c>
      <c r="N291" s="24">
        <v>67920</v>
      </c>
      <c r="O291" s="25">
        <v>4</v>
      </c>
      <c r="P291" s="73">
        <f t="shared" si="11"/>
        <v>70385</v>
      </c>
    </row>
    <row r="292" spans="11:16" x14ac:dyDescent="0.25">
      <c r="K292" s="3" t="s">
        <v>347</v>
      </c>
      <c r="L292" s="22">
        <v>37606</v>
      </c>
      <c r="M292" s="23">
        <f t="shared" ca="1" si="10"/>
        <v>12</v>
      </c>
      <c r="N292" s="24">
        <v>27560</v>
      </c>
      <c r="O292" s="25">
        <v>2</v>
      </c>
      <c r="P292" s="73">
        <f t="shared" si="11"/>
        <v>28560</v>
      </c>
    </row>
    <row r="293" spans="11:16" x14ac:dyDescent="0.25">
      <c r="K293" s="3" t="s">
        <v>338</v>
      </c>
      <c r="L293" s="22">
        <v>35708</v>
      </c>
      <c r="M293" s="23">
        <f t="shared" ca="1" si="10"/>
        <v>18</v>
      </c>
      <c r="N293" s="24">
        <v>28650</v>
      </c>
      <c r="O293" s="25">
        <v>4</v>
      </c>
      <c r="P293" s="73">
        <f t="shared" si="11"/>
        <v>29690</v>
      </c>
    </row>
    <row r="294" spans="11:16" x14ac:dyDescent="0.25">
      <c r="K294" s="3" t="s">
        <v>189</v>
      </c>
      <c r="L294" s="22">
        <v>33841</v>
      </c>
      <c r="M294" s="23">
        <f t="shared" ca="1" si="10"/>
        <v>23</v>
      </c>
      <c r="N294" s="24">
        <v>29760</v>
      </c>
      <c r="O294" s="25">
        <v>2</v>
      </c>
      <c r="P294" s="73">
        <f t="shared" si="11"/>
        <v>30840</v>
      </c>
    </row>
    <row r="295" spans="11:16" x14ac:dyDescent="0.25">
      <c r="K295" s="3" t="s">
        <v>189</v>
      </c>
      <c r="L295" s="22">
        <v>33841</v>
      </c>
      <c r="M295" s="23">
        <f t="shared" ca="1" si="10"/>
        <v>23</v>
      </c>
      <c r="N295" s="24">
        <v>29760</v>
      </c>
      <c r="O295" s="25">
        <v>2</v>
      </c>
      <c r="P295" s="73">
        <f t="shared" si="11"/>
        <v>30840</v>
      </c>
    </row>
    <row r="296" spans="11:16" x14ac:dyDescent="0.25">
      <c r="K296" s="3" t="s">
        <v>352</v>
      </c>
      <c r="L296" s="22">
        <v>35454</v>
      </c>
      <c r="M296" s="23">
        <f t="shared" ca="1" si="10"/>
        <v>18</v>
      </c>
      <c r="N296" s="24">
        <v>74840</v>
      </c>
      <c r="O296" s="25">
        <v>4</v>
      </c>
      <c r="P296" s="73">
        <f t="shared" si="11"/>
        <v>77557</v>
      </c>
    </row>
    <row r="297" spans="11:16" x14ac:dyDescent="0.25">
      <c r="K297" s="3" t="s">
        <v>107</v>
      </c>
      <c r="L297" s="22">
        <v>32296</v>
      </c>
      <c r="M297" s="23">
        <f t="shared" ca="1" si="10"/>
        <v>27</v>
      </c>
      <c r="N297" s="24">
        <v>87120</v>
      </c>
      <c r="O297" s="25">
        <v>3</v>
      </c>
      <c r="P297" s="73">
        <f t="shared" si="11"/>
        <v>90282</v>
      </c>
    </row>
    <row r="298" spans="11:16" x14ac:dyDescent="0.25">
      <c r="K298" s="3" t="s">
        <v>62</v>
      </c>
      <c r="L298" s="22">
        <v>31818</v>
      </c>
      <c r="M298" s="23">
        <f t="shared" ca="1" si="10"/>
        <v>28</v>
      </c>
      <c r="N298" s="24">
        <v>46110</v>
      </c>
      <c r="O298" s="25">
        <v>4</v>
      </c>
      <c r="P298" s="73">
        <f t="shared" si="11"/>
        <v>47784</v>
      </c>
    </row>
    <row r="299" spans="11:16" x14ac:dyDescent="0.25">
      <c r="K299" s="3" t="s">
        <v>350</v>
      </c>
      <c r="L299" s="22">
        <v>35216</v>
      </c>
      <c r="M299" s="23">
        <f t="shared" ca="1" si="10"/>
        <v>19</v>
      </c>
      <c r="N299" s="24">
        <v>29260</v>
      </c>
      <c r="O299" s="25">
        <v>4</v>
      </c>
      <c r="P299" s="73">
        <f t="shared" si="11"/>
        <v>30322</v>
      </c>
    </row>
    <row r="300" spans="11:16" x14ac:dyDescent="0.25">
      <c r="K300" s="3" t="s">
        <v>346</v>
      </c>
      <c r="L300" s="22">
        <v>36556</v>
      </c>
      <c r="M300" s="23">
        <f t="shared" ca="1" si="10"/>
        <v>15</v>
      </c>
      <c r="N300" s="24">
        <v>54230</v>
      </c>
      <c r="O300" s="25">
        <v>5</v>
      </c>
      <c r="P300" s="73">
        <f t="shared" si="11"/>
        <v>56199</v>
      </c>
    </row>
    <row r="301" spans="11:16" x14ac:dyDescent="0.25">
      <c r="K301" s="3" t="s">
        <v>98</v>
      </c>
      <c r="L301" s="22">
        <v>32841</v>
      </c>
      <c r="M301" s="23">
        <f t="shared" ca="1" si="10"/>
        <v>26</v>
      </c>
      <c r="N301" s="24">
        <v>81980</v>
      </c>
      <c r="O301" s="25">
        <v>2</v>
      </c>
      <c r="P301" s="73">
        <f t="shared" si="11"/>
        <v>84956</v>
      </c>
    </row>
    <row r="302" spans="11:16" x14ac:dyDescent="0.25">
      <c r="K302" s="3" t="s">
        <v>63</v>
      </c>
      <c r="L302" s="22">
        <v>32147</v>
      </c>
      <c r="M302" s="23">
        <f t="shared" ca="1" si="10"/>
        <v>27</v>
      </c>
      <c r="N302" s="24">
        <v>61470</v>
      </c>
      <c r="O302" s="25">
        <v>5</v>
      </c>
      <c r="P302" s="73">
        <f t="shared" si="11"/>
        <v>63701</v>
      </c>
    </row>
    <row r="303" spans="11:16" x14ac:dyDescent="0.25">
      <c r="K303" s="3" t="s">
        <v>272</v>
      </c>
      <c r="L303" s="22">
        <v>35121</v>
      </c>
      <c r="M303" s="23">
        <f t="shared" ca="1" si="10"/>
        <v>19</v>
      </c>
      <c r="N303" s="24">
        <v>35820</v>
      </c>
      <c r="O303" s="25">
        <v>2</v>
      </c>
      <c r="P303" s="73">
        <f t="shared" si="11"/>
        <v>37120</v>
      </c>
    </row>
    <row r="304" spans="11:16" x14ac:dyDescent="0.25">
      <c r="K304" s="3" t="s">
        <v>304</v>
      </c>
      <c r="L304" s="22">
        <v>35309</v>
      </c>
      <c r="M304" s="23">
        <f t="shared" ca="1" si="10"/>
        <v>19</v>
      </c>
      <c r="N304" s="24">
        <v>71970</v>
      </c>
      <c r="O304" s="25">
        <v>4</v>
      </c>
      <c r="P304" s="73">
        <f t="shared" si="11"/>
        <v>74583</v>
      </c>
    </row>
    <row r="305" spans="11:16" x14ac:dyDescent="0.25">
      <c r="K305" s="3" t="s">
        <v>237</v>
      </c>
      <c r="L305" s="22">
        <v>33972</v>
      </c>
      <c r="M305" s="23">
        <f t="shared" ca="1" si="10"/>
        <v>22</v>
      </c>
      <c r="N305" s="24">
        <v>57560</v>
      </c>
      <c r="O305" s="25">
        <v>4</v>
      </c>
      <c r="P305" s="73">
        <f t="shared" si="11"/>
        <v>59649</v>
      </c>
    </row>
    <row r="306" spans="11:16" x14ac:dyDescent="0.25">
      <c r="K306" s="3" t="s">
        <v>324</v>
      </c>
      <c r="L306" s="22">
        <v>35002</v>
      </c>
      <c r="M306" s="23">
        <f t="shared" ca="1" si="10"/>
        <v>20</v>
      </c>
      <c r="N306" s="24">
        <v>69200</v>
      </c>
      <c r="O306" s="25">
        <v>4</v>
      </c>
      <c r="P306" s="73">
        <f t="shared" si="11"/>
        <v>71712</v>
      </c>
    </row>
    <row r="307" spans="11:16" x14ac:dyDescent="0.25">
      <c r="K307" s="3" t="s">
        <v>191</v>
      </c>
      <c r="L307" s="22">
        <v>34393</v>
      </c>
      <c r="M307" s="23">
        <f t="shared" ca="1" si="10"/>
        <v>21</v>
      </c>
      <c r="N307" s="24">
        <v>66430</v>
      </c>
      <c r="O307" s="25">
        <v>2</v>
      </c>
      <c r="P307" s="73">
        <f t="shared" si="11"/>
        <v>68841</v>
      </c>
    </row>
    <row r="308" spans="11:16" x14ac:dyDescent="0.25">
      <c r="K308" s="3" t="s">
        <v>262</v>
      </c>
      <c r="L308" s="22">
        <v>34466</v>
      </c>
      <c r="M308" s="23">
        <f t="shared" ca="1" si="10"/>
        <v>21</v>
      </c>
      <c r="N308" s="24">
        <v>86320</v>
      </c>
      <c r="O308" s="25">
        <v>4</v>
      </c>
      <c r="P308" s="73">
        <f t="shared" si="11"/>
        <v>89453</v>
      </c>
    </row>
    <row r="309" spans="11:16" x14ac:dyDescent="0.25">
      <c r="K309" s="3" t="s">
        <v>165</v>
      </c>
      <c r="L309" s="22">
        <v>32757</v>
      </c>
      <c r="M309" s="23">
        <f t="shared" ca="1" si="10"/>
        <v>26</v>
      </c>
      <c r="N309" s="24">
        <v>86540</v>
      </c>
      <c r="O309" s="25">
        <v>4</v>
      </c>
      <c r="P309" s="73">
        <f t="shared" si="11"/>
        <v>89681</v>
      </c>
    </row>
    <row r="310" spans="11:16" x14ac:dyDescent="0.25">
      <c r="K310" s="3" t="s">
        <v>196</v>
      </c>
      <c r="L310" s="22">
        <v>34404</v>
      </c>
      <c r="M310" s="23">
        <f t="shared" ca="1" si="10"/>
        <v>21</v>
      </c>
      <c r="N310" s="24">
        <v>70020</v>
      </c>
      <c r="O310" s="25">
        <v>3</v>
      </c>
      <c r="P310" s="73">
        <f t="shared" si="11"/>
        <v>72562</v>
      </c>
    </row>
    <row r="311" spans="11:16" x14ac:dyDescent="0.25">
      <c r="K311" s="3" t="s">
        <v>130</v>
      </c>
      <c r="L311" s="22">
        <v>32850</v>
      </c>
      <c r="M311" s="23">
        <f t="shared" ca="1" si="10"/>
        <v>26</v>
      </c>
      <c r="N311" s="24">
        <v>54200</v>
      </c>
      <c r="O311" s="25">
        <v>4</v>
      </c>
      <c r="P311" s="73">
        <f t="shared" si="11"/>
        <v>56167</v>
      </c>
    </row>
    <row r="312" spans="11:16" x14ac:dyDescent="0.25">
      <c r="K312" s="3" t="s">
        <v>96</v>
      </c>
      <c r="L312" s="22">
        <v>32216</v>
      </c>
      <c r="M312" s="23">
        <f t="shared" ca="1" si="10"/>
        <v>27</v>
      </c>
      <c r="N312" s="24">
        <v>79400</v>
      </c>
      <c r="O312" s="25">
        <v>4</v>
      </c>
      <c r="P312" s="73">
        <f t="shared" si="11"/>
        <v>82282</v>
      </c>
    </row>
    <row r="313" spans="11:16" x14ac:dyDescent="0.25">
      <c r="K313" s="3" t="s">
        <v>173</v>
      </c>
      <c r="L313" s="22">
        <v>34201</v>
      </c>
      <c r="M313" s="23">
        <f t="shared" ca="1" si="10"/>
        <v>22</v>
      </c>
      <c r="N313" s="24">
        <v>73144</v>
      </c>
      <c r="O313" s="25">
        <v>5</v>
      </c>
      <c r="P313" s="73">
        <f t="shared" si="11"/>
        <v>75799</v>
      </c>
    </row>
    <row r="314" spans="11:16" x14ac:dyDescent="0.25">
      <c r="K314" s="3" t="s">
        <v>229</v>
      </c>
      <c r="L314" s="22">
        <v>34774</v>
      </c>
      <c r="M314" s="23">
        <f t="shared" ca="1" si="10"/>
        <v>20</v>
      </c>
      <c r="N314" s="24">
        <v>33210</v>
      </c>
      <c r="O314" s="25">
        <v>4</v>
      </c>
      <c r="P314" s="73">
        <f t="shared" si="11"/>
        <v>34416</v>
      </c>
    </row>
    <row r="315" spans="11:16" x14ac:dyDescent="0.25">
      <c r="K315" s="3" t="s">
        <v>391</v>
      </c>
      <c r="L315" s="22">
        <v>37522</v>
      </c>
      <c r="M315" s="23">
        <f t="shared" ca="1" si="10"/>
        <v>13</v>
      </c>
      <c r="N315" s="24">
        <v>29420</v>
      </c>
      <c r="O315" s="25">
        <v>5</v>
      </c>
      <c r="P315" s="73">
        <f t="shared" si="11"/>
        <v>30488</v>
      </c>
    </row>
    <row r="316" spans="11:16" x14ac:dyDescent="0.25">
      <c r="K316" s="3" t="s">
        <v>146</v>
      </c>
      <c r="L316" s="22">
        <v>32776</v>
      </c>
      <c r="M316" s="23">
        <f t="shared" ca="1" si="10"/>
        <v>26</v>
      </c>
      <c r="N316" s="24">
        <v>31840</v>
      </c>
      <c r="O316" s="25">
        <v>1</v>
      </c>
      <c r="P316" s="73">
        <f t="shared" si="11"/>
        <v>32996</v>
      </c>
    </row>
    <row r="317" spans="11:16" x14ac:dyDescent="0.25">
      <c r="K317" s="3" t="s">
        <v>150</v>
      </c>
      <c r="L317" s="22">
        <v>32912</v>
      </c>
      <c r="M317" s="23">
        <f t="shared" ca="1" si="10"/>
        <v>25</v>
      </c>
      <c r="N317" s="24">
        <v>62688</v>
      </c>
      <c r="O317" s="25">
        <v>2</v>
      </c>
      <c r="P317" s="73">
        <f t="shared" si="11"/>
        <v>64964</v>
      </c>
    </row>
    <row r="318" spans="11:16" x14ac:dyDescent="0.25">
      <c r="K318" s="3" t="s">
        <v>330</v>
      </c>
      <c r="L318" s="22">
        <v>35333</v>
      </c>
      <c r="M318" s="23">
        <f t="shared" ca="1" si="10"/>
        <v>19</v>
      </c>
      <c r="N318" s="24">
        <v>71380</v>
      </c>
      <c r="O318" s="25">
        <v>2</v>
      </c>
      <c r="P318" s="73">
        <f t="shared" si="11"/>
        <v>73971</v>
      </c>
    </row>
    <row r="319" spans="11:16" x14ac:dyDescent="0.25">
      <c r="K319" s="3" t="s">
        <v>443</v>
      </c>
      <c r="L319" s="22">
        <v>39265</v>
      </c>
      <c r="M319" s="23">
        <f t="shared" ca="1" si="10"/>
        <v>8</v>
      </c>
      <c r="N319" s="24">
        <v>74710</v>
      </c>
      <c r="O319" s="25">
        <v>2</v>
      </c>
      <c r="P319" s="73">
        <f t="shared" si="11"/>
        <v>77422</v>
      </c>
    </row>
    <row r="320" spans="11:16" x14ac:dyDescent="0.25">
      <c r="K320" s="3" t="s">
        <v>283</v>
      </c>
      <c r="L320" s="22">
        <v>34659</v>
      </c>
      <c r="M320" s="23">
        <f t="shared" ca="1" si="10"/>
        <v>21</v>
      </c>
      <c r="N320" s="24">
        <v>74530</v>
      </c>
      <c r="O320" s="25">
        <v>5</v>
      </c>
      <c r="P320" s="73">
        <f t="shared" si="11"/>
        <v>77235</v>
      </c>
    </row>
    <row r="321" spans="11:16" x14ac:dyDescent="0.25">
      <c r="K321" s="3" t="s">
        <v>355</v>
      </c>
      <c r="L321" s="22">
        <v>36626</v>
      </c>
      <c r="M321" s="23">
        <f t="shared" ca="1" si="10"/>
        <v>15</v>
      </c>
      <c r="N321" s="24">
        <v>30920</v>
      </c>
      <c r="O321" s="25">
        <v>5</v>
      </c>
      <c r="P321" s="73">
        <f t="shared" si="11"/>
        <v>32042</v>
      </c>
    </row>
    <row r="322" spans="11:16" x14ac:dyDescent="0.25">
      <c r="K322" s="3" t="s">
        <v>119</v>
      </c>
      <c r="L322" s="22">
        <v>32647</v>
      </c>
      <c r="M322" s="23">
        <f t="shared" ref="M322:M385" ca="1" si="12">DATEDIF(L322,TODAY(),"Y")</f>
        <v>26</v>
      </c>
      <c r="N322" s="24">
        <v>59490</v>
      </c>
      <c r="O322" s="25">
        <v>3</v>
      </c>
      <c r="P322" s="73">
        <f t="shared" si="11"/>
        <v>61649</v>
      </c>
    </row>
    <row r="323" spans="11:16" x14ac:dyDescent="0.25">
      <c r="K323" s="3" t="s">
        <v>265</v>
      </c>
      <c r="L323" s="22">
        <v>34778</v>
      </c>
      <c r="M323" s="23">
        <f t="shared" ca="1" si="12"/>
        <v>20</v>
      </c>
      <c r="N323" s="24">
        <v>54580</v>
      </c>
      <c r="O323" s="25">
        <v>4</v>
      </c>
      <c r="P323" s="73">
        <f t="shared" ref="P323:P386" si="13">ROUND(N323*$Q$1+N323,0)</f>
        <v>56561</v>
      </c>
    </row>
    <row r="324" spans="11:16" x14ac:dyDescent="0.25">
      <c r="K324" s="3" t="s">
        <v>122</v>
      </c>
      <c r="L324" s="22">
        <v>32751</v>
      </c>
      <c r="M324" s="23">
        <f t="shared" ca="1" si="12"/>
        <v>26</v>
      </c>
      <c r="N324" s="24">
        <v>23320</v>
      </c>
      <c r="O324" s="25">
        <v>4</v>
      </c>
      <c r="P324" s="73">
        <f t="shared" si="13"/>
        <v>24167</v>
      </c>
    </row>
    <row r="325" spans="11:16" x14ac:dyDescent="0.25">
      <c r="K325" s="3" t="s">
        <v>388</v>
      </c>
      <c r="L325" s="22">
        <v>36483</v>
      </c>
      <c r="M325" s="23">
        <f t="shared" ca="1" si="12"/>
        <v>16</v>
      </c>
      <c r="N325" s="24">
        <v>29210</v>
      </c>
      <c r="O325" s="25">
        <v>5</v>
      </c>
      <c r="P325" s="73">
        <f t="shared" si="13"/>
        <v>30270</v>
      </c>
    </row>
    <row r="326" spans="11:16" x14ac:dyDescent="0.25">
      <c r="K326" s="3" t="s">
        <v>190</v>
      </c>
      <c r="L326" s="22">
        <v>33360</v>
      </c>
      <c r="M326" s="23">
        <f t="shared" ca="1" si="12"/>
        <v>24</v>
      </c>
      <c r="N326" s="24">
        <v>69510</v>
      </c>
      <c r="O326" s="25">
        <v>5</v>
      </c>
      <c r="P326" s="73">
        <f t="shared" si="13"/>
        <v>72033</v>
      </c>
    </row>
    <row r="327" spans="11:16" x14ac:dyDescent="0.25">
      <c r="K327" s="3" t="s">
        <v>327</v>
      </c>
      <c r="L327" s="22">
        <v>36126</v>
      </c>
      <c r="M327" s="23">
        <f t="shared" ca="1" si="12"/>
        <v>17</v>
      </c>
      <c r="N327" s="24">
        <v>64130</v>
      </c>
      <c r="O327" s="25">
        <v>1</v>
      </c>
      <c r="P327" s="73">
        <f t="shared" si="13"/>
        <v>66458</v>
      </c>
    </row>
    <row r="328" spans="11:16" x14ac:dyDescent="0.25">
      <c r="K328" s="3" t="s">
        <v>69</v>
      </c>
      <c r="L328" s="22">
        <v>31912</v>
      </c>
      <c r="M328" s="23">
        <f t="shared" ca="1" si="12"/>
        <v>28</v>
      </c>
      <c r="N328" s="24">
        <v>53900</v>
      </c>
      <c r="O328" s="25">
        <v>5</v>
      </c>
      <c r="P328" s="73">
        <f t="shared" si="13"/>
        <v>55857</v>
      </c>
    </row>
    <row r="329" spans="11:16" x14ac:dyDescent="0.25">
      <c r="K329" s="3" t="s">
        <v>287</v>
      </c>
      <c r="L329" s="22">
        <v>34191</v>
      </c>
      <c r="M329" s="23">
        <f t="shared" ca="1" si="12"/>
        <v>22</v>
      </c>
      <c r="N329" s="24">
        <v>37750</v>
      </c>
      <c r="O329" s="25">
        <v>5</v>
      </c>
      <c r="P329" s="73">
        <f t="shared" si="13"/>
        <v>39120</v>
      </c>
    </row>
    <row r="330" spans="11:16" x14ac:dyDescent="0.25">
      <c r="K330" s="3" t="s">
        <v>141</v>
      </c>
      <c r="L330" s="22">
        <v>32991</v>
      </c>
      <c r="M330" s="23">
        <f t="shared" ca="1" si="12"/>
        <v>25</v>
      </c>
      <c r="N330" s="24">
        <v>73440</v>
      </c>
      <c r="O330" s="25">
        <v>1</v>
      </c>
      <c r="P330" s="73">
        <f t="shared" si="13"/>
        <v>76106</v>
      </c>
    </row>
    <row r="331" spans="11:16" x14ac:dyDescent="0.25">
      <c r="K331" s="3" t="s">
        <v>264</v>
      </c>
      <c r="L331" s="22">
        <v>35103</v>
      </c>
      <c r="M331" s="23">
        <f t="shared" ca="1" si="12"/>
        <v>19</v>
      </c>
      <c r="N331" s="24">
        <v>40060</v>
      </c>
      <c r="O331" s="25">
        <v>3</v>
      </c>
      <c r="P331" s="73">
        <f t="shared" si="13"/>
        <v>41514</v>
      </c>
    </row>
    <row r="332" spans="11:16" x14ac:dyDescent="0.25">
      <c r="K332" s="3" t="s">
        <v>240</v>
      </c>
      <c r="L332" s="22">
        <v>31970</v>
      </c>
      <c r="M332" s="23">
        <f t="shared" ca="1" si="12"/>
        <v>28</v>
      </c>
      <c r="N332" s="24">
        <v>87950</v>
      </c>
      <c r="O332" s="25">
        <v>4</v>
      </c>
      <c r="P332" s="73">
        <f t="shared" si="13"/>
        <v>91143</v>
      </c>
    </row>
    <row r="333" spans="11:16" x14ac:dyDescent="0.25">
      <c r="K333" s="3" t="s">
        <v>379</v>
      </c>
      <c r="L333" s="22">
        <v>38136</v>
      </c>
      <c r="M333" s="23">
        <f t="shared" ca="1" si="12"/>
        <v>11</v>
      </c>
      <c r="N333" s="24">
        <v>44650</v>
      </c>
      <c r="O333" s="25">
        <v>1</v>
      </c>
      <c r="P333" s="73">
        <f t="shared" si="13"/>
        <v>46271</v>
      </c>
    </row>
    <row r="334" spans="11:16" x14ac:dyDescent="0.25">
      <c r="K334" s="3" t="s">
        <v>395</v>
      </c>
      <c r="L334" s="30">
        <v>39090</v>
      </c>
      <c r="M334" s="23">
        <f t="shared" ca="1" si="12"/>
        <v>8</v>
      </c>
      <c r="N334" s="24">
        <v>79150</v>
      </c>
      <c r="O334" s="25">
        <v>2</v>
      </c>
      <c r="P334" s="73">
        <f t="shared" si="13"/>
        <v>82023</v>
      </c>
    </row>
    <row r="335" spans="11:16" x14ac:dyDescent="0.25">
      <c r="K335" s="3" t="s">
        <v>197</v>
      </c>
      <c r="L335" s="22">
        <v>33490</v>
      </c>
      <c r="M335" s="23">
        <f t="shared" ca="1" si="12"/>
        <v>24</v>
      </c>
      <c r="N335" s="24">
        <v>82700</v>
      </c>
      <c r="O335" s="25">
        <v>3</v>
      </c>
      <c r="P335" s="73">
        <f t="shared" si="13"/>
        <v>85702</v>
      </c>
    </row>
    <row r="336" spans="11:16" x14ac:dyDescent="0.25">
      <c r="K336" s="3" t="s">
        <v>305</v>
      </c>
      <c r="L336" s="22">
        <v>32010</v>
      </c>
      <c r="M336" s="23">
        <f t="shared" ca="1" si="12"/>
        <v>28</v>
      </c>
      <c r="N336" s="24">
        <v>35320</v>
      </c>
      <c r="O336" s="25">
        <v>3</v>
      </c>
      <c r="P336" s="73">
        <f t="shared" si="13"/>
        <v>36602</v>
      </c>
    </row>
    <row r="337" spans="11:16" x14ac:dyDescent="0.25">
      <c r="K337" s="3" t="s">
        <v>273</v>
      </c>
      <c r="L337" s="22">
        <v>34865</v>
      </c>
      <c r="M337" s="23">
        <f t="shared" ca="1" si="12"/>
        <v>20</v>
      </c>
      <c r="N337" s="24">
        <v>23520</v>
      </c>
      <c r="O337" s="25">
        <v>2</v>
      </c>
      <c r="P337" s="73">
        <f t="shared" si="13"/>
        <v>24374</v>
      </c>
    </row>
    <row r="338" spans="11:16" x14ac:dyDescent="0.25">
      <c r="K338" s="3" t="s">
        <v>145</v>
      </c>
      <c r="L338" s="22">
        <v>32332</v>
      </c>
      <c r="M338" s="23">
        <f t="shared" ca="1" si="12"/>
        <v>27</v>
      </c>
      <c r="N338" s="24">
        <v>79770</v>
      </c>
      <c r="O338" s="25">
        <v>4</v>
      </c>
      <c r="P338" s="73">
        <f t="shared" si="13"/>
        <v>82666</v>
      </c>
    </row>
    <row r="339" spans="11:16" x14ac:dyDescent="0.25">
      <c r="K339" s="3" t="s">
        <v>115</v>
      </c>
      <c r="L339" s="22">
        <v>35259</v>
      </c>
      <c r="M339" s="23">
        <f t="shared" ca="1" si="12"/>
        <v>19</v>
      </c>
      <c r="N339" s="24">
        <v>75060</v>
      </c>
      <c r="O339" s="25">
        <v>5</v>
      </c>
      <c r="P339" s="73">
        <f t="shared" si="13"/>
        <v>77785</v>
      </c>
    </row>
    <row r="340" spans="11:16" x14ac:dyDescent="0.25">
      <c r="K340" s="3" t="s">
        <v>266</v>
      </c>
      <c r="L340" s="22">
        <v>34547</v>
      </c>
      <c r="M340" s="23">
        <f t="shared" ca="1" si="12"/>
        <v>21</v>
      </c>
      <c r="N340" s="24">
        <v>82110</v>
      </c>
      <c r="O340" s="25">
        <v>3</v>
      </c>
      <c r="P340" s="73">
        <f t="shared" si="13"/>
        <v>85091</v>
      </c>
    </row>
    <row r="341" spans="11:16" x14ac:dyDescent="0.25">
      <c r="K341" s="3" t="s">
        <v>356</v>
      </c>
      <c r="L341" s="22">
        <v>37737</v>
      </c>
      <c r="M341" s="23">
        <f t="shared" ca="1" si="12"/>
        <v>12</v>
      </c>
      <c r="N341" s="24">
        <v>65880</v>
      </c>
      <c r="O341" s="25">
        <v>5</v>
      </c>
      <c r="P341" s="73">
        <f t="shared" si="13"/>
        <v>68271</v>
      </c>
    </row>
    <row r="342" spans="11:16" x14ac:dyDescent="0.25">
      <c r="K342" s="3" t="s">
        <v>356</v>
      </c>
      <c r="L342" s="22">
        <v>37737</v>
      </c>
      <c r="M342" s="23">
        <f t="shared" ca="1" si="12"/>
        <v>12</v>
      </c>
      <c r="N342" s="24">
        <v>65880</v>
      </c>
      <c r="O342" s="25">
        <v>5</v>
      </c>
      <c r="P342" s="73">
        <f t="shared" si="13"/>
        <v>68271</v>
      </c>
    </row>
    <row r="343" spans="11:16" x14ac:dyDescent="0.25">
      <c r="K343" s="3" t="s">
        <v>252</v>
      </c>
      <c r="L343" s="22">
        <v>34357</v>
      </c>
      <c r="M343" s="23">
        <f t="shared" ca="1" si="12"/>
        <v>21</v>
      </c>
      <c r="N343" s="24">
        <v>40920</v>
      </c>
      <c r="O343" s="25">
        <v>4</v>
      </c>
      <c r="P343" s="73">
        <f t="shared" si="13"/>
        <v>42405</v>
      </c>
    </row>
    <row r="344" spans="11:16" x14ac:dyDescent="0.25">
      <c r="K344" s="3" t="s">
        <v>387</v>
      </c>
      <c r="L344" s="22">
        <v>37037</v>
      </c>
      <c r="M344" s="23">
        <f t="shared" ca="1" si="12"/>
        <v>14</v>
      </c>
      <c r="N344" s="24">
        <v>81340</v>
      </c>
      <c r="O344" s="25">
        <v>2</v>
      </c>
      <c r="P344" s="73">
        <f t="shared" si="13"/>
        <v>84293</v>
      </c>
    </row>
    <row r="345" spans="11:16" x14ac:dyDescent="0.25">
      <c r="K345" s="3" t="s">
        <v>244</v>
      </c>
      <c r="L345" s="22">
        <v>34069</v>
      </c>
      <c r="M345" s="23">
        <f t="shared" ca="1" si="12"/>
        <v>22</v>
      </c>
      <c r="N345" s="24">
        <v>67230</v>
      </c>
      <c r="O345" s="25">
        <v>4</v>
      </c>
      <c r="P345" s="73">
        <f t="shared" si="13"/>
        <v>69670</v>
      </c>
    </row>
    <row r="346" spans="11:16" x14ac:dyDescent="0.25">
      <c r="K346" s="3" t="s">
        <v>408</v>
      </c>
      <c r="L346" s="22">
        <v>38418</v>
      </c>
      <c r="M346" s="23">
        <f t="shared" ca="1" si="12"/>
        <v>10</v>
      </c>
      <c r="N346" s="24">
        <v>82370</v>
      </c>
      <c r="O346" s="25">
        <v>5</v>
      </c>
      <c r="P346" s="73">
        <f t="shared" si="13"/>
        <v>85360</v>
      </c>
    </row>
    <row r="347" spans="11:16" x14ac:dyDescent="0.25">
      <c r="K347" s="3" t="s">
        <v>440</v>
      </c>
      <c r="L347" s="22">
        <v>38505</v>
      </c>
      <c r="M347" s="23">
        <f t="shared" ca="1" si="12"/>
        <v>10</v>
      </c>
      <c r="N347" s="24">
        <v>72060</v>
      </c>
      <c r="O347" s="25">
        <v>2</v>
      </c>
      <c r="P347" s="73">
        <f t="shared" si="13"/>
        <v>74676</v>
      </c>
    </row>
    <row r="348" spans="11:16" x14ac:dyDescent="0.25">
      <c r="K348" s="3" t="s">
        <v>376</v>
      </c>
      <c r="L348" s="22">
        <v>37067</v>
      </c>
      <c r="M348" s="23">
        <f t="shared" ca="1" si="12"/>
        <v>14</v>
      </c>
      <c r="N348" s="24">
        <v>41060</v>
      </c>
      <c r="O348" s="25">
        <v>3</v>
      </c>
      <c r="P348" s="73">
        <f t="shared" si="13"/>
        <v>42550</v>
      </c>
    </row>
    <row r="349" spans="11:16" x14ac:dyDescent="0.25">
      <c r="K349" s="3" t="s">
        <v>241</v>
      </c>
      <c r="L349" s="22">
        <v>34608</v>
      </c>
      <c r="M349" s="23">
        <f t="shared" ca="1" si="12"/>
        <v>21</v>
      </c>
      <c r="N349" s="24">
        <v>73740</v>
      </c>
      <c r="O349" s="25">
        <v>4</v>
      </c>
      <c r="P349" s="73">
        <f t="shared" si="13"/>
        <v>76417</v>
      </c>
    </row>
    <row r="350" spans="11:16" x14ac:dyDescent="0.25">
      <c r="K350" s="3" t="s">
        <v>291</v>
      </c>
      <c r="L350" s="22">
        <v>34833</v>
      </c>
      <c r="M350" s="23">
        <f t="shared" ca="1" si="12"/>
        <v>20</v>
      </c>
      <c r="N350" s="24">
        <v>72090</v>
      </c>
      <c r="O350" s="25">
        <v>5</v>
      </c>
      <c r="P350" s="73">
        <f t="shared" si="13"/>
        <v>74707</v>
      </c>
    </row>
    <row r="351" spans="11:16" x14ac:dyDescent="0.25">
      <c r="K351" s="3" t="s">
        <v>170</v>
      </c>
      <c r="L351" s="22">
        <v>32903</v>
      </c>
      <c r="M351" s="23">
        <f t="shared" ca="1" si="12"/>
        <v>25</v>
      </c>
      <c r="N351" s="24">
        <v>72900</v>
      </c>
      <c r="O351" s="25">
        <v>3</v>
      </c>
      <c r="P351" s="73">
        <f t="shared" si="13"/>
        <v>75546</v>
      </c>
    </row>
    <row r="352" spans="11:16" x14ac:dyDescent="0.25">
      <c r="K352" s="3" t="s">
        <v>171</v>
      </c>
      <c r="L352" s="22">
        <v>33115</v>
      </c>
      <c r="M352" s="23">
        <f t="shared" ca="1" si="12"/>
        <v>25</v>
      </c>
      <c r="N352" s="24">
        <v>73850</v>
      </c>
      <c r="O352" s="25">
        <v>2</v>
      </c>
      <c r="P352" s="73">
        <f t="shared" si="13"/>
        <v>76531</v>
      </c>
    </row>
    <row r="353" spans="11:16" x14ac:dyDescent="0.25">
      <c r="K353" s="3" t="s">
        <v>128</v>
      </c>
      <c r="L353" s="22">
        <v>32075</v>
      </c>
      <c r="M353" s="23">
        <f t="shared" ca="1" si="12"/>
        <v>28</v>
      </c>
      <c r="N353" s="24">
        <v>89140</v>
      </c>
      <c r="O353" s="25">
        <v>1</v>
      </c>
      <c r="P353" s="73">
        <f t="shared" si="13"/>
        <v>92376</v>
      </c>
    </row>
    <row r="354" spans="11:16" x14ac:dyDescent="0.25">
      <c r="K354" s="3" t="s">
        <v>245</v>
      </c>
      <c r="L354" s="22">
        <v>34648</v>
      </c>
      <c r="M354" s="23">
        <f t="shared" ca="1" si="12"/>
        <v>21</v>
      </c>
      <c r="N354" s="24">
        <v>61420</v>
      </c>
      <c r="O354" s="25">
        <v>4</v>
      </c>
      <c r="P354" s="73">
        <f t="shared" si="13"/>
        <v>63650</v>
      </c>
    </row>
    <row r="355" spans="11:16" x14ac:dyDescent="0.25">
      <c r="K355" s="3" t="s">
        <v>139</v>
      </c>
      <c r="L355" s="22">
        <v>33846</v>
      </c>
      <c r="M355" s="23">
        <f t="shared" ca="1" si="12"/>
        <v>23</v>
      </c>
      <c r="N355" s="24">
        <v>86260</v>
      </c>
      <c r="O355" s="25">
        <v>3</v>
      </c>
      <c r="P355" s="73">
        <f t="shared" si="13"/>
        <v>89391</v>
      </c>
    </row>
    <row r="356" spans="11:16" x14ac:dyDescent="0.25">
      <c r="K356" s="3" t="s">
        <v>71</v>
      </c>
      <c r="L356" s="22">
        <v>35681</v>
      </c>
      <c r="M356" s="23">
        <f t="shared" ca="1" si="12"/>
        <v>18</v>
      </c>
      <c r="N356" s="24">
        <v>63670</v>
      </c>
      <c r="O356" s="25">
        <v>5</v>
      </c>
      <c r="P356" s="73">
        <f t="shared" si="13"/>
        <v>65981</v>
      </c>
    </row>
    <row r="357" spans="11:16" x14ac:dyDescent="0.25">
      <c r="K357" s="3" t="s">
        <v>407</v>
      </c>
      <c r="L357" s="22">
        <v>35583</v>
      </c>
      <c r="M357" s="23">
        <f t="shared" ca="1" si="12"/>
        <v>18</v>
      </c>
      <c r="N357" s="24">
        <v>33640</v>
      </c>
      <c r="O357" s="25">
        <v>3</v>
      </c>
      <c r="P357" s="73">
        <f t="shared" si="13"/>
        <v>34861</v>
      </c>
    </row>
    <row r="358" spans="11:16" x14ac:dyDescent="0.25">
      <c r="K358" s="3" t="s">
        <v>212</v>
      </c>
      <c r="L358" s="22">
        <v>31876</v>
      </c>
      <c r="M358" s="23">
        <f t="shared" ca="1" si="12"/>
        <v>28</v>
      </c>
      <c r="N358" s="24">
        <v>40940</v>
      </c>
      <c r="O358" s="25">
        <v>3</v>
      </c>
      <c r="P358" s="73">
        <f t="shared" si="13"/>
        <v>42426</v>
      </c>
    </row>
    <row r="359" spans="11:16" x14ac:dyDescent="0.25">
      <c r="K359" s="3" t="s">
        <v>168</v>
      </c>
      <c r="L359" s="22">
        <v>32513</v>
      </c>
      <c r="M359" s="23">
        <f t="shared" ca="1" si="12"/>
        <v>26</v>
      </c>
      <c r="N359" s="24">
        <v>82760</v>
      </c>
      <c r="O359" s="25">
        <v>4</v>
      </c>
      <c r="P359" s="73">
        <f t="shared" si="13"/>
        <v>85764</v>
      </c>
    </row>
    <row r="360" spans="11:16" x14ac:dyDescent="0.25">
      <c r="K360" s="3" t="s">
        <v>424</v>
      </c>
      <c r="L360" s="22">
        <v>39258</v>
      </c>
      <c r="M360" s="23">
        <f t="shared" ca="1" si="12"/>
        <v>8</v>
      </c>
      <c r="N360" s="24">
        <v>46390</v>
      </c>
      <c r="O360" s="25">
        <v>5</v>
      </c>
      <c r="P360" s="73">
        <f t="shared" si="13"/>
        <v>48074</v>
      </c>
    </row>
    <row r="361" spans="11:16" x14ac:dyDescent="0.25">
      <c r="K361" s="3" t="s">
        <v>396</v>
      </c>
      <c r="L361" s="22">
        <v>37973</v>
      </c>
      <c r="M361" s="23">
        <f t="shared" ca="1" si="12"/>
        <v>11</v>
      </c>
      <c r="N361" s="24">
        <v>24980</v>
      </c>
      <c r="O361" s="25">
        <v>3</v>
      </c>
      <c r="P361" s="73">
        <f t="shared" si="13"/>
        <v>25887</v>
      </c>
    </row>
    <row r="362" spans="11:16" x14ac:dyDescent="0.25">
      <c r="K362" s="3" t="s">
        <v>456</v>
      </c>
      <c r="L362" s="22">
        <v>38796</v>
      </c>
      <c r="M362" s="23">
        <f t="shared" ca="1" si="12"/>
        <v>9</v>
      </c>
      <c r="N362" s="24">
        <v>51180</v>
      </c>
      <c r="O362" s="25">
        <v>3</v>
      </c>
      <c r="P362" s="73">
        <f t="shared" si="13"/>
        <v>53038</v>
      </c>
    </row>
    <row r="363" spans="11:16" x14ac:dyDescent="0.25">
      <c r="K363" s="3" t="s">
        <v>76</v>
      </c>
      <c r="L363" s="22">
        <v>31937</v>
      </c>
      <c r="M363" s="23">
        <f t="shared" ca="1" si="12"/>
        <v>28</v>
      </c>
      <c r="N363" s="24">
        <v>62740</v>
      </c>
      <c r="O363" s="25">
        <v>4</v>
      </c>
      <c r="P363" s="73">
        <f t="shared" si="13"/>
        <v>65017</v>
      </c>
    </row>
    <row r="364" spans="11:16" x14ac:dyDescent="0.25">
      <c r="K364" s="3" t="s">
        <v>431</v>
      </c>
      <c r="L364" s="22">
        <v>38865</v>
      </c>
      <c r="M364" s="23">
        <f t="shared" ca="1" si="12"/>
        <v>9</v>
      </c>
      <c r="N364" s="24">
        <v>34690</v>
      </c>
      <c r="O364" s="25">
        <v>2</v>
      </c>
      <c r="P364" s="73">
        <f t="shared" si="13"/>
        <v>35949</v>
      </c>
    </row>
    <row r="365" spans="11:16" x14ac:dyDescent="0.25">
      <c r="K365" s="3" t="s">
        <v>227</v>
      </c>
      <c r="L365" s="22">
        <v>34098</v>
      </c>
      <c r="M365" s="23">
        <f t="shared" ca="1" si="12"/>
        <v>22</v>
      </c>
      <c r="N365" s="24">
        <v>34330</v>
      </c>
      <c r="O365" s="25">
        <v>3</v>
      </c>
      <c r="P365" s="73">
        <f t="shared" si="13"/>
        <v>35576</v>
      </c>
    </row>
    <row r="366" spans="11:16" x14ac:dyDescent="0.25">
      <c r="K366" s="3" t="s">
        <v>227</v>
      </c>
      <c r="L366" s="22">
        <v>34098</v>
      </c>
      <c r="M366" s="23">
        <f t="shared" ca="1" si="12"/>
        <v>22</v>
      </c>
      <c r="N366" s="24">
        <v>34330</v>
      </c>
      <c r="O366" s="25">
        <v>3</v>
      </c>
      <c r="P366" s="73">
        <f t="shared" si="13"/>
        <v>35576</v>
      </c>
    </row>
    <row r="367" spans="11:16" x14ac:dyDescent="0.25">
      <c r="K367" s="3" t="s">
        <v>243</v>
      </c>
      <c r="L367" s="22">
        <v>34054</v>
      </c>
      <c r="M367" s="23">
        <f t="shared" ca="1" si="12"/>
        <v>22</v>
      </c>
      <c r="N367" s="24">
        <v>27130</v>
      </c>
      <c r="O367" s="25">
        <v>5</v>
      </c>
      <c r="P367" s="73">
        <f t="shared" si="13"/>
        <v>28115</v>
      </c>
    </row>
    <row r="368" spans="11:16" x14ac:dyDescent="0.25">
      <c r="K368" s="3" t="s">
        <v>104</v>
      </c>
      <c r="L368" s="22">
        <v>32371</v>
      </c>
      <c r="M368" s="23">
        <f t="shared" ca="1" si="12"/>
        <v>27</v>
      </c>
      <c r="N368" s="24">
        <v>46550</v>
      </c>
      <c r="O368" s="25">
        <v>4</v>
      </c>
      <c r="P368" s="73">
        <f t="shared" si="13"/>
        <v>48240</v>
      </c>
    </row>
    <row r="369" spans="11:16" x14ac:dyDescent="0.25">
      <c r="K369" s="3" t="s">
        <v>204</v>
      </c>
      <c r="L369" s="22">
        <v>32522</v>
      </c>
      <c r="M369" s="23">
        <f t="shared" ca="1" si="12"/>
        <v>26</v>
      </c>
      <c r="N369" s="24">
        <v>39160</v>
      </c>
      <c r="O369" s="25">
        <v>3</v>
      </c>
      <c r="P369" s="73">
        <f t="shared" si="13"/>
        <v>40582</v>
      </c>
    </row>
    <row r="370" spans="11:16" x14ac:dyDescent="0.25">
      <c r="K370" s="3" t="s">
        <v>315</v>
      </c>
      <c r="L370" s="22">
        <v>34959</v>
      </c>
      <c r="M370" s="23">
        <f t="shared" ca="1" si="12"/>
        <v>20</v>
      </c>
      <c r="N370" s="24">
        <v>61330</v>
      </c>
      <c r="O370" s="25">
        <v>1</v>
      </c>
      <c r="P370" s="73">
        <f t="shared" si="13"/>
        <v>63556</v>
      </c>
    </row>
    <row r="371" spans="11:16" x14ac:dyDescent="0.25">
      <c r="K371" s="3" t="s">
        <v>400</v>
      </c>
      <c r="L371" s="22">
        <v>38589</v>
      </c>
      <c r="M371" s="23">
        <f t="shared" ca="1" si="12"/>
        <v>10</v>
      </c>
      <c r="N371" s="24">
        <v>24790</v>
      </c>
      <c r="O371" s="25">
        <v>3</v>
      </c>
      <c r="P371" s="73">
        <f t="shared" si="13"/>
        <v>25690</v>
      </c>
    </row>
    <row r="372" spans="11:16" x14ac:dyDescent="0.25">
      <c r="K372" s="3" t="s">
        <v>166</v>
      </c>
      <c r="L372" s="22">
        <v>33679</v>
      </c>
      <c r="M372" s="23">
        <f t="shared" ca="1" si="12"/>
        <v>23</v>
      </c>
      <c r="N372" s="24">
        <v>50570</v>
      </c>
      <c r="O372" s="25">
        <v>4</v>
      </c>
      <c r="P372" s="73">
        <f t="shared" si="13"/>
        <v>52406</v>
      </c>
    </row>
    <row r="373" spans="11:16" x14ac:dyDescent="0.25">
      <c r="K373" s="3" t="s">
        <v>309</v>
      </c>
      <c r="L373" s="22">
        <v>34772</v>
      </c>
      <c r="M373" s="23">
        <f t="shared" ca="1" si="12"/>
        <v>20</v>
      </c>
      <c r="N373" s="24">
        <v>82400</v>
      </c>
      <c r="O373" s="25">
        <v>2</v>
      </c>
      <c r="P373" s="73">
        <f t="shared" si="13"/>
        <v>85391</v>
      </c>
    </row>
    <row r="374" spans="11:16" x14ac:dyDescent="0.25">
      <c r="K374" s="3" t="s">
        <v>218</v>
      </c>
      <c r="L374" s="22">
        <v>33430</v>
      </c>
      <c r="M374" s="23">
        <f t="shared" ca="1" si="12"/>
        <v>24</v>
      </c>
      <c r="N374" s="24">
        <v>77840</v>
      </c>
      <c r="O374" s="25">
        <v>2</v>
      </c>
      <c r="P374" s="73">
        <f t="shared" si="13"/>
        <v>80666</v>
      </c>
    </row>
    <row r="375" spans="11:16" x14ac:dyDescent="0.25">
      <c r="K375" s="3" t="s">
        <v>450</v>
      </c>
      <c r="L375" s="30">
        <v>39293</v>
      </c>
      <c r="M375" s="23">
        <f t="shared" ca="1" si="12"/>
        <v>8</v>
      </c>
      <c r="N375" s="24">
        <v>44260</v>
      </c>
      <c r="O375" s="25">
        <v>1</v>
      </c>
      <c r="P375" s="73">
        <f t="shared" si="13"/>
        <v>45867</v>
      </c>
    </row>
    <row r="376" spans="11:16" x14ac:dyDescent="0.25">
      <c r="K376" s="3" t="s">
        <v>410</v>
      </c>
      <c r="L376" s="22">
        <v>38708</v>
      </c>
      <c r="M376" s="23">
        <f t="shared" ca="1" si="12"/>
        <v>9</v>
      </c>
      <c r="N376" s="24">
        <v>34990</v>
      </c>
      <c r="O376" s="25">
        <v>3</v>
      </c>
      <c r="P376" s="73">
        <f t="shared" si="13"/>
        <v>36260</v>
      </c>
    </row>
    <row r="377" spans="11:16" x14ac:dyDescent="0.25">
      <c r="K377" s="3" t="s">
        <v>277</v>
      </c>
      <c r="L377" s="22">
        <v>35156</v>
      </c>
      <c r="M377" s="23">
        <f t="shared" ca="1" si="12"/>
        <v>19</v>
      </c>
      <c r="N377" s="24">
        <v>68410</v>
      </c>
      <c r="O377" s="25">
        <v>5</v>
      </c>
      <c r="P377" s="73">
        <f t="shared" si="13"/>
        <v>70893</v>
      </c>
    </row>
    <row r="378" spans="11:16" x14ac:dyDescent="0.25">
      <c r="K378" s="3" t="s">
        <v>375</v>
      </c>
      <c r="L378" s="22">
        <v>38052</v>
      </c>
      <c r="M378" s="23">
        <f t="shared" ca="1" si="12"/>
        <v>11</v>
      </c>
      <c r="N378" s="24">
        <v>42020</v>
      </c>
      <c r="O378" s="25">
        <v>5</v>
      </c>
      <c r="P378" s="73">
        <f t="shared" si="13"/>
        <v>43545</v>
      </c>
    </row>
    <row r="379" spans="11:16" x14ac:dyDescent="0.25">
      <c r="K379" s="3" t="s">
        <v>60</v>
      </c>
      <c r="L379" s="22">
        <v>32303</v>
      </c>
      <c r="M379" s="23">
        <f t="shared" ca="1" si="12"/>
        <v>27</v>
      </c>
      <c r="N379" s="24">
        <v>56900</v>
      </c>
      <c r="O379" s="25">
        <v>5</v>
      </c>
      <c r="P379" s="73">
        <f t="shared" si="13"/>
        <v>58965</v>
      </c>
    </row>
    <row r="380" spans="11:16" x14ac:dyDescent="0.25">
      <c r="K380" s="3" t="s">
        <v>383</v>
      </c>
      <c r="L380" s="22">
        <v>38554</v>
      </c>
      <c r="M380" s="23">
        <f t="shared" ca="1" si="12"/>
        <v>10</v>
      </c>
      <c r="N380" s="24">
        <v>64320</v>
      </c>
      <c r="O380" s="25">
        <v>5</v>
      </c>
      <c r="P380" s="73">
        <f t="shared" si="13"/>
        <v>66655</v>
      </c>
    </row>
    <row r="381" spans="11:16" x14ac:dyDescent="0.25">
      <c r="K381" s="3" t="s">
        <v>161</v>
      </c>
      <c r="L381" s="22">
        <v>33522</v>
      </c>
      <c r="M381" s="23">
        <f t="shared" ca="1" si="12"/>
        <v>24</v>
      </c>
      <c r="N381" s="24">
        <v>31910</v>
      </c>
      <c r="O381" s="25">
        <v>5</v>
      </c>
      <c r="P381" s="73">
        <f t="shared" si="13"/>
        <v>33068</v>
      </c>
    </row>
    <row r="382" spans="11:16" x14ac:dyDescent="0.25">
      <c r="K382" s="3" t="s">
        <v>73</v>
      </c>
      <c r="L382" s="22">
        <v>31959</v>
      </c>
      <c r="M382" s="23">
        <f t="shared" ca="1" si="12"/>
        <v>28</v>
      </c>
      <c r="N382" s="24">
        <v>24840</v>
      </c>
      <c r="O382" s="25">
        <v>1</v>
      </c>
      <c r="P382" s="73">
        <f t="shared" si="13"/>
        <v>25742</v>
      </c>
    </row>
    <row r="383" spans="11:16" x14ac:dyDescent="0.25">
      <c r="K383" s="3" t="s">
        <v>158</v>
      </c>
      <c r="L383" s="22">
        <v>32724</v>
      </c>
      <c r="M383" s="23">
        <f t="shared" ca="1" si="12"/>
        <v>26</v>
      </c>
      <c r="N383" s="24">
        <v>45180</v>
      </c>
      <c r="O383" s="25">
        <v>5</v>
      </c>
      <c r="P383" s="73">
        <f t="shared" si="13"/>
        <v>46820</v>
      </c>
    </row>
    <row r="384" spans="11:16" x14ac:dyDescent="0.25">
      <c r="K384" s="3" t="s">
        <v>413</v>
      </c>
      <c r="L384" s="22">
        <v>38038</v>
      </c>
      <c r="M384" s="23">
        <f t="shared" ca="1" si="12"/>
        <v>11</v>
      </c>
      <c r="N384" s="24">
        <v>46220</v>
      </c>
      <c r="O384" s="25">
        <v>2</v>
      </c>
      <c r="P384" s="73">
        <f t="shared" si="13"/>
        <v>47898</v>
      </c>
    </row>
    <row r="385" spans="11:16" x14ac:dyDescent="0.25">
      <c r="K385" s="3" t="s">
        <v>225</v>
      </c>
      <c r="L385" s="22">
        <v>34699</v>
      </c>
      <c r="M385" s="23">
        <f t="shared" ca="1" si="12"/>
        <v>20</v>
      </c>
      <c r="N385" s="24">
        <v>75120</v>
      </c>
      <c r="O385" s="25">
        <v>5</v>
      </c>
      <c r="P385" s="73">
        <f t="shared" si="13"/>
        <v>77847</v>
      </c>
    </row>
    <row r="386" spans="11:16" x14ac:dyDescent="0.25">
      <c r="K386" s="3" t="s">
        <v>317</v>
      </c>
      <c r="L386" s="22">
        <v>35919</v>
      </c>
      <c r="M386" s="23">
        <f t="shared" ref="M386:M404" ca="1" si="14">DATEDIF(L386,TODAY(),"Y")</f>
        <v>17</v>
      </c>
      <c r="N386" s="24">
        <v>25310</v>
      </c>
      <c r="O386" s="25">
        <v>4</v>
      </c>
      <c r="P386" s="73">
        <f t="shared" si="13"/>
        <v>26229</v>
      </c>
    </row>
    <row r="387" spans="11:16" x14ac:dyDescent="0.25">
      <c r="K387" s="3" t="s">
        <v>249</v>
      </c>
      <c r="L387" s="22">
        <v>34187</v>
      </c>
      <c r="M387" s="23">
        <f t="shared" ca="1" si="14"/>
        <v>22</v>
      </c>
      <c r="N387" s="24">
        <v>78710</v>
      </c>
      <c r="O387" s="25">
        <v>4</v>
      </c>
      <c r="P387" s="73">
        <f t="shared" ref="P387:P404" si="15">ROUND(N387*$Q$1+N387,0)</f>
        <v>81567</v>
      </c>
    </row>
    <row r="388" spans="11:16" x14ac:dyDescent="0.25">
      <c r="K388" s="3" t="s">
        <v>81</v>
      </c>
      <c r="L388" s="22">
        <v>32683</v>
      </c>
      <c r="M388" s="23">
        <f t="shared" ca="1" si="14"/>
        <v>26</v>
      </c>
      <c r="N388" s="24">
        <v>45500</v>
      </c>
      <c r="O388" s="25">
        <v>3</v>
      </c>
      <c r="P388" s="73">
        <f t="shared" si="15"/>
        <v>47152</v>
      </c>
    </row>
    <row r="389" spans="11:16" x14ac:dyDescent="0.25">
      <c r="K389" s="3" t="s">
        <v>282</v>
      </c>
      <c r="L389" s="22">
        <v>34768</v>
      </c>
      <c r="M389" s="23">
        <f t="shared" ca="1" si="14"/>
        <v>20</v>
      </c>
      <c r="N389" s="24">
        <v>79610</v>
      </c>
      <c r="O389" s="25">
        <v>2</v>
      </c>
      <c r="P389" s="73">
        <f t="shared" si="15"/>
        <v>82500</v>
      </c>
    </row>
    <row r="390" spans="11:16" x14ac:dyDescent="0.25">
      <c r="K390" s="3" t="s">
        <v>453</v>
      </c>
      <c r="L390" s="22">
        <v>39324</v>
      </c>
      <c r="M390" s="23">
        <f t="shared" ca="1" si="14"/>
        <v>8</v>
      </c>
      <c r="N390" s="24">
        <v>47440</v>
      </c>
      <c r="O390" s="25">
        <v>3</v>
      </c>
      <c r="P390" s="73">
        <f t="shared" si="15"/>
        <v>49162</v>
      </c>
    </row>
    <row r="391" spans="11:16" x14ac:dyDescent="0.25">
      <c r="K391" s="3" t="s">
        <v>259</v>
      </c>
      <c r="L391" s="22">
        <v>34405</v>
      </c>
      <c r="M391" s="23">
        <f t="shared" ca="1" si="14"/>
        <v>21</v>
      </c>
      <c r="N391" s="24">
        <v>32120</v>
      </c>
      <c r="O391" s="25">
        <v>1</v>
      </c>
      <c r="P391" s="73">
        <f t="shared" si="15"/>
        <v>33286</v>
      </c>
    </row>
    <row r="392" spans="11:16" x14ac:dyDescent="0.25">
      <c r="K392" s="3" t="s">
        <v>188</v>
      </c>
      <c r="L392" s="22">
        <v>34385</v>
      </c>
      <c r="M392" s="23">
        <f t="shared" ca="1" si="14"/>
        <v>21</v>
      </c>
      <c r="N392" s="24">
        <v>60100</v>
      </c>
      <c r="O392" s="25">
        <v>1</v>
      </c>
      <c r="P392" s="73">
        <f t="shared" si="15"/>
        <v>62282</v>
      </c>
    </row>
    <row r="393" spans="11:16" x14ac:dyDescent="0.25">
      <c r="K393" s="3" t="s">
        <v>136</v>
      </c>
      <c r="L393" s="22">
        <v>33714</v>
      </c>
      <c r="M393" s="23">
        <f t="shared" ca="1" si="14"/>
        <v>23</v>
      </c>
      <c r="N393" s="24">
        <v>73072</v>
      </c>
      <c r="O393" s="25">
        <v>5</v>
      </c>
      <c r="P393" s="73">
        <f t="shared" si="15"/>
        <v>75725</v>
      </c>
    </row>
    <row r="394" spans="11:16" x14ac:dyDescent="0.25">
      <c r="K394" s="3" t="s">
        <v>359</v>
      </c>
      <c r="L394" s="22">
        <v>36038</v>
      </c>
      <c r="M394" s="23">
        <f t="shared" ca="1" si="14"/>
        <v>17</v>
      </c>
      <c r="N394" s="24">
        <v>85880</v>
      </c>
      <c r="O394" s="25">
        <v>3</v>
      </c>
      <c r="P394" s="73">
        <f t="shared" si="15"/>
        <v>88997</v>
      </c>
    </row>
    <row r="395" spans="11:16" x14ac:dyDescent="0.25">
      <c r="K395" s="3" t="s">
        <v>398</v>
      </c>
      <c r="L395" s="22">
        <v>38292</v>
      </c>
      <c r="M395" s="23">
        <f t="shared" ca="1" si="14"/>
        <v>11</v>
      </c>
      <c r="N395" s="24">
        <v>79380</v>
      </c>
      <c r="O395" s="25">
        <v>5</v>
      </c>
      <c r="P395" s="73">
        <f t="shared" si="15"/>
        <v>82261</v>
      </c>
    </row>
    <row r="396" spans="11:16" x14ac:dyDescent="0.25">
      <c r="K396" s="3" t="s">
        <v>126</v>
      </c>
      <c r="L396" s="22">
        <v>32718</v>
      </c>
      <c r="M396" s="23">
        <f t="shared" ca="1" si="14"/>
        <v>26</v>
      </c>
      <c r="N396" s="24">
        <v>66824</v>
      </c>
      <c r="O396" s="25">
        <v>2</v>
      </c>
      <c r="P396" s="73">
        <f t="shared" si="15"/>
        <v>69250</v>
      </c>
    </row>
    <row r="397" spans="11:16" x14ac:dyDescent="0.25">
      <c r="K397" s="3" t="s">
        <v>176</v>
      </c>
      <c r="L397" s="22">
        <v>34216</v>
      </c>
      <c r="M397" s="23">
        <f t="shared" ca="1" si="14"/>
        <v>22</v>
      </c>
      <c r="N397" s="24">
        <v>32390</v>
      </c>
      <c r="O397" s="25">
        <v>2</v>
      </c>
      <c r="P397" s="73">
        <f t="shared" si="15"/>
        <v>33566</v>
      </c>
    </row>
    <row r="398" spans="11:16" x14ac:dyDescent="0.25">
      <c r="K398" s="3" t="s">
        <v>421</v>
      </c>
      <c r="L398" s="22">
        <v>36927</v>
      </c>
      <c r="M398" s="23">
        <f t="shared" ca="1" si="14"/>
        <v>14</v>
      </c>
      <c r="N398" s="24">
        <v>31910</v>
      </c>
      <c r="O398" s="25">
        <v>5</v>
      </c>
      <c r="P398" s="73">
        <f t="shared" si="15"/>
        <v>33068</v>
      </c>
    </row>
    <row r="399" spans="11:16" x14ac:dyDescent="0.25">
      <c r="K399" s="3" t="s">
        <v>420</v>
      </c>
      <c r="L399" s="22">
        <v>37759</v>
      </c>
      <c r="M399" s="23">
        <f t="shared" ca="1" si="14"/>
        <v>12</v>
      </c>
      <c r="N399" s="24">
        <v>37670</v>
      </c>
      <c r="O399" s="25">
        <v>3</v>
      </c>
      <c r="P399" s="73">
        <f t="shared" si="15"/>
        <v>39037</v>
      </c>
    </row>
    <row r="400" spans="11:16" x14ac:dyDescent="0.25">
      <c r="K400" s="3" t="s">
        <v>392</v>
      </c>
      <c r="L400" s="22">
        <v>32203</v>
      </c>
      <c r="M400" s="23">
        <f t="shared" ca="1" si="14"/>
        <v>27</v>
      </c>
      <c r="N400" s="24">
        <v>44560</v>
      </c>
      <c r="O400" s="25">
        <v>2</v>
      </c>
      <c r="P400" s="73">
        <f t="shared" si="15"/>
        <v>46178</v>
      </c>
    </row>
    <row r="401" spans="11:16" x14ac:dyDescent="0.25">
      <c r="K401" s="3" t="s">
        <v>160</v>
      </c>
      <c r="L401" s="22">
        <v>32571</v>
      </c>
      <c r="M401" s="23">
        <f t="shared" ca="1" si="14"/>
        <v>26</v>
      </c>
      <c r="N401" s="24">
        <v>46910</v>
      </c>
      <c r="O401" s="25">
        <v>3</v>
      </c>
      <c r="P401" s="73">
        <f t="shared" si="15"/>
        <v>48613</v>
      </c>
    </row>
    <row r="402" spans="11:16" x14ac:dyDescent="0.25">
      <c r="K402" s="3" t="s">
        <v>103</v>
      </c>
      <c r="L402" s="22">
        <v>32263</v>
      </c>
      <c r="M402" s="23">
        <f t="shared" ca="1" si="14"/>
        <v>27</v>
      </c>
      <c r="N402" s="24">
        <v>71680</v>
      </c>
      <c r="O402" s="25">
        <v>4</v>
      </c>
      <c r="P402" s="73">
        <f t="shared" si="15"/>
        <v>74282</v>
      </c>
    </row>
    <row r="403" spans="11:16" x14ac:dyDescent="0.25">
      <c r="K403" s="3" t="s">
        <v>372</v>
      </c>
      <c r="L403" s="22">
        <v>38368</v>
      </c>
      <c r="M403" s="23">
        <f t="shared" ca="1" si="14"/>
        <v>10</v>
      </c>
      <c r="N403" s="24">
        <v>80090</v>
      </c>
      <c r="O403" s="25">
        <v>2</v>
      </c>
      <c r="P403" s="73">
        <f t="shared" si="15"/>
        <v>82997</v>
      </c>
    </row>
    <row r="404" spans="11:16" x14ac:dyDescent="0.25">
      <c r="K404" s="3" t="s">
        <v>248</v>
      </c>
      <c r="L404" s="22">
        <v>34680</v>
      </c>
      <c r="M404" s="23">
        <f t="shared" ca="1" si="14"/>
        <v>20</v>
      </c>
      <c r="N404" s="24">
        <v>36890</v>
      </c>
      <c r="O404" s="25">
        <v>1</v>
      </c>
      <c r="P404" s="73">
        <f t="shared" si="15"/>
        <v>38229</v>
      </c>
    </row>
    <row r="405" spans="11:16" x14ac:dyDescent="0.25">
      <c r="K405" s="3"/>
      <c r="L405" s="22"/>
      <c r="M405" s="23"/>
      <c r="N405" s="24"/>
      <c r="O405" s="25"/>
    </row>
    <row r="406" spans="11:16" x14ac:dyDescent="0.25">
      <c r="K406" s="3"/>
      <c r="L406" s="22"/>
      <c r="M406" s="23"/>
      <c r="N406" s="24"/>
      <c r="O406" s="25"/>
    </row>
    <row r="407" spans="11:16" x14ac:dyDescent="0.25">
      <c r="K407" s="3"/>
      <c r="L407" s="22"/>
      <c r="M407" s="23"/>
      <c r="N407" s="24"/>
      <c r="O407" s="25"/>
    </row>
    <row r="408" spans="11:16" x14ac:dyDescent="0.25">
      <c r="K408" s="3"/>
      <c r="L408" s="22"/>
      <c r="M408" s="23"/>
      <c r="N408" s="24"/>
      <c r="O408" s="25"/>
    </row>
    <row r="409" spans="11:16" x14ac:dyDescent="0.25">
      <c r="K409" s="3"/>
      <c r="L409" s="22"/>
      <c r="M409" s="23"/>
      <c r="N409" s="24"/>
      <c r="O409" s="25"/>
    </row>
    <row r="410" spans="11:16" x14ac:dyDescent="0.25">
      <c r="K410" s="3"/>
      <c r="L410" s="22"/>
      <c r="M410" s="23"/>
      <c r="N410" s="24"/>
      <c r="O410" s="25"/>
    </row>
    <row r="411" spans="11:16" x14ac:dyDescent="0.25">
      <c r="K411" s="3"/>
      <c r="L411" s="22"/>
      <c r="M411" s="23"/>
      <c r="N411" s="24"/>
      <c r="O411" s="25"/>
    </row>
    <row r="412" spans="11:16" x14ac:dyDescent="0.25">
      <c r="K412" s="3"/>
      <c r="L412" s="22"/>
      <c r="M412" s="23"/>
      <c r="N412" s="24"/>
      <c r="O412" s="25"/>
    </row>
    <row r="413" spans="11:16" x14ac:dyDescent="0.25">
      <c r="K413" s="3"/>
      <c r="L413" s="30"/>
      <c r="M413" s="23"/>
      <c r="N413" s="24"/>
      <c r="O413" s="25"/>
    </row>
    <row r="414" spans="11:16" x14ac:dyDescent="0.25">
      <c r="K414" s="3"/>
      <c r="L414" s="22"/>
      <c r="M414" s="23"/>
      <c r="N414" s="24"/>
      <c r="O414" s="25"/>
    </row>
    <row r="415" spans="11:16" x14ac:dyDescent="0.25">
      <c r="K415" s="3"/>
      <c r="L415" s="22"/>
      <c r="M415" s="23"/>
      <c r="N415" s="24"/>
      <c r="O415" s="25"/>
    </row>
    <row r="416" spans="11:16" x14ac:dyDescent="0.25">
      <c r="K416" s="3"/>
      <c r="L416" s="22"/>
      <c r="M416" s="23"/>
      <c r="N416" s="24"/>
      <c r="O416" s="25"/>
    </row>
    <row r="417" spans="11:15" x14ac:dyDescent="0.25">
      <c r="K417" s="3"/>
      <c r="L417" s="22"/>
      <c r="M417" s="23"/>
      <c r="N417" s="24"/>
      <c r="O417" s="25"/>
    </row>
    <row r="418" spans="11:15" x14ac:dyDescent="0.25">
      <c r="K418" s="3"/>
      <c r="L418" s="22"/>
      <c r="M418" s="23"/>
      <c r="N418" s="24"/>
      <c r="O418" s="25"/>
    </row>
    <row r="419" spans="11:15" x14ac:dyDescent="0.25">
      <c r="K419" s="3"/>
      <c r="L419" s="22"/>
      <c r="M419" s="23"/>
      <c r="N419" s="24"/>
      <c r="O419" s="25"/>
    </row>
    <row r="420" spans="11:15" x14ac:dyDescent="0.25">
      <c r="K420" s="3"/>
      <c r="L420" s="22"/>
      <c r="M420" s="23"/>
      <c r="N420" s="24"/>
      <c r="O420" s="25"/>
    </row>
    <row r="421" spans="11:15" x14ac:dyDescent="0.25">
      <c r="K421" s="3"/>
      <c r="L421" s="22"/>
      <c r="M421" s="23"/>
      <c r="N421" s="24"/>
      <c r="O421" s="25"/>
    </row>
    <row r="422" spans="11:15" x14ac:dyDescent="0.25">
      <c r="K422" s="3"/>
      <c r="L422" s="22"/>
      <c r="M422" s="23"/>
      <c r="N422" s="24"/>
      <c r="O422" s="25"/>
    </row>
    <row r="423" spans="11:15" x14ac:dyDescent="0.25">
      <c r="K423" s="3"/>
      <c r="L423" s="22"/>
      <c r="M423" s="23"/>
      <c r="N423" s="24"/>
      <c r="O423" s="25"/>
    </row>
    <row r="424" spans="11:15" x14ac:dyDescent="0.25">
      <c r="K424" s="3"/>
      <c r="L424" s="22"/>
      <c r="M424" s="23"/>
      <c r="N424" s="24"/>
      <c r="O424" s="25"/>
    </row>
    <row r="425" spans="11:15" x14ac:dyDescent="0.25">
      <c r="K425" s="3"/>
      <c r="L425" s="22"/>
      <c r="M425" s="23"/>
      <c r="N425" s="24"/>
      <c r="O425" s="25"/>
    </row>
    <row r="426" spans="11:15" x14ac:dyDescent="0.25">
      <c r="K426" s="3"/>
      <c r="L426" s="30"/>
      <c r="M426" s="23"/>
      <c r="N426" s="24"/>
      <c r="O426" s="25"/>
    </row>
    <row r="427" spans="11:15" x14ac:dyDescent="0.25">
      <c r="K427" s="3"/>
      <c r="L427" s="22"/>
      <c r="M427" s="23"/>
      <c r="N427" s="24"/>
      <c r="O427" s="25"/>
    </row>
    <row r="428" spans="11:15" x14ac:dyDescent="0.25">
      <c r="K428" s="3"/>
      <c r="L428" s="22"/>
      <c r="M428" s="23"/>
      <c r="N428" s="24"/>
      <c r="O428" s="25"/>
    </row>
    <row r="429" spans="11:15" x14ac:dyDescent="0.25">
      <c r="K429" s="3"/>
      <c r="L429" s="22"/>
      <c r="M429" s="23"/>
      <c r="N429" s="24"/>
      <c r="O429" s="25"/>
    </row>
    <row r="430" spans="11:15" x14ac:dyDescent="0.25">
      <c r="K430" s="3"/>
      <c r="L430" s="22"/>
      <c r="M430" s="23"/>
      <c r="N430" s="24"/>
      <c r="O430" s="25"/>
    </row>
    <row r="431" spans="11:15" x14ac:dyDescent="0.25">
      <c r="K431" s="3"/>
      <c r="L431" s="22"/>
      <c r="M431" s="23"/>
      <c r="N431" s="24"/>
      <c r="O431" s="25"/>
    </row>
    <row r="432" spans="11:15" x14ac:dyDescent="0.25">
      <c r="K432" s="3"/>
      <c r="L432" s="22"/>
      <c r="M432" s="23"/>
      <c r="N432" s="24"/>
      <c r="O432" s="25"/>
    </row>
    <row r="433" spans="11:15" x14ac:dyDescent="0.25">
      <c r="K433" s="3"/>
      <c r="L433" s="22"/>
      <c r="M433" s="23"/>
      <c r="N433" s="24"/>
      <c r="O433" s="25"/>
    </row>
    <row r="434" spans="11:15" x14ac:dyDescent="0.25">
      <c r="K434" s="3"/>
      <c r="L434" s="22"/>
      <c r="M434" s="23"/>
      <c r="N434" s="24"/>
      <c r="O434" s="25"/>
    </row>
    <row r="435" spans="11:15" x14ac:dyDescent="0.25">
      <c r="K435" s="3"/>
      <c r="L435" s="22"/>
      <c r="M435" s="23"/>
      <c r="N435" s="24"/>
      <c r="O435" s="25"/>
    </row>
    <row r="436" spans="11:15" x14ac:dyDescent="0.25">
      <c r="K436" s="3"/>
      <c r="L436" s="22"/>
      <c r="M436" s="23"/>
      <c r="N436" s="24"/>
      <c r="O436" s="25"/>
    </row>
    <row r="437" spans="11:15" x14ac:dyDescent="0.25">
      <c r="K437" s="3"/>
      <c r="L437" s="22"/>
      <c r="M437" s="23"/>
      <c r="N437" s="24"/>
      <c r="O437" s="25"/>
    </row>
    <row r="438" spans="11:15" x14ac:dyDescent="0.25">
      <c r="K438" s="3"/>
      <c r="L438" s="22"/>
      <c r="M438" s="23"/>
      <c r="N438" s="24"/>
      <c r="O438" s="25"/>
    </row>
    <row r="439" spans="11:15" x14ac:dyDescent="0.25">
      <c r="K439" s="3"/>
      <c r="L439" s="22"/>
      <c r="M439" s="23"/>
      <c r="N439" s="24"/>
      <c r="O439" s="25"/>
    </row>
    <row r="440" spans="11:15" x14ac:dyDescent="0.25">
      <c r="K440" s="3"/>
      <c r="L440" s="22"/>
      <c r="M440" s="23"/>
      <c r="N440" s="24"/>
      <c r="O440" s="25"/>
    </row>
    <row r="441" spans="11:15" x14ac:dyDescent="0.25">
      <c r="K441" s="3"/>
      <c r="L441" s="22"/>
      <c r="M441" s="23"/>
      <c r="N441" s="24"/>
      <c r="O441" s="25"/>
    </row>
    <row r="442" spans="11:15" x14ac:dyDescent="0.25">
      <c r="K442" s="3"/>
      <c r="L442" s="22"/>
      <c r="M442" s="23"/>
      <c r="N442" s="24"/>
      <c r="O442" s="25"/>
    </row>
    <row r="443" spans="11:15" x14ac:dyDescent="0.25">
      <c r="K443" s="3"/>
      <c r="L443" s="22"/>
      <c r="M443" s="23"/>
      <c r="N443" s="24"/>
      <c r="O443" s="25"/>
    </row>
    <row r="444" spans="11:15" x14ac:dyDescent="0.25">
      <c r="K444" s="3"/>
      <c r="L444" s="22"/>
      <c r="M444" s="23"/>
      <c r="N444" s="24"/>
      <c r="O444" s="25"/>
    </row>
    <row r="445" spans="11:15" x14ac:dyDescent="0.25">
      <c r="K445" s="3"/>
      <c r="L445" s="22"/>
      <c r="M445" s="23"/>
      <c r="N445" s="24"/>
      <c r="O445" s="25"/>
    </row>
    <row r="446" spans="11:15" x14ac:dyDescent="0.25">
      <c r="K446" s="3"/>
      <c r="L446" s="22"/>
      <c r="M446" s="23"/>
      <c r="N446" s="24"/>
      <c r="O446" s="25"/>
    </row>
    <row r="447" spans="11:15" x14ac:dyDescent="0.25">
      <c r="K447" s="3"/>
      <c r="L447" s="22"/>
      <c r="M447" s="23"/>
      <c r="N447" s="24"/>
      <c r="O447" s="25"/>
    </row>
    <row r="448" spans="11:15" x14ac:dyDescent="0.25">
      <c r="K448" s="3"/>
      <c r="L448" s="22"/>
      <c r="M448" s="23"/>
      <c r="N448" s="24"/>
      <c r="O448" s="25"/>
    </row>
    <row r="449" spans="11:15" x14ac:dyDescent="0.25">
      <c r="K449" s="3"/>
      <c r="L449" s="22"/>
      <c r="M449" s="23"/>
      <c r="N449" s="24"/>
      <c r="O449" s="25"/>
    </row>
    <row r="450" spans="11:15" x14ac:dyDescent="0.25">
      <c r="K450" s="3"/>
      <c r="L450" s="22"/>
      <c r="M450" s="23"/>
      <c r="N450" s="24"/>
      <c r="O450" s="25"/>
    </row>
    <row r="451" spans="11:15" x14ac:dyDescent="0.25">
      <c r="K451" s="3"/>
      <c r="L451" s="22"/>
      <c r="M451" s="23"/>
      <c r="N451" s="24"/>
      <c r="O451" s="25"/>
    </row>
    <row r="452" spans="11:15" x14ac:dyDescent="0.25">
      <c r="K452" s="3"/>
      <c r="L452" s="22"/>
      <c r="M452" s="23"/>
      <c r="N452" s="24"/>
      <c r="O452" s="25"/>
    </row>
    <row r="453" spans="11:15" x14ac:dyDescent="0.25">
      <c r="K453" s="3"/>
      <c r="L453" s="22"/>
      <c r="M453" s="23"/>
      <c r="N453" s="24"/>
      <c r="O453" s="25"/>
    </row>
    <row r="454" spans="11:15" x14ac:dyDescent="0.25">
      <c r="K454" s="3"/>
      <c r="L454" s="22"/>
      <c r="M454" s="23"/>
      <c r="N454" s="24"/>
      <c r="O454" s="25"/>
    </row>
    <row r="455" spans="11:15" x14ac:dyDescent="0.25">
      <c r="K455" s="3"/>
      <c r="L455" s="22"/>
      <c r="M455" s="23"/>
      <c r="N455" s="24"/>
      <c r="O455" s="25"/>
    </row>
    <row r="456" spans="11:15" x14ac:dyDescent="0.25">
      <c r="K456" s="3"/>
      <c r="L456" s="22"/>
      <c r="M456" s="23"/>
      <c r="N456" s="24"/>
      <c r="O456" s="25"/>
    </row>
    <row r="457" spans="11:15" x14ac:dyDescent="0.25">
      <c r="K457" s="3"/>
      <c r="L457" s="22"/>
      <c r="M457" s="23"/>
      <c r="N457" s="24"/>
      <c r="O457" s="25"/>
    </row>
    <row r="458" spans="11:15" x14ac:dyDescent="0.25">
      <c r="K458" s="3"/>
      <c r="L458" s="22"/>
      <c r="M458" s="23"/>
      <c r="N458" s="24"/>
      <c r="O458" s="25"/>
    </row>
    <row r="459" spans="11:15" x14ac:dyDescent="0.25">
      <c r="K459" s="3"/>
      <c r="L459" s="22"/>
      <c r="M459" s="23"/>
      <c r="N459" s="24"/>
      <c r="O459" s="25"/>
    </row>
    <row r="460" spans="11:15" x14ac:dyDescent="0.25">
      <c r="K460" s="3"/>
      <c r="L460" s="22"/>
      <c r="M460" s="23"/>
      <c r="N460" s="24"/>
      <c r="O460" s="25"/>
    </row>
    <row r="461" spans="11:15" x14ac:dyDescent="0.25">
      <c r="K461" s="3"/>
      <c r="L461" s="22"/>
      <c r="M461" s="23"/>
      <c r="N461" s="24"/>
      <c r="O461" s="25"/>
    </row>
    <row r="462" spans="11:15" x14ac:dyDescent="0.25">
      <c r="K462" s="3"/>
      <c r="L462" s="22"/>
      <c r="M462" s="23"/>
      <c r="N462" s="24"/>
      <c r="O462" s="25"/>
    </row>
    <row r="463" spans="11:15" x14ac:dyDescent="0.25">
      <c r="K463" s="3"/>
      <c r="L463" s="22"/>
      <c r="M463" s="23"/>
      <c r="N463" s="24"/>
      <c r="O463" s="25"/>
    </row>
    <row r="464" spans="11:15" x14ac:dyDescent="0.25">
      <c r="K464" s="3"/>
      <c r="L464" s="22"/>
      <c r="M464" s="23"/>
      <c r="N464" s="24"/>
      <c r="O464" s="25"/>
    </row>
    <row r="465" spans="11:15" x14ac:dyDescent="0.25">
      <c r="K465" s="3"/>
      <c r="L465" s="22"/>
      <c r="M465" s="23"/>
      <c r="N465" s="24"/>
      <c r="O465" s="25"/>
    </row>
    <row r="466" spans="11:15" x14ac:dyDescent="0.25">
      <c r="K466" s="3"/>
      <c r="L466" s="22"/>
      <c r="M466" s="23"/>
      <c r="N466" s="24"/>
      <c r="O466" s="25"/>
    </row>
    <row r="467" spans="11:15" x14ac:dyDescent="0.25">
      <c r="K467" s="3"/>
      <c r="L467" s="22"/>
      <c r="M467" s="23"/>
      <c r="N467" s="24"/>
      <c r="O467" s="25"/>
    </row>
    <row r="468" spans="11:15" x14ac:dyDescent="0.25">
      <c r="K468" s="3"/>
      <c r="L468" s="22"/>
      <c r="M468" s="23"/>
      <c r="N468" s="24"/>
      <c r="O468" s="25"/>
    </row>
    <row r="469" spans="11:15" x14ac:dyDescent="0.25">
      <c r="K469" s="3"/>
      <c r="L469" s="22"/>
      <c r="M469" s="23"/>
      <c r="N469" s="24"/>
      <c r="O469" s="25"/>
    </row>
    <row r="470" spans="11:15" x14ac:dyDescent="0.25">
      <c r="K470" s="3"/>
      <c r="L470" s="22"/>
      <c r="M470" s="23"/>
      <c r="N470" s="24"/>
      <c r="O470" s="25"/>
    </row>
    <row r="471" spans="11:15" x14ac:dyDescent="0.25">
      <c r="K471" s="3"/>
      <c r="L471" s="30"/>
      <c r="M471" s="23"/>
      <c r="N471" s="24"/>
      <c r="O471" s="25"/>
    </row>
    <row r="472" spans="11:15" x14ac:dyDescent="0.25">
      <c r="K472" s="3"/>
      <c r="L472" s="22"/>
      <c r="M472" s="23"/>
      <c r="N472" s="24"/>
      <c r="O472" s="25"/>
    </row>
    <row r="473" spans="11:15" x14ac:dyDescent="0.25">
      <c r="K473" s="3"/>
      <c r="L473" s="22"/>
      <c r="M473" s="23"/>
      <c r="N473" s="24"/>
      <c r="O473" s="25"/>
    </row>
    <row r="474" spans="11:15" x14ac:dyDescent="0.25">
      <c r="K474" s="3"/>
      <c r="L474" s="22"/>
      <c r="M474" s="23"/>
      <c r="N474" s="24"/>
      <c r="O474" s="25"/>
    </row>
    <row r="475" spans="11:15" x14ac:dyDescent="0.25">
      <c r="K475" s="3"/>
      <c r="L475" s="22"/>
      <c r="M475" s="23"/>
      <c r="N475" s="24"/>
      <c r="O475" s="25"/>
    </row>
    <row r="476" spans="11:15" x14ac:dyDescent="0.25">
      <c r="K476" s="3"/>
      <c r="L476" s="22"/>
      <c r="M476" s="23"/>
      <c r="N476" s="24"/>
      <c r="O476" s="25"/>
    </row>
    <row r="477" spans="11:15" x14ac:dyDescent="0.25">
      <c r="K477" s="3"/>
      <c r="L477" s="22"/>
      <c r="M477" s="23"/>
      <c r="N477" s="24"/>
      <c r="O477" s="25"/>
    </row>
    <row r="478" spans="11:15" x14ac:dyDescent="0.25">
      <c r="K478" s="3"/>
      <c r="L478" s="22"/>
      <c r="M478" s="23"/>
      <c r="N478" s="24"/>
      <c r="O478" s="25"/>
    </row>
    <row r="479" spans="11:15" x14ac:dyDescent="0.25">
      <c r="K479" s="3"/>
      <c r="L479" s="22"/>
      <c r="M479" s="23"/>
      <c r="N479" s="24"/>
      <c r="O479" s="25"/>
    </row>
    <row r="480" spans="11:15" x14ac:dyDescent="0.25">
      <c r="K480" s="3"/>
      <c r="L480" s="22"/>
      <c r="M480" s="23"/>
      <c r="N480" s="24"/>
      <c r="O480" s="25"/>
    </row>
    <row r="481" spans="11:15" x14ac:dyDescent="0.25">
      <c r="K481" s="3"/>
      <c r="L481" s="22"/>
      <c r="M481" s="23"/>
      <c r="N481" s="24"/>
      <c r="O481" s="25"/>
    </row>
    <row r="482" spans="11:15" x14ac:dyDescent="0.25">
      <c r="K482" s="3"/>
      <c r="L482" s="22"/>
      <c r="M482" s="23"/>
      <c r="N482" s="24"/>
      <c r="O482" s="25"/>
    </row>
    <row r="483" spans="11:15" x14ac:dyDescent="0.25">
      <c r="K483" s="3"/>
      <c r="L483" s="22"/>
      <c r="M483" s="23"/>
      <c r="N483" s="24"/>
      <c r="O483" s="25"/>
    </row>
    <row r="484" spans="11:15" x14ac:dyDescent="0.25">
      <c r="K484" s="3"/>
      <c r="L484" s="22"/>
      <c r="M484" s="23"/>
      <c r="N484" s="24"/>
      <c r="O484" s="25"/>
    </row>
    <row r="485" spans="11:15" x14ac:dyDescent="0.25">
      <c r="K485" s="3"/>
      <c r="L485" s="22"/>
      <c r="M485" s="23"/>
      <c r="N485" s="24"/>
      <c r="O485" s="25"/>
    </row>
    <row r="486" spans="11:15" x14ac:dyDescent="0.25">
      <c r="K486" s="3"/>
      <c r="L486" s="22"/>
      <c r="M486" s="23"/>
      <c r="N486" s="24"/>
      <c r="O486" s="25"/>
    </row>
    <row r="487" spans="11:15" x14ac:dyDescent="0.25">
      <c r="K487" s="3"/>
      <c r="L487" s="30"/>
      <c r="M487" s="23"/>
      <c r="N487" s="24"/>
      <c r="O487" s="25"/>
    </row>
    <row r="488" spans="11:15" x14ac:dyDescent="0.25">
      <c r="K488" s="3"/>
      <c r="L488" s="22"/>
      <c r="M488" s="23"/>
      <c r="N488" s="24"/>
      <c r="O488" s="25"/>
    </row>
    <row r="489" spans="11:15" x14ac:dyDescent="0.25">
      <c r="K489" s="3"/>
      <c r="L489" s="22"/>
      <c r="M489" s="23"/>
      <c r="N489" s="24"/>
      <c r="O489" s="25"/>
    </row>
    <row r="490" spans="11:15" x14ac:dyDescent="0.25">
      <c r="K490" s="3"/>
      <c r="L490" s="22"/>
      <c r="M490" s="23"/>
      <c r="N490" s="24"/>
      <c r="O490" s="25"/>
    </row>
    <row r="491" spans="11:15" x14ac:dyDescent="0.25">
      <c r="K491" s="3"/>
      <c r="L491" s="22"/>
      <c r="M491" s="23"/>
      <c r="N491" s="24"/>
      <c r="O491" s="25"/>
    </row>
    <row r="492" spans="11:15" x14ac:dyDescent="0.25">
      <c r="K492" s="3"/>
      <c r="L492" s="22"/>
      <c r="M492" s="23"/>
      <c r="N492" s="24"/>
      <c r="O492" s="25"/>
    </row>
    <row r="493" spans="11:15" x14ac:dyDescent="0.25">
      <c r="K493" s="3"/>
      <c r="L493" s="22"/>
      <c r="M493" s="23"/>
      <c r="N493" s="24"/>
      <c r="O493" s="25"/>
    </row>
    <row r="494" spans="11:15" x14ac:dyDescent="0.25">
      <c r="K494" s="3"/>
      <c r="L494" s="22"/>
      <c r="M494" s="23"/>
      <c r="N494" s="24"/>
      <c r="O494" s="25"/>
    </row>
    <row r="495" spans="11:15" x14ac:dyDescent="0.25">
      <c r="K495" s="3"/>
      <c r="L495" s="22"/>
      <c r="M495" s="23"/>
      <c r="N495" s="24"/>
      <c r="O495" s="25"/>
    </row>
    <row r="496" spans="11:15" x14ac:dyDescent="0.25">
      <c r="K496" s="3"/>
      <c r="L496" s="22"/>
      <c r="M496" s="23"/>
      <c r="N496" s="24"/>
      <c r="O496" s="25"/>
    </row>
    <row r="497" spans="11:15" x14ac:dyDescent="0.25">
      <c r="K497" s="3"/>
      <c r="L497" s="22"/>
      <c r="M497" s="23"/>
      <c r="N497" s="24"/>
      <c r="O497" s="25"/>
    </row>
    <row r="498" spans="11:15" x14ac:dyDescent="0.25">
      <c r="K498" s="3"/>
      <c r="L498" s="22"/>
      <c r="M498" s="23"/>
      <c r="N498" s="24"/>
      <c r="O498" s="25"/>
    </row>
    <row r="499" spans="11:15" x14ac:dyDescent="0.25">
      <c r="K499" s="3"/>
      <c r="L499" s="22"/>
      <c r="M499" s="23"/>
      <c r="N499" s="24"/>
      <c r="O499" s="25"/>
    </row>
    <row r="500" spans="11:15" x14ac:dyDescent="0.25">
      <c r="K500" s="3"/>
      <c r="L500" s="30"/>
      <c r="M500" s="23"/>
      <c r="N500" s="24"/>
      <c r="O500" s="25"/>
    </row>
    <row r="501" spans="11:15" x14ac:dyDescent="0.25">
      <c r="K501" s="3"/>
      <c r="L501" s="22"/>
      <c r="M501" s="23"/>
      <c r="N501" s="24"/>
      <c r="O501" s="25"/>
    </row>
    <row r="502" spans="11:15" x14ac:dyDescent="0.25">
      <c r="K502" s="3"/>
      <c r="L502" s="22"/>
      <c r="M502" s="23"/>
      <c r="N502" s="24"/>
      <c r="O502" s="25"/>
    </row>
    <row r="503" spans="11:15" x14ac:dyDescent="0.25">
      <c r="K503" s="3"/>
      <c r="L503" s="22"/>
      <c r="M503" s="23"/>
      <c r="N503" s="24"/>
      <c r="O503" s="25"/>
    </row>
    <row r="504" spans="11:15" x14ac:dyDescent="0.25">
      <c r="K504" s="3"/>
      <c r="L504" s="22"/>
      <c r="M504" s="23"/>
      <c r="N504" s="24"/>
      <c r="O504" s="25"/>
    </row>
    <row r="505" spans="11:15" x14ac:dyDescent="0.25">
      <c r="K505" s="3"/>
      <c r="L505" s="22"/>
      <c r="M505" s="23"/>
      <c r="N505" s="24"/>
      <c r="O505" s="25"/>
    </row>
    <row r="506" spans="11:15" x14ac:dyDescent="0.25">
      <c r="K506" s="3"/>
      <c r="L506" s="22"/>
      <c r="M506" s="23"/>
      <c r="N506" s="24"/>
      <c r="O506" s="25"/>
    </row>
    <row r="507" spans="11:15" x14ac:dyDescent="0.25">
      <c r="K507" s="3"/>
      <c r="L507" s="22"/>
      <c r="M507" s="23"/>
      <c r="N507" s="24"/>
      <c r="O507" s="25"/>
    </row>
    <row r="508" spans="11:15" x14ac:dyDescent="0.25">
      <c r="K508" s="3"/>
      <c r="L508" s="22"/>
      <c r="M508" s="23"/>
      <c r="N508" s="24"/>
      <c r="O508" s="25"/>
    </row>
    <row r="509" spans="11:15" x14ac:dyDescent="0.25">
      <c r="K509" s="3"/>
      <c r="L509" s="22"/>
      <c r="M509" s="23"/>
      <c r="N509" s="24"/>
      <c r="O509" s="25"/>
    </row>
    <row r="510" spans="11:15" x14ac:dyDescent="0.25">
      <c r="K510" s="3"/>
      <c r="L510" s="22"/>
      <c r="M510" s="23"/>
      <c r="N510" s="24"/>
      <c r="O510" s="25"/>
    </row>
    <row r="511" spans="11:15" x14ac:dyDescent="0.25">
      <c r="K511" s="3"/>
      <c r="L511" s="22"/>
      <c r="M511" s="23"/>
      <c r="N511" s="24"/>
      <c r="O511" s="25"/>
    </row>
    <row r="512" spans="11:15" x14ac:dyDescent="0.25">
      <c r="K512" s="3"/>
      <c r="L512" s="22"/>
      <c r="M512" s="23"/>
      <c r="N512" s="24"/>
      <c r="O512" s="25"/>
    </row>
    <row r="513" spans="11:15" x14ac:dyDescent="0.25">
      <c r="K513" s="3"/>
      <c r="L513" s="22"/>
      <c r="M513" s="23"/>
      <c r="N513" s="24"/>
      <c r="O513" s="25"/>
    </row>
    <row r="514" spans="11:15" x14ac:dyDescent="0.25">
      <c r="K514" s="3"/>
      <c r="L514" s="22"/>
      <c r="M514" s="23"/>
      <c r="N514" s="24"/>
      <c r="O514" s="25"/>
    </row>
    <row r="515" spans="11:15" x14ac:dyDescent="0.25">
      <c r="K515" s="3"/>
      <c r="L515" s="22"/>
      <c r="M515" s="23"/>
      <c r="N515" s="24"/>
      <c r="O515" s="25"/>
    </row>
    <row r="516" spans="11:15" x14ac:dyDescent="0.25">
      <c r="K516" s="3"/>
      <c r="L516" s="22"/>
      <c r="M516" s="23"/>
      <c r="N516" s="24"/>
      <c r="O516" s="25"/>
    </row>
    <row r="517" spans="11:15" x14ac:dyDescent="0.25">
      <c r="K517" s="3"/>
      <c r="L517" s="22"/>
      <c r="M517" s="23"/>
      <c r="N517" s="24"/>
      <c r="O517" s="25"/>
    </row>
    <row r="518" spans="11:15" x14ac:dyDescent="0.25">
      <c r="K518" s="3"/>
      <c r="L518" s="22"/>
      <c r="M518" s="23"/>
      <c r="N518" s="24"/>
      <c r="O518" s="25"/>
    </row>
    <row r="519" spans="11:15" x14ac:dyDescent="0.25">
      <c r="K519" s="3"/>
      <c r="L519" s="22"/>
      <c r="M519" s="23"/>
      <c r="N519" s="24"/>
      <c r="O519" s="25"/>
    </row>
    <row r="520" spans="11:15" x14ac:dyDescent="0.25">
      <c r="K520" s="3"/>
      <c r="L520" s="22"/>
      <c r="M520" s="23"/>
      <c r="N520" s="24"/>
      <c r="O520" s="25"/>
    </row>
    <row r="521" spans="11:15" x14ac:dyDescent="0.25">
      <c r="K521" s="3"/>
      <c r="L521" s="22"/>
      <c r="M521" s="23"/>
      <c r="N521" s="24"/>
      <c r="O521" s="25"/>
    </row>
    <row r="522" spans="11:15" x14ac:dyDescent="0.25">
      <c r="K522" s="3"/>
      <c r="L522" s="22"/>
      <c r="M522" s="23"/>
      <c r="N522" s="24"/>
      <c r="O522" s="25"/>
    </row>
    <row r="523" spans="11:15" x14ac:dyDescent="0.25">
      <c r="K523" s="3"/>
      <c r="L523" s="22"/>
      <c r="M523" s="23"/>
      <c r="N523" s="24"/>
      <c r="O523" s="25"/>
    </row>
    <row r="524" spans="11:15" x14ac:dyDescent="0.25">
      <c r="K524" s="3"/>
      <c r="L524" s="22"/>
      <c r="M524" s="23"/>
      <c r="N524" s="24"/>
      <c r="O524" s="25"/>
    </row>
    <row r="525" spans="11:15" x14ac:dyDescent="0.25">
      <c r="K525" s="3"/>
      <c r="L525" s="22"/>
      <c r="M525" s="23"/>
      <c r="N525" s="24"/>
      <c r="O525" s="25"/>
    </row>
    <row r="526" spans="11:15" x14ac:dyDescent="0.25">
      <c r="K526" s="3"/>
      <c r="L526" s="22"/>
      <c r="M526" s="23"/>
      <c r="N526" s="24"/>
      <c r="O526" s="25"/>
    </row>
    <row r="527" spans="11:15" x14ac:dyDescent="0.25">
      <c r="K527" s="3"/>
      <c r="L527" s="22"/>
      <c r="M527" s="23"/>
      <c r="N527" s="24"/>
      <c r="O527" s="25"/>
    </row>
    <row r="528" spans="11:15" x14ac:dyDescent="0.25">
      <c r="K528" s="3"/>
      <c r="L528" s="22"/>
      <c r="M528" s="23"/>
      <c r="N528" s="24"/>
      <c r="O528" s="25"/>
    </row>
    <row r="529" spans="11:15" x14ac:dyDescent="0.25">
      <c r="K529" s="3"/>
      <c r="L529" s="22"/>
      <c r="M529" s="23"/>
      <c r="N529" s="24"/>
      <c r="O529" s="25"/>
    </row>
    <row r="530" spans="11:15" x14ac:dyDescent="0.25">
      <c r="K530" s="3"/>
      <c r="L530" s="22"/>
      <c r="M530" s="23"/>
      <c r="N530" s="24"/>
      <c r="O530" s="25"/>
    </row>
    <row r="531" spans="11:15" x14ac:dyDescent="0.25">
      <c r="K531" s="3"/>
      <c r="L531" s="22"/>
      <c r="M531" s="23"/>
      <c r="N531" s="24"/>
      <c r="O531" s="25"/>
    </row>
    <row r="532" spans="11:15" x14ac:dyDescent="0.25">
      <c r="K532" s="3"/>
      <c r="L532" s="22"/>
      <c r="M532" s="23"/>
      <c r="N532" s="24"/>
      <c r="O532" s="25"/>
    </row>
    <row r="533" spans="11:15" x14ac:dyDescent="0.25">
      <c r="K533" s="3"/>
      <c r="L533" s="22"/>
      <c r="M533" s="23"/>
      <c r="N533" s="24"/>
      <c r="O533" s="25"/>
    </row>
    <row r="534" spans="11:15" x14ac:dyDescent="0.25">
      <c r="K534" s="3"/>
      <c r="L534" s="22"/>
      <c r="M534" s="23"/>
      <c r="N534" s="24"/>
      <c r="O534" s="25"/>
    </row>
    <row r="535" spans="11:15" x14ac:dyDescent="0.25">
      <c r="K535" s="3"/>
      <c r="L535" s="22"/>
      <c r="M535" s="23"/>
      <c r="N535" s="24"/>
      <c r="O535" s="25"/>
    </row>
    <row r="536" spans="11:15" x14ac:dyDescent="0.25">
      <c r="K536" s="3"/>
      <c r="L536" s="30"/>
      <c r="M536" s="23"/>
      <c r="N536" s="24"/>
      <c r="O536" s="25"/>
    </row>
    <row r="537" spans="11:15" x14ac:dyDescent="0.25">
      <c r="K537" s="3"/>
      <c r="L537" s="22"/>
      <c r="M537" s="23"/>
      <c r="N537" s="24"/>
      <c r="O537" s="25"/>
    </row>
    <row r="538" spans="11:15" x14ac:dyDescent="0.25">
      <c r="K538" s="3"/>
      <c r="L538" s="22"/>
      <c r="M538" s="23"/>
      <c r="N538" s="24"/>
      <c r="O538" s="25"/>
    </row>
    <row r="539" spans="11:15" x14ac:dyDescent="0.25">
      <c r="K539" s="3"/>
      <c r="L539" s="22"/>
      <c r="M539" s="23"/>
      <c r="N539" s="24"/>
      <c r="O539" s="25"/>
    </row>
    <row r="540" spans="11:15" x14ac:dyDescent="0.25">
      <c r="K540" s="3"/>
      <c r="L540" s="22"/>
      <c r="M540" s="23"/>
      <c r="N540" s="24"/>
      <c r="O540" s="25"/>
    </row>
    <row r="541" spans="11:15" x14ac:dyDescent="0.25">
      <c r="K541" s="3"/>
      <c r="L541" s="22"/>
      <c r="M541" s="23"/>
      <c r="N541" s="24"/>
      <c r="O541" s="25"/>
    </row>
    <row r="542" spans="11:15" x14ac:dyDescent="0.25">
      <c r="K542" s="3"/>
      <c r="L542" s="22"/>
      <c r="M542" s="23"/>
      <c r="N542" s="24"/>
      <c r="O542" s="25"/>
    </row>
    <row r="543" spans="11:15" x14ac:dyDescent="0.25">
      <c r="K543" s="3"/>
      <c r="L543" s="30"/>
      <c r="M543" s="23"/>
      <c r="N543" s="24"/>
      <c r="O543" s="25"/>
    </row>
    <row r="544" spans="11:15" x14ac:dyDescent="0.25">
      <c r="K544" s="3"/>
      <c r="L544" s="22"/>
      <c r="M544" s="23"/>
      <c r="N544" s="24"/>
      <c r="O544" s="25"/>
    </row>
    <row r="545" spans="11:15" x14ac:dyDescent="0.25">
      <c r="K545" s="3"/>
      <c r="L545" s="30"/>
      <c r="M545" s="23"/>
      <c r="N545" s="24"/>
      <c r="O545" s="25"/>
    </row>
    <row r="546" spans="11:15" x14ac:dyDescent="0.25">
      <c r="K546" s="3"/>
      <c r="L546" s="22"/>
      <c r="M546" s="23"/>
      <c r="N546" s="24"/>
      <c r="O546" s="25"/>
    </row>
    <row r="547" spans="11:15" x14ac:dyDescent="0.25">
      <c r="K547" s="3"/>
      <c r="L547" s="22"/>
      <c r="M547" s="23"/>
      <c r="N547" s="24"/>
      <c r="O547" s="25"/>
    </row>
    <row r="548" spans="11:15" x14ac:dyDescent="0.25">
      <c r="K548" s="3"/>
      <c r="L548" s="22"/>
      <c r="M548" s="23"/>
      <c r="N548" s="24"/>
      <c r="O548" s="25"/>
    </row>
    <row r="549" spans="11:15" x14ac:dyDescent="0.25">
      <c r="K549" s="3"/>
      <c r="L549" s="22"/>
      <c r="M549" s="23"/>
      <c r="N549" s="24"/>
      <c r="O549" s="25"/>
    </row>
    <row r="550" spans="11:15" x14ac:dyDescent="0.25">
      <c r="K550" s="3"/>
      <c r="L550" s="22"/>
      <c r="M550" s="23"/>
      <c r="N550" s="24"/>
      <c r="O550" s="25"/>
    </row>
    <row r="551" spans="11:15" x14ac:dyDescent="0.25">
      <c r="K551" s="3"/>
      <c r="L551" s="22"/>
      <c r="M551" s="23"/>
      <c r="N551" s="24"/>
      <c r="O551" s="25"/>
    </row>
    <row r="552" spans="11:15" x14ac:dyDescent="0.25">
      <c r="K552" s="3"/>
      <c r="L552" s="22"/>
      <c r="M552" s="23"/>
      <c r="N552" s="24"/>
      <c r="O552" s="25"/>
    </row>
    <row r="553" spans="11:15" x14ac:dyDescent="0.25">
      <c r="K553" s="3"/>
      <c r="L553" s="22"/>
      <c r="M553" s="23"/>
      <c r="N553" s="24"/>
      <c r="O553" s="25"/>
    </row>
    <row r="554" spans="11:15" x14ac:dyDescent="0.25">
      <c r="K554" s="3"/>
      <c r="L554" s="22"/>
      <c r="M554" s="23"/>
      <c r="N554" s="24"/>
      <c r="O554" s="25"/>
    </row>
    <row r="555" spans="11:15" x14ac:dyDescent="0.25">
      <c r="K555" s="3"/>
      <c r="L555" s="22"/>
      <c r="M555" s="23"/>
      <c r="N555" s="24"/>
      <c r="O555" s="25"/>
    </row>
    <row r="556" spans="11:15" x14ac:dyDescent="0.25">
      <c r="K556" s="3"/>
      <c r="L556" s="22"/>
      <c r="M556" s="23"/>
      <c r="N556" s="24"/>
      <c r="O556" s="25"/>
    </row>
    <row r="557" spans="11:15" x14ac:dyDescent="0.25">
      <c r="K557" s="3"/>
      <c r="L557" s="22"/>
      <c r="M557" s="23"/>
      <c r="N557" s="24"/>
      <c r="O557" s="25"/>
    </row>
    <row r="611" spans="16:16" x14ac:dyDescent="0.25">
      <c r="P611" s="73">
        <f>MIN(N:N)</f>
        <v>22410</v>
      </c>
    </row>
  </sheetData>
  <mergeCells count="1">
    <mergeCell ref="F15:G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autoPageBreaks="0"/>
  </sheetPr>
  <dimension ref="A1:J687"/>
  <sheetViews>
    <sheetView zoomScale="130" zoomScaleNormal="130" zoomScaleSheetLayoutView="100" workbookViewId="0">
      <selection activeCell="H8" sqref="H8"/>
    </sheetView>
  </sheetViews>
  <sheetFormatPr defaultColWidth="19.85546875" defaultRowHeight="15" x14ac:dyDescent="0.25"/>
  <cols>
    <col min="1" max="1" width="12.28515625" style="67" bestFit="1" customWidth="1"/>
    <col min="2" max="2" width="23.85546875" style="68" bestFit="1" customWidth="1"/>
    <col min="3" max="3" width="11.28515625" style="69" bestFit="1" customWidth="1"/>
    <col min="4" max="4" width="6.7109375" style="68" customWidth="1"/>
    <col min="5" max="5" width="8.85546875" style="68" customWidth="1"/>
    <col min="6" max="6" width="9.42578125" style="70" bestFit="1" customWidth="1"/>
    <col min="7" max="7" width="5.7109375" style="59" customWidth="1"/>
    <col min="8" max="8" width="45.42578125" style="13" customWidth="1"/>
    <col min="9" max="9" width="7.28515625" style="3" customWidth="1"/>
    <col min="10" max="10" width="9.28515625" style="3" customWidth="1"/>
    <col min="11" max="16384" width="19.85546875" style="3"/>
  </cols>
  <sheetData>
    <row r="1" spans="1:10" x14ac:dyDescent="0.25">
      <c r="A1" s="54" t="s">
        <v>16</v>
      </c>
      <c r="B1" s="55" t="s">
        <v>507</v>
      </c>
      <c r="C1" s="56" t="s">
        <v>17</v>
      </c>
      <c r="D1" s="57" t="s">
        <v>18</v>
      </c>
      <c r="E1" s="55" t="s">
        <v>19</v>
      </c>
      <c r="F1" s="58" t="s">
        <v>21</v>
      </c>
    </row>
    <row r="2" spans="1:10" x14ac:dyDescent="0.25">
      <c r="A2" s="60">
        <v>339488599</v>
      </c>
      <c r="B2" s="10" t="s">
        <v>52</v>
      </c>
      <c r="C2" s="61">
        <f>38082+(3*364-140)</f>
        <v>39034</v>
      </c>
      <c r="D2" s="62">
        <f t="shared" ref="D2:D65" ca="1" si="0">DATEDIF(C2,TODAY(),"Y")</f>
        <v>9</v>
      </c>
      <c r="E2" s="62"/>
      <c r="F2" s="63">
        <v>78091</v>
      </c>
      <c r="G2" s="64"/>
      <c r="H2" s="65"/>
      <c r="J2" s="3" t="s">
        <v>467</v>
      </c>
    </row>
    <row r="3" spans="1:10" x14ac:dyDescent="0.25">
      <c r="A3" s="60">
        <v>443926890</v>
      </c>
      <c r="B3" s="10" t="s">
        <v>55</v>
      </c>
      <c r="C3" s="61">
        <f>38362+(3*364-140)</f>
        <v>39314</v>
      </c>
      <c r="D3" s="62">
        <f t="shared" ca="1" si="0"/>
        <v>8</v>
      </c>
      <c r="E3" s="62" t="s">
        <v>33</v>
      </c>
      <c r="F3" s="63">
        <v>55640</v>
      </c>
      <c r="G3" s="64"/>
      <c r="H3" s="66"/>
      <c r="J3" s="3" t="s">
        <v>466</v>
      </c>
    </row>
    <row r="4" spans="1:10" x14ac:dyDescent="0.25">
      <c r="A4" s="60">
        <v>377194926</v>
      </c>
      <c r="B4" s="10" t="s">
        <v>44</v>
      </c>
      <c r="C4" s="61">
        <f>41281+(3*364-140)</f>
        <v>42233</v>
      </c>
      <c r="D4" s="62">
        <f t="shared" ca="1" si="0"/>
        <v>0</v>
      </c>
      <c r="E4" s="62" t="s">
        <v>26</v>
      </c>
      <c r="F4" s="63">
        <v>57538</v>
      </c>
      <c r="G4" s="64"/>
      <c r="H4" s="52"/>
      <c r="J4" s="3" t="s">
        <v>464</v>
      </c>
    </row>
    <row r="5" spans="1:10" x14ac:dyDescent="0.25">
      <c r="A5" s="60">
        <v>948195711</v>
      </c>
      <c r="B5" s="10" t="s">
        <v>22</v>
      </c>
      <c r="C5" s="61">
        <f>39095+(3*364-140)</f>
        <v>40047</v>
      </c>
      <c r="D5" s="62">
        <f t="shared" ca="1" si="0"/>
        <v>6</v>
      </c>
      <c r="E5" s="62"/>
      <c r="F5" s="63">
        <v>55302</v>
      </c>
      <c r="G5" s="64"/>
      <c r="H5" s="52"/>
      <c r="J5" s="3" t="s">
        <v>465</v>
      </c>
    </row>
    <row r="6" spans="1:10" x14ac:dyDescent="0.25">
      <c r="A6" s="60">
        <v>894030119</v>
      </c>
      <c r="B6" s="10" t="s">
        <v>44</v>
      </c>
      <c r="C6" s="61">
        <f>37746+(3*364-140)</f>
        <v>38698</v>
      </c>
      <c r="D6" s="62">
        <f t="shared" ca="1" si="0"/>
        <v>9</v>
      </c>
      <c r="E6" s="62" t="s">
        <v>28</v>
      </c>
      <c r="F6" s="63">
        <v>85813</v>
      </c>
      <c r="G6" s="64"/>
      <c r="H6" s="52"/>
      <c r="J6" s="3" t="s">
        <v>464</v>
      </c>
    </row>
    <row r="7" spans="1:10" x14ac:dyDescent="0.25">
      <c r="A7" s="60">
        <v>174483231</v>
      </c>
      <c r="B7" s="10" t="s">
        <v>51</v>
      </c>
      <c r="C7" s="61">
        <f>33864+(3*364-140)</f>
        <v>34816</v>
      </c>
      <c r="D7" s="62">
        <f t="shared" ca="1" si="0"/>
        <v>20</v>
      </c>
      <c r="E7" s="62" t="s">
        <v>24</v>
      </c>
      <c r="F7" s="63">
        <v>53222</v>
      </c>
      <c r="G7" s="64"/>
      <c r="H7" s="52"/>
      <c r="J7" s="3" t="s">
        <v>464</v>
      </c>
    </row>
    <row r="8" spans="1:10" x14ac:dyDescent="0.25">
      <c r="A8" s="60">
        <v>869524136</v>
      </c>
      <c r="B8" s="10" t="s">
        <v>50</v>
      </c>
      <c r="C8" s="61">
        <f>36017+(3*364-140)</f>
        <v>36969</v>
      </c>
      <c r="D8" s="62">
        <f t="shared" ca="1" si="0"/>
        <v>14</v>
      </c>
      <c r="E8" s="62" t="s">
        <v>33</v>
      </c>
      <c r="F8" s="63">
        <v>56433</v>
      </c>
      <c r="G8" s="64"/>
      <c r="H8" s="52"/>
      <c r="J8" s="3" t="s">
        <v>466</v>
      </c>
    </row>
    <row r="9" spans="1:10" x14ac:dyDescent="0.25">
      <c r="A9" s="60">
        <v>548704405</v>
      </c>
      <c r="B9" s="10" t="s">
        <v>53</v>
      </c>
      <c r="C9" s="61">
        <f>37084+(3*364-140)</f>
        <v>38036</v>
      </c>
      <c r="D9" s="62">
        <f t="shared" ca="1" si="0"/>
        <v>11</v>
      </c>
      <c r="E9" s="62"/>
      <c r="F9" s="63">
        <v>79040</v>
      </c>
      <c r="G9" s="64"/>
      <c r="H9" s="52"/>
      <c r="J9" s="3" t="s">
        <v>465</v>
      </c>
    </row>
    <row r="10" spans="1:10" x14ac:dyDescent="0.25">
      <c r="A10" s="60">
        <v>213584397</v>
      </c>
      <c r="B10" s="10" t="s">
        <v>44</v>
      </c>
      <c r="C10" s="61">
        <f>38009+(3*364-140)</f>
        <v>38961</v>
      </c>
      <c r="D10" s="62">
        <f t="shared" ca="1" si="0"/>
        <v>9</v>
      </c>
      <c r="E10" s="62" t="s">
        <v>33</v>
      </c>
      <c r="F10" s="63">
        <v>81575</v>
      </c>
      <c r="G10" s="64"/>
      <c r="H10" s="52"/>
      <c r="J10" s="3" t="s">
        <v>464</v>
      </c>
    </row>
    <row r="11" spans="1:10" x14ac:dyDescent="0.25">
      <c r="A11" s="60">
        <v>965916299</v>
      </c>
      <c r="B11" s="10" t="s">
        <v>52</v>
      </c>
      <c r="C11" s="61">
        <f>36371+(3*364-140)</f>
        <v>37323</v>
      </c>
      <c r="D11" s="62">
        <f t="shared" ca="1" si="0"/>
        <v>13</v>
      </c>
      <c r="E11" s="62" t="s">
        <v>28</v>
      </c>
      <c r="F11" s="63">
        <v>31642</v>
      </c>
      <c r="G11" s="64"/>
      <c r="H11" s="52"/>
      <c r="J11" s="3" t="s">
        <v>466</v>
      </c>
    </row>
    <row r="12" spans="1:10" x14ac:dyDescent="0.25">
      <c r="A12" s="60">
        <v>436693732</v>
      </c>
      <c r="B12" s="10" t="s">
        <v>37</v>
      </c>
      <c r="C12" s="61">
        <f>37854+(3*364-140)</f>
        <v>38806</v>
      </c>
      <c r="D12" s="62">
        <f t="shared" ca="1" si="0"/>
        <v>9</v>
      </c>
      <c r="E12" s="62" t="s">
        <v>26</v>
      </c>
      <c r="F12" s="63">
        <v>81627</v>
      </c>
      <c r="G12" s="64"/>
      <c r="H12" s="52"/>
      <c r="J12" s="3" t="s">
        <v>467</v>
      </c>
    </row>
    <row r="13" spans="1:10" x14ac:dyDescent="0.25">
      <c r="A13" s="60">
        <v>828395582</v>
      </c>
      <c r="B13" s="10" t="s">
        <v>52</v>
      </c>
      <c r="C13" s="61">
        <f>34251+(3*364-140)</f>
        <v>35203</v>
      </c>
      <c r="D13" s="62">
        <f t="shared" ca="1" si="0"/>
        <v>19</v>
      </c>
      <c r="E13" s="62" t="s">
        <v>34</v>
      </c>
      <c r="F13" s="63">
        <v>103184</v>
      </c>
      <c r="G13" s="64"/>
      <c r="H13" s="52"/>
      <c r="J13" s="3" t="s">
        <v>464</v>
      </c>
    </row>
    <row r="14" spans="1:10" x14ac:dyDescent="0.25">
      <c r="A14" s="60">
        <v>277423593</v>
      </c>
      <c r="B14" s="10" t="s">
        <v>54</v>
      </c>
      <c r="C14" s="61">
        <f>34069+(3*364-140)</f>
        <v>35021</v>
      </c>
      <c r="D14" s="62">
        <f t="shared" ca="1" si="0"/>
        <v>20</v>
      </c>
      <c r="E14" s="62" t="s">
        <v>33</v>
      </c>
      <c r="F14" s="63">
        <v>52476</v>
      </c>
      <c r="G14" s="64"/>
      <c r="H14" s="52"/>
      <c r="J14" s="3" t="s">
        <v>467</v>
      </c>
    </row>
    <row r="15" spans="1:10" x14ac:dyDescent="0.25">
      <c r="A15" s="60">
        <v>662247915</v>
      </c>
      <c r="B15" s="10" t="s">
        <v>47</v>
      </c>
      <c r="C15" s="61">
        <f>37618+(3*364-140)</f>
        <v>38570</v>
      </c>
      <c r="D15" s="62">
        <f t="shared" ca="1" si="0"/>
        <v>10</v>
      </c>
      <c r="E15" s="62" t="s">
        <v>24</v>
      </c>
      <c r="F15" s="63">
        <v>63687</v>
      </c>
      <c r="G15" s="64"/>
      <c r="H15" s="52"/>
      <c r="J15" s="3" t="s">
        <v>465</v>
      </c>
    </row>
    <row r="16" spans="1:10" x14ac:dyDescent="0.25">
      <c r="A16" s="60">
        <v>763182349</v>
      </c>
      <c r="B16" s="10" t="s">
        <v>54</v>
      </c>
      <c r="C16" s="61">
        <f>34804+(3*364-140)</f>
        <v>35756</v>
      </c>
      <c r="D16" s="62">
        <f t="shared" ca="1" si="0"/>
        <v>18</v>
      </c>
      <c r="E16" s="62"/>
      <c r="F16" s="63">
        <v>108215</v>
      </c>
      <c r="G16" s="64"/>
      <c r="H16" s="52"/>
      <c r="J16" s="3" t="s">
        <v>467</v>
      </c>
    </row>
    <row r="17" spans="1:10" x14ac:dyDescent="0.25">
      <c r="A17" s="60">
        <v>737152868</v>
      </c>
      <c r="B17" s="10" t="s">
        <v>52</v>
      </c>
      <c r="C17" s="61">
        <f>37351+(3*364-140)</f>
        <v>38303</v>
      </c>
      <c r="D17" s="62">
        <f t="shared" ca="1" si="0"/>
        <v>11</v>
      </c>
      <c r="E17" s="62" t="s">
        <v>34</v>
      </c>
      <c r="F17" s="63">
        <v>62829</v>
      </c>
      <c r="G17" s="64"/>
      <c r="H17" s="52"/>
      <c r="J17" s="3" t="s">
        <v>466</v>
      </c>
    </row>
    <row r="18" spans="1:10" x14ac:dyDescent="0.25">
      <c r="A18" s="60">
        <v>850210766</v>
      </c>
      <c r="B18" s="10" t="s">
        <v>41</v>
      </c>
      <c r="C18" s="61">
        <f>39265+(3*364-140)</f>
        <v>40217</v>
      </c>
      <c r="D18" s="62">
        <f t="shared" ca="1" si="0"/>
        <v>5</v>
      </c>
      <c r="E18" s="62" t="s">
        <v>24</v>
      </c>
      <c r="F18" s="63">
        <v>61555</v>
      </c>
      <c r="G18" s="64"/>
      <c r="H18" s="52"/>
    </row>
    <row r="19" spans="1:10" x14ac:dyDescent="0.25">
      <c r="A19" s="60">
        <v>469591073</v>
      </c>
      <c r="B19" s="10" t="s">
        <v>40</v>
      </c>
      <c r="C19" s="61">
        <f>37791+(3*364-140)</f>
        <v>38743</v>
      </c>
      <c r="D19" s="62">
        <f t="shared" ca="1" si="0"/>
        <v>9</v>
      </c>
      <c r="E19" s="62" t="s">
        <v>26</v>
      </c>
      <c r="F19" s="63">
        <v>79495</v>
      </c>
      <c r="G19" s="64"/>
      <c r="H19" s="52"/>
    </row>
    <row r="20" spans="1:10" x14ac:dyDescent="0.25">
      <c r="A20" s="60">
        <v>121688720</v>
      </c>
      <c r="B20" s="10" t="s">
        <v>49</v>
      </c>
      <c r="C20" s="61">
        <f>36245+(3*364-140)</f>
        <v>37197</v>
      </c>
      <c r="D20" s="62">
        <f t="shared" ca="1" si="0"/>
        <v>14</v>
      </c>
      <c r="E20" s="62"/>
      <c r="F20" s="63">
        <v>58266</v>
      </c>
      <c r="G20" s="64"/>
      <c r="H20" s="52"/>
    </row>
    <row r="21" spans="1:10" x14ac:dyDescent="0.25">
      <c r="A21" s="60">
        <v>317844971</v>
      </c>
      <c r="B21" s="10" t="s">
        <v>44</v>
      </c>
      <c r="C21" s="61">
        <f>36605+(3*364-140)</f>
        <v>37557</v>
      </c>
      <c r="D21" s="62">
        <f t="shared" ca="1" si="0"/>
        <v>13</v>
      </c>
      <c r="E21" s="62"/>
      <c r="F21" s="63">
        <v>99983</v>
      </c>
      <c r="G21" s="64"/>
      <c r="H21" s="52"/>
    </row>
    <row r="22" spans="1:10" x14ac:dyDescent="0.25">
      <c r="A22" s="60">
        <v>356242235</v>
      </c>
      <c r="B22" s="10" t="s">
        <v>44</v>
      </c>
      <c r="C22" s="61">
        <f>37282+(3*364-140)</f>
        <v>38234</v>
      </c>
      <c r="D22" s="62">
        <f t="shared" ca="1" si="0"/>
        <v>11</v>
      </c>
      <c r="E22" s="62" t="s">
        <v>33</v>
      </c>
      <c r="F22" s="63">
        <v>60723</v>
      </c>
      <c r="G22" s="64"/>
      <c r="H22" s="52"/>
    </row>
    <row r="23" spans="1:10" x14ac:dyDescent="0.25">
      <c r="A23" s="60">
        <v>405297884</v>
      </c>
      <c r="B23" s="10" t="s">
        <v>39</v>
      </c>
      <c r="C23" s="61">
        <f>33749+(3*364-140)</f>
        <v>34701</v>
      </c>
      <c r="D23" s="62">
        <f t="shared" ca="1" si="0"/>
        <v>20</v>
      </c>
      <c r="E23" s="62" t="s">
        <v>33</v>
      </c>
      <c r="F23" s="63">
        <v>89778</v>
      </c>
      <c r="G23" s="64"/>
      <c r="H23" s="52"/>
    </row>
    <row r="24" spans="1:10" x14ac:dyDescent="0.25">
      <c r="A24" s="60">
        <v>287476507</v>
      </c>
      <c r="B24" s="10" t="s">
        <v>54</v>
      </c>
      <c r="C24" s="61">
        <f>34683+(3*364-140)</f>
        <v>35635</v>
      </c>
      <c r="D24" s="62">
        <f t="shared" ca="1" si="0"/>
        <v>18</v>
      </c>
      <c r="E24" s="62" t="s">
        <v>24</v>
      </c>
      <c r="F24" s="63">
        <v>25916</v>
      </c>
      <c r="G24" s="64"/>
      <c r="H24" s="52"/>
    </row>
    <row r="25" spans="1:10" x14ac:dyDescent="0.25">
      <c r="A25" s="60">
        <v>248820119</v>
      </c>
      <c r="B25" s="10" t="s">
        <v>50</v>
      </c>
      <c r="C25" s="61">
        <f>36581+(3*364-140)</f>
        <v>37533</v>
      </c>
      <c r="D25" s="62">
        <f t="shared" ca="1" si="0"/>
        <v>13</v>
      </c>
      <c r="E25" s="62" t="s">
        <v>24</v>
      </c>
      <c r="F25" s="63">
        <v>89076</v>
      </c>
      <c r="G25" s="64"/>
      <c r="H25" s="52"/>
    </row>
    <row r="26" spans="1:10" x14ac:dyDescent="0.25">
      <c r="A26" s="60">
        <v>396727504</v>
      </c>
      <c r="B26" s="10" t="s">
        <v>44</v>
      </c>
      <c r="C26" s="61">
        <f>37278+(3*364-140)</f>
        <v>38230</v>
      </c>
      <c r="D26" s="62">
        <f t="shared" ca="1" si="0"/>
        <v>11</v>
      </c>
      <c r="E26" s="62"/>
      <c r="F26" s="63">
        <v>54392</v>
      </c>
      <c r="G26" s="64"/>
      <c r="H26" s="52"/>
    </row>
    <row r="27" spans="1:10" x14ac:dyDescent="0.25">
      <c r="A27" s="60">
        <v>880747384</v>
      </c>
      <c r="B27" s="10" t="s">
        <v>52</v>
      </c>
      <c r="C27" s="61">
        <f>34204+(3*364-140)</f>
        <v>35156</v>
      </c>
      <c r="D27" s="62">
        <f t="shared" ca="1" si="0"/>
        <v>19</v>
      </c>
      <c r="E27" s="62" t="s">
        <v>26</v>
      </c>
      <c r="F27" s="63">
        <v>103220</v>
      </c>
      <c r="G27" s="64"/>
      <c r="H27" s="52"/>
    </row>
    <row r="28" spans="1:10" x14ac:dyDescent="0.25">
      <c r="A28" s="60">
        <v>121173068</v>
      </c>
      <c r="B28" s="10" t="s">
        <v>54</v>
      </c>
      <c r="C28" s="61">
        <f>41246+(3*364-140)</f>
        <v>42198</v>
      </c>
      <c r="D28" s="62">
        <f t="shared" ca="1" si="0"/>
        <v>0</v>
      </c>
      <c r="E28" s="62" t="s">
        <v>24</v>
      </c>
      <c r="F28" s="63">
        <v>60307</v>
      </c>
      <c r="G28" s="64"/>
      <c r="H28" s="52"/>
    </row>
    <row r="29" spans="1:10" s="50" customFormat="1" x14ac:dyDescent="0.25">
      <c r="A29" s="60">
        <v>357081517</v>
      </c>
      <c r="B29" s="10" t="s">
        <v>47</v>
      </c>
      <c r="C29" s="61">
        <f>37049+(3*364-140)</f>
        <v>38001</v>
      </c>
      <c r="D29" s="62">
        <f t="shared" ca="1" si="0"/>
        <v>11</v>
      </c>
      <c r="E29" s="62" t="s">
        <v>33</v>
      </c>
      <c r="F29" s="63">
        <v>34827</v>
      </c>
      <c r="G29" s="64"/>
      <c r="H29" s="51"/>
    </row>
    <row r="30" spans="1:10" s="50" customFormat="1" x14ac:dyDescent="0.25">
      <c r="A30" s="60">
        <v>557568959</v>
      </c>
      <c r="B30" s="10" t="s">
        <v>48</v>
      </c>
      <c r="C30" s="61">
        <f>36125+(3*364-140)</f>
        <v>37077</v>
      </c>
      <c r="D30" s="62">
        <f t="shared" ca="1" si="0"/>
        <v>14</v>
      </c>
      <c r="E30" s="62"/>
      <c r="F30" s="63">
        <v>70447</v>
      </c>
      <c r="G30" s="64"/>
      <c r="H30" s="51"/>
    </row>
    <row r="31" spans="1:10" s="50" customFormat="1" x14ac:dyDescent="0.25">
      <c r="A31" s="60">
        <v>159117255</v>
      </c>
      <c r="B31" s="10" t="s">
        <v>44</v>
      </c>
      <c r="C31" s="61">
        <f>40508+(3*364-140)</f>
        <v>41460</v>
      </c>
      <c r="D31" s="62">
        <f t="shared" ca="1" si="0"/>
        <v>2</v>
      </c>
      <c r="E31" s="62"/>
      <c r="F31" s="63">
        <v>102076</v>
      </c>
      <c r="G31" s="64"/>
      <c r="H31" s="59"/>
    </row>
    <row r="32" spans="1:10" s="50" customFormat="1" x14ac:dyDescent="0.25">
      <c r="A32" s="60">
        <v>719165738</v>
      </c>
      <c r="B32" s="10" t="s">
        <v>50</v>
      </c>
      <c r="C32" s="61">
        <f>41146+(3*364-140)</f>
        <v>42098</v>
      </c>
      <c r="D32" s="62">
        <f t="shared" ca="1" si="0"/>
        <v>0</v>
      </c>
      <c r="E32" s="62"/>
      <c r="F32" s="63">
        <v>51272</v>
      </c>
      <c r="G32" s="64"/>
      <c r="H32" s="59"/>
    </row>
    <row r="33" spans="1:8" s="50" customFormat="1" x14ac:dyDescent="0.25">
      <c r="A33" s="60">
        <v>963000861</v>
      </c>
      <c r="B33" s="10" t="s">
        <v>52</v>
      </c>
      <c r="C33" s="61">
        <f>35824+(3*364-140)</f>
        <v>36776</v>
      </c>
      <c r="D33" s="62">
        <f t="shared" ca="1" si="0"/>
        <v>15</v>
      </c>
      <c r="E33" s="62"/>
      <c r="F33" s="63">
        <v>95147</v>
      </c>
      <c r="G33" s="64"/>
      <c r="H33" s="59"/>
    </row>
    <row r="34" spans="1:8" s="50" customFormat="1" x14ac:dyDescent="0.25">
      <c r="A34" s="60">
        <v>474999228</v>
      </c>
      <c r="B34" s="10" t="s">
        <v>37</v>
      </c>
      <c r="C34" s="61">
        <f>36765+(3*364-140)</f>
        <v>37717</v>
      </c>
      <c r="D34" s="62">
        <f t="shared" ca="1" si="0"/>
        <v>12</v>
      </c>
      <c r="E34" s="62"/>
      <c r="F34" s="63">
        <v>100009</v>
      </c>
      <c r="G34" s="64"/>
      <c r="H34" s="59"/>
    </row>
    <row r="35" spans="1:8" s="50" customFormat="1" x14ac:dyDescent="0.25">
      <c r="A35" s="60">
        <v>393051351</v>
      </c>
      <c r="B35" s="10" t="s">
        <v>42</v>
      </c>
      <c r="C35" s="61">
        <f>35864+(3*364-140)</f>
        <v>36816</v>
      </c>
      <c r="D35" s="62">
        <f t="shared" ca="1" si="0"/>
        <v>15</v>
      </c>
      <c r="E35" s="62" t="s">
        <v>34</v>
      </c>
      <c r="F35" s="63">
        <v>42686</v>
      </c>
      <c r="G35" s="64"/>
      <c r="H35" s="59"/>
    </row>
    <row r="36" spans="1:8" s="50" customFormat="1" x14ac:dyDescent="0.25">
      <c r="A36" s="60">
        <v>722630791</v>
      </c>
      <c r="B36" s="10" t="s">
        <v>44</v>
      </c>
      <c r="C36" s="61">
        <f>36660+(3*364-140)</f>
        <v>37612</v>
      </c>
      <c r="D36" s="62">
        <f t="shared" ca="1" si="0"/>
        <v>12</v>
      </c>
      <c r="E36" s="62"/>
      <c r="F36" s="63">
        <v>34725</v>
      </c>
      <c r="G36" s="64"/>
      <c r="H36" s="59"/>
    </row>
    <row r="37" spans="1:8" s="50" customFormat="1" x14ac:dyDescent="0.25">
      <c r="A37" s="60">
        <v>625531462</v>
      </c>
      <c r="B37" s="10" t="s">
        <v>42</v>
      </c>
      <c r="C37" s="61">
        <f>37966+(3*364-140)</f>
        <v>38918</v>
      </c>
      <c r="D37" s="62">
        <f t="shared" ca="1" si="0"/>
        <v>9</v>
      </c>
      <c r="E37" s="62" t="s">
        <v>24</v>
      </c>
      <c r="F37" s="63">
        <v>55224</v>
      </c>
      <c r="G37" s="64"/>
      <c r="H37" s="59"/>
    </row>
    <row r="38" spans="1:8" s="50" customFormat="1" x14ac:dyDescent="0.25">
      <c r="A38" s="60">
        <v>221364716</v>
      </c>
      <c r="B38" s="10" t="s">
        <v>48</v>
      </c>
      <c r="C38" s="61">
        <f>37576+(3*364-140)</f>
        <v>38528</v>
      </c>
      <c r="D38" s="62">
        <f t="shared" ca="1" si="0"/>
        <v>10</v>
      </c>
      <c r="E38" s="62" t="s">
        <v>24</v>
      </c>
      <c r="F38" s="63">
        <v>93366</v>
      </c>
      <c r="G38" s="64"/>
      <c r="H38" s="59"/>
    </row>
    <row r="39" spans="1:8" s="50" customFormat="1" x14ac:dyDescent="0.25">
      <c r="A39" s="60">
        <v>967826310</v>
      </c>
      <c r="B39" s="10" t="s">
        <v>51</v>
      </c>
      <c r="C39" s="61">
        <f>33998+(3*364-140)</f>
        <v>34950</v>
      </c>
      <c r="D39" s="62">
        <f t="shared" ca="1" si="0"/>
        <v>20</v>
      </c>
      <c r="E39" s="62" t="s">
        <v>34</v>
      </c>
      <c r="F39" s="63">
        <v>45916</v>
      </c>
      <c r="G39" s="64"/>
      <c r="H39" s="59"/>
    </row>
    <row r="40" spans="1:8" s="50" customFormat="1" x14ac:dyDescent="0.25">
      <c r="A40" s="60">
        <v>580960042</v>
      </c>
      <c r="B40" s="10" t="s">
        <v>37</v>
      </c>
      <c r="C40" s="61">
        <f>39718+(3*364-140)</f>
        <v>40670</v>
      </c>
      <c r="D40" s="62">
        <f t="shared" ca="1" si="0"/>
        <v>4</v>
      </c>
      <c r="E40" s="62"/>
      <c r="F40" s="63">
        <v>80795</v>
      </c>
      <c r="G40" s="64"/>
      <c r="H40" s="59"/>
    </row>
    <row r="41" spans="1:8" s="50" customFormat="1" x14ac:dyDescent="0.25">
      <c r="A41" s="60">
        <v>863161920</v>
      </c>
      <c r="B41" s="10" t="s">
        <v>40</v>
      </c>
      <c r="C41" s="61">
        <f>36755+(3*364-140)</f>
        <v>37707</v>
      </c>
      <c r="D41" s="62">
        <f t="shared" ca="1" si="0"/>
        <v>12</v>
      </c>
      <c r="E41" s="62" t="s">
        <v>33</v>
      </c>
      <c r="F41" s="63">
        <v>65143</v>
      </c>
      <c r="G41" s="64"/>
      <c r="H41" s="59"/>
    </row>
    <row r="42" spans="1:8" s="50" customFormat="1" x14ac:dyDescent="0.25">
      <c r="A42" s="60">
        <v>433314045</v>
      </c>
      <c r="B42" s="10" t="s">
        <v>52</v>
      </c>
      <c r="C42" s="61">
        <f>34316+(3*364-140)</f>
        <v>35268</v>
      </c>
      <c r="D42" s="62">
        <f t="shared" ca="1" si="0"/>
        <v>19</v>
      </c>
      <c r="E42" s="62"/>
      <c r="F42" s="63">
        <v>61867</v>
      </c>
      <c r="G42" s="64"/>
      <c r="H42" s="59"/>
    </row>
    <row r="43" spans="1:8" s="50" customFormat="1" x14ac:dyDescent="0.25">
      <c r="A43" s="60">
        <v>177332873</v>
      </c>
      <c r="B43" s="10" t="s">
        <v>44</v>
      </c>
      <c r="C43" s="61">
        <f>37091+(3*364-140)</f>
        <v>38043</v>
      </c>
      <c r="D43" s="62">
        <f t="shared" ca="1" si="0"/>
        <v>11</v>
      </c>
      <c r="E43" s="62" t="s">
        <v>24</v>
      </c>
      <c r="F43" s="63">
        <v>52078</v>
      </c>
      <c r="G43" s="64"/>
      <c r="H43" s="59"/>
    </row>
    <row r="44" spans="1:8" s="50" customFormat="1" x14ac:dyDescent="0.25">
      <c r="A44" s="60">
        <v>279097202</v>
      </c>
      <c r="B44" s="10" t="s">
        <v>47</v>
      </c>
      <c r="C44" s="61">
        <f>33925+(3*364-140)</f>
        <v>34877</v>
      </c>
      <c r="D44" s="62">
        <f t="shared" ca="1" si="0"/>
        <v>20</v>
      </c>
      <c r="E44" s="62" t="s">
        <v>24</v>
      </c>
      <c r="F44" s="63">
        <v>81562</v>
      </c>
      <c r="G44" s="64"/>
      <c r="H44" s="59"/>
    </row>
    <row r="45" spans="1:8" s="50" customFormat="1" x14ac:dyDescent="0.25">
      <c r="A45" s="60">
        <v>518009092</v>
      </c>
      <c r="B45" s="10" t="s">
        <v>53</v>
      </c>
      <c r="C45" s="61">
        <f>36547+(3*364-140)</f>
        <v>37499</v>
      </c>
      <c r="D45" s="62">
        <f t="shared" ca="1" si="0"/>
        <v>13</v>
      </c>
      <c r="E45" s="62"/>
      <c r="F45" s="63">
        <v>23286</v>
      </c>
      <c r="G45" s="64"/>
      <c r="H45" s="59"/>
    </row>
    <row r="46" spans="1:8" s="50" customFormat="1" x14ac:dyDescent="0.25">
      <c r="A46" s="60">
        <v>323701315</v>
      </c>
      <c r="B46" s="10" t="s">
        <v>53</v>
      </c>
      <c r="C46" s="61">
        <f>41259+(3*364-140)</f>
        <v>42211</v>
      </c>
      <c r="D46" s="62">
        <f t="shared" ca="1" si="0"/>
        <v>0</v>
      </c>
      <c r="E46" s="62" t="s">
        <v>26</v>
      </c>
      <c r="F46" s="63">
        <v>104338</v>
      </c>
      <c r="G46" s="64"/>
      <c r="H46" s="59"/>
    </row>
    <row r="47" spans="1:8" s="50" customFormat="1" x14ac:dyDescent="0.25">
      <c r="A47" s="60">
        <v>546159785</v>
      </c>
      <c r="B47" s="10" t="s">
        <v>52</v>
      </c>
      <c r="C47" s="61">
        <f>39101+(3*364-140)</f>
        <v>40053</v>
      </c>
      <c r="D47" s="62">
        <f t="shared" ca="1" si="0"/>
        <v>6</v>
      </c>
      <c r="E47" s="62" t="s">
        <v>34</v>
      </c>
      <c r="F47" s="63">
        <v>79729</v>
      </c>
      <c r="G47" s="64"/>
      <c r="H47" s="59"/>
    </row>
    <row r="48" spans="1:8" s="50" customFormat="1" x14ac:dyDescent="0.25">
      <c r="A48" s="60">
        <v>366740174</v>
      </c>
      <c r="B48" s="10" t="s">
        <v>44</v>
      </c>
      <c r="C48" s="61">
        <f>34843+(3*364-140)</f>
        <v>35795</v>
      </c>
      <c r="D48" s="62">
        <f t="shared" ca="1" si="0"/>
        <v>17</v>
      </c>
      <c r="E48" s="62"/>
      <c r="F48" s="63">
        <v>39541</v>
      </c>
      <c r="G48" s="64"/>
      <c r="H48" s="59"/>
    </row>
    <row r="49" spans="1:8" s="50" customFormat="1" x14ac:dyDescent="0.25">
      <c r="A49" s="60">
        <v>425634540</v>
      </c>
      <c r="B49" s="10" t="s">
        <v>44</v>
      </c>
      <c r="C49" s="61">
        <f>40853+(3*364-140)</f>
        <v>41805</v>
      </c>
      <c r="D49" s="62">
        <f t="shared" ca="1" si="0"/>
        <v>1</v>
      </c>
      <c r="E49" s="62" t="s">
        <v>26</v>
      </c>
      <c r="F49" s="63">
        <v>45097</v>
      </c>
      <c r="G49" s="64"/>
      <c r="H49" s="59"/>
    </row>
    <row r="50" spans="1:8" s="50" customFormat="1" x14ac:dyDescent="0.25">
      <c r="A50" s="60">
        <v>592519945</v>
      </c>
      <c r="B50" s="10" t="s">
        <v>52</v>
      </c>
      <c r="C50" s="61">
        <f>40124+(3*364-140)</f>
        <v>41076</v>
      </c>
      <c r="D50" s="62">
        <f t="shared" ca="1" si="0"/>
        <v>3</v>
      </c>
      <c r="E50" s="62" t="s">
        <v>24</v>
      </c>
      <c r="F50" s="63">
        <v>58045</v>
      </c>
      <c r="G50" s="64"/>
      <c r="H50" s="59"/>
    </row>
    <row r="51" spans="1:8" s="50" customFormat="1" x14ac:dyDescent="0.25">
      <c r="A51" s="60">
        <v>494754997</v>
      </c>
      <c r="B51" s="10" t="s">
        <v>52</v>
      </c>
      <c r="C51" s="61">
        <f>35404+(3*364-140)</f>
        <v>36356</v>
      </c>
      <c r="D51" s="62">
        <f t="shared" ca="1" si="0"/>
        <v>16</v>
      </c>
      <c r="E51" s="62"/>
      <c r="F51" s="63">
        <v>43056</v>
      </c>
      <c r="G51" s="64"/>
      <c r="H51" s="59"/>
    </row>
    <row r="52" spans="1:8" s="50" customFormat="1" x14ac:dyDescent="0.25">
      <c r="A52" s="60">
        <v>372693786</v>
      </c>
      <c r="B52" s="10" t="s">
        <v>47</v>
      </c>
      <c r="C52" s="61">
        <f>37816+(3*364-140)</f>
        <v>38768</v>
      </c>
      <c r="D52" s="62">
        <f t="shared" ca="1" si="0"/>
        <v>9</v>
      </c>
      <c r="E52" s="62" t="s">
        <v>28</v>
      </c>
      <c r="F52" s="63">
        <v>40443</v>
      </c>
      <c r="G52" s="64"/>
      <c r="H52" s="59"/>
    </row>
    <row r="53" spans="1:8" s="50" customFormat="1" x14ac:dyDescent="0.25">
      <c r="A53" s="60">
        <v>733358713</v>
      </c>
      <c r="B53" s="10" t="s">
        <v>54</v>
      </c>
      <c r="C53" s="61">
        <f>36016+(3*364-140)</f>
        <v>36968</v>
      </c>
      <c r="D53" s="62">
        <f t="shared" ca="1" si="0"/>
        <v>14</v>
      </c>
      <c r="E53" s="62"/>
      <c r="F53" s="63">
        <v>114179</v>
      </c>
      <c r="G53" s="64"/>
      <c r="H53" s="59"/>
    </row>
    <row r="54" spans="1:8" s="50" customFormat="1" x14ac:dyDescent="0.25">
      <c r="A54" s="60">
        <v>862698919</v>
      </c>
      <c r="B54" s="10" t="s">
        <v>54</v>
      </c>
      <c r="C54" s="61">
        <f>39006+(3*364-140)</f>
        <v>39958</v>
      </c>
      <c r="D54" s="62">
        <f t="shared" ca="1" si="0"/>
        <v>6</v>
      </c>
      <c r="E54" s="62" t="s">
        <v>28</v>
      </c>
      <c r="F54" s="63">
        <v>62764</v>
      </c>
      <c r="G54" s="64"/>
      <c r="H54" s="59"/>
    </row>
    <row r="55" spans="1:8" s="50" customFormat="1" x14ac:dyDescent="0.25">
      <c r="A55" s="60">
        <v>967035612</v>
      </c>
      <c r="B55" s="10" t="s">
        <v>52</v>
      </c>
      <c r="C55" s="61">
        <f>34827+(3*364-140)</f>
        <v>35779</v>
      </c>
      <c r="D55" s="62">
        <f t="shared" ca="1" si="0"/>
        <v>17</v>
      </c>
      <c r="E55" s="62" t="s">
        <v>34</v>
      </c>
      <c r="F55" s="63">
        <v>82472</v>
      </c>
      <c r="G55" s="64"/>
      <c r="H55" s="59"/>
    </row>
    <row r="56" spans="1:8" s="50" customFormat="1" x14ac:dyDescent="0.25">
      <c r="A56" s="60">
        <v>592709648</v>
      </c>
      <c r="B56" s="10" t="s">
        <v>54</v>
      </c>
      <c r="C56" s="61">
        <f>37743+(3*364-140)</f>
        <v>38695</v>
      </c>
      <c r="D56" s="62">
        <f t="shared" ca="1" si="0"/>
        <v>10</v>
      </c>
      <c r="E56" s="62"/>
      <c r="F56" s="63">
        <v>100277</v>
      </c>
      <c r="G56" s="64"/>
      <c r="H56" s="59"/>
    </row>
    <row r="57" spans="1:8" s="50" customFormat="1" x14ac:dyDescent="0.25">
      <c r="A57" s="60">
        <v>272714784</v>
      </c>
      <c r="B57" s="10" t="s">
        <v>50</v>
      </c>
      <c r="C57" s="61">
        <f>38389+(3*364-140)</f>
        <v>39341</v>
      </c>
      <c r="D57" s="62">
        <f t="shared" ca="1" si="0"/>
        <v>8</v>
      </c>
      <c r="E57" s="62"/>
      <c r="F57" s="63">
        <v>28142</v>
      </c>
      <c r="G57" s="64"/>
      <c r="H57" s="59"/>
    </row>
    <row r="58" spans="1:8" s="50" customFormat="1" x14ac:dyDescent="0.25">
      <c r="A58" s="60">
        <v>528258211</v>
      </c>
      <c r="B58" s="10" t="s">
        <v>52</v>
      </c>
      <c r="C58" s="61">
        <f>33806+(3*364-140)</f>
        <v>34758</v>
      </c>
      <c r="D58" s="62">
        <f t="shared" ca="1" si="0"/>
        <v>20</v>
      </c>
      <c r="E58" s="62" t="s">
        <v>26</v>
      </c>
      <c r="F58" s="63">
        <v>59943</v>
      </c>
      <c r="G58" s="64"/>
      <c r="H58" s="59"/>
    </row>
    <row r="59" spans="1:8" s="50" customFormat="1" x14ac:dyDescent="0.25">
      <c r="A59" s="60">
        <v>332289257</v>
      </c>
      <c r="B59" s="10" t="s">
        <v>44</v>
      </c>
      <c r="C59" s="61">
        <f>36670+(3*364-140)</f>
        <v>37622</v>
      </c>
      <c r="D59" s="62">
        <f t="shared" ca="1" si="0"/>
        <v>12</v>
      </c>
      <c r="E59" s="62"/>
      <c r="F59" s="63">
        <v>88738</v>
      </c>
      <c r="G59" s="64"/>
      <c r="H59" s="59"/>
    </row>
    <row r="60" spans="1:8" s="50" customFormat="1" x14ac:dyDescent="0.25">
      <c r="A60" s="60">
        <v>980960186</v>
      </c>
      <c r="B60" s="10" t="s">
        <v>47</v>
      </c>
      <c r="C60" s="61">
        <f>39776+(3*364-140)</f>
        <v>40728</v>
      </c>
      <c r="D60" s="62">
        <f t="shared" ca="1" si="0"/>
        <v>4</v>
      </c>
      <c r="E60" s="62" t="s">
        <v>33</v>
      </c>
      <c r="F60" s="63">
        <v>62017</v>
      </c>
      <c r="G60" s="64"/>
      <c r="H60" s="59"/>
    </row>
    <row r="61" spans="1:8" s="50" customFormat="1" x14ac:dyDescent="0.25">
      <c r="A61" s="60">
        <v>978092408</v>
      </c>
      <c r="B61" s="10" t="s">
        <v>56</v>
      </c>
      <c r="C61" s="61">
        <f>35203+(3*364-140)</f>
        <v>36155</v>
      </c>
      <c r="D61" s="62">
        <f t="shared" ca="1" si="0"/>
        <v>16</v>
      </c>
      <c r="E61" s="62"/>
      <c r="F61" s="63">
        <v>84136</v>
      </c>
      <c r="G61" s="64"/>
      <c r="H61" s="59"/>
    </row>
    <row r="62" spans="1:8" s="50" customFormat="1" x14ac:dyDescent="0.25">
      <c r="A62" s="60">
        <v>685953695</v>
      </c>
      <c r="B62" s="10" t="s">
        <v>40</v>
      </c>
      <c r="C62" s="61">
        <f>34501+(3*364-140)</f>
        <v>35453</v>
      </c>
      <c r="D62" s="62">
        <f t="shared" ca="1" si="0"/>
        <v>18</v>
      </c>
      <c r="E62" s="62" t="s">
        <v>33</v>
      </c>
      <c r="F62" s="63">
        <v>107588</v>
      </c>
      <c r="G62" s="64"/>
      <c r="H62" s="59"/>
    </row>
    <row r="63" spans="1:8" s="50" customFormat="1" x14ac:dyDescent="0.25">
      <c r="A63" s="60">
        <v>923123594</v>
      </c>
      <c r="B63" s="10" t="s">
        <v>44</v>
      </c>
      <c r="C63" s="61">
        <f>36876+(3*364-140)</f>
        <v>37828</v>
      </c>
      <c r="D63" s="62">
        <f t="shared" ca="1" si="0"/>
        <v>12</v>
      </c>
      <c r="E63" s="62" t="s">
        <v>34</v>
      </c>
      <c r="F63" s="63">
        <v>105820</v>
      </c>
      <c r="G63" s="64"/>
      <c r="H63" s="59"/>
    </row>
    <row r="64" spans="1:8" s="50" customFormat="1" x14ac:dyDescent="0.25">
      <c r="A64" s="60">
        <v>254201611</v>
      </c>
      <c r="B64" s="10" t="s">
        <v>47</v>
      </c>
      <c r="C64" s="61">
        <f>34712+(3*364-140)</f>
        <v>35664</v>
      </c>
      <c r="D64" s="62">
        <f t="shared" ca="1" si="0"/>
        <v>18</v>
      </c>
      <c r="E64" s="62" t="s">
        <v>26</v>
      </c>
      <c r="F64" s="63">
        <v>58734</v>
      </c>
      <c r="G64" s="64"/>
      <c r="H64" s="59"/>
    </row>
    <row r="65" spans="1:8" s="50" customFormat="1" x14ac:dyDescent="0.25">
      <c r="A65" s="60">
        <v>971128623</v>
      </c>
      <c r="B65" s="10" t="s">
        <v>54</v>
      </c>
      <c r="C65" s="61">
        <f>37819+(3*364-140)</f>
        <v>38771</v>
      </c>
      <c r="D65" s="62">
        <f t="shared" ca="1" si="0"/>
        <v>9</v>
      </c>
      <c r="E65" s="62"/>
      <c r="F65" s="63">
        <v>33189</v>
      </c>
      <c r="G65" s="64"/>
      <c r="H65" s="59"/>
    </row>
    <row r="66" spans="1:8" s="50" customFormat="1" x14ac:dyDescent="0.25">
      <c r="A66" s="60">
        <v>720538680</v>
      </c>
      <c r="B66" s="10" t="s">
        <v>44</v>
      </c>
      <c r="C66" s="61">
        <f>35161+(3*364-140)</f>
        <v>36113</v>
      </c>
      <c r="D66" s="62">
        <f t="shared" ref="D66:D129" ca="1" si="1">DATEDIF(C66,TODAY(),"Y")</f>
        <v>17</v>
      </c>
      <c r="E66" s="62" t="s">
        <v>24</v>
      </c>
      <c r="F66" s="63">
        <v>105313</v>
      </c>
      <c r="G66" s="64"/>
      <c r="H66" s="59"/>
    </row>
    <row r="67" spans="1:8" x14ac:dyDescent="0.25">
      <c r="A67" s="60">
        <v>808012612</v>
      </c>
      <c r="B67" s="10" t="s">
        <v>52</v>
      </c>
      <c r="C67" s="61">
        <f>34336+(3*364-140)</f>
        <v>35288</v>
      </c>
      <c r="D67" s="62">
        <f t="shared" ca="1" si="1"/>
        <v>19</v>
      </c>
      <c r="E67" s="62"/>
      <c r="F67" s="63">
        <v>78715</v>
      </c>
      <c r="G67" s="64"/>
    </row>
    <row r="68" spans="1:8" x14ac:dyDescent="0.25">
      <c r="A68" s="60">
        <v>764375259</v>
      </c>
      <c r="B68" s="10" t="s">
        <v>35</v>
      </c>
      <c r="C68" s="61">
        <f>38729+(3*364-140)</f>
        <v>39681</v>
      </c>
      <c r="D68" s="62">
        <f t="shared" ca="1" si="1"/>
        <v>7</v>
      </c>
      <c r="E68" s="62" t="s">
        <v>24</v>
      </c>
      <c r="F68" s="63">
        <v>39455</v>
      </c>
      <c r="G68" s="64"/>
    </row>
    <row r="69" spans="1:8" x14ac:dyDescent="0.25">
      <c r="A69" s="60">
        <v>822974734</v>
      </c>
      <c r="B69" s="10" t="s">
        <v>37</v>
      </c>
      <c r="C69" s="61">
        <f>37165+(3*364-140)</f>
        <v>38117</v>
      </c>
      <c r="D69" s="62">
        <f t="shared" ca="1" si="1"/>
        <v>11</v>
      </c>
      <c r="E69" s="62"/>
      <c r="F69" s="63">
        <v>42973</v>
      </c>
      <c r="G69" s="64"/>
    </row>
    <row r="70" spans="1:8" x14ac:dyDescent="0.25">
      <c r="A70" s="60">
        <v>477110649</v>
      </c>
      <c r="B70" s="10" t="s">
        <v>43</v>
      </c>
      <c r="C70" s="61">
        <f>37721+(3*364-140)</f>
        <v>38673</v>
      </c>
      <c r="D70" s="62">
        <f t="shared" ca="1" si="1"/>
        <v>10</v>
      </c>
      <c r="E70" s="62" t="s">
        <v>28</v>
      </c>
      <c r="F70" s="63">
        <v>58695</v>
      </c>
      <c r="G70" s="64"/>
    </row>
    <row r="71" spans="1:8" x14ac:dyDescent="0.25">
      <c r="A71" s="60">
        <v>407299017</v>
      </c>
      <c r="B71" s="10" t="s">
        <v>42</v>
      </c>
      <c r="C71" s="61">
        <f>40571+(3*364-140)</f>
        <v>41523</v>
      </c>
      <c r="D71" s="62">
        <f t="shared" ca="1" si="1"/>
        <v>2</v>
      </c>
      <c r="E71" s="62"/>
      <c r="F71" s="63">
        <v>20467</v>
      </c>
      <c r="G71" s="64"/>
    </row>
    <row r="72" spans="1:8" x14ac:dyDescent="0.25">
      <c r="A72" s="60">
        <v>272036635</v>
      </c>
      <c r="B72" s="10" t="s">
        <v>38</v>
      </c>
      <c r="C72" s="61">
        <f>38561+(3*364-140)</f>
        <v>39513</v>
      </c>
      <c r="D72" s="62">
        <f t="shared" ca="1" si="1"/>
        <v>7</v>
      </c>
      <c r="E72" s="62" t="s">
        <v>24</v>
      </c>
      <c r="F72" s="63">
        <v>112489</v>
      </c>
      <c r="G72" s="64"/>
    </row>
    <row r="73" spans="1:8" x14ac:dyDescent="0.25">
      <c r="A73" s="60">
        <v>462995574</v>
      </c>
      <c r="B73" s="10" t="s">
        <v>44</v>
      </c>
      <c r="C73" s="61">
        <f>36779+(3*364-140)</f>
        <v>37731</v>
      </c>
      <c r="D73" s="62">
        <f t="shared" ca="1" si="1"/>
        <v>12</v>
      </c>
      <c r="E73" s="62" t="s">
        <v>24</v>
      </c>
      <c r="F73" s="63">
        <v>114712</v>
      </c>
      <c r="G73" s="64"/>
    </row>
    <row r="74" spans="1:8" x14ac:dyDescent="0.25">
      <c r="A74" s="60">
        <v>566726453</v>
      </c>
      <c r="B74" s="10" t="s">
        <v>44</v>
      </c>
      <c r="C74" s="61">
        <f>35698+(3*364-140)</f>
        <v>36650</v>
      </c>
      <c r="D74" s="62">
        <f t="shared" ca="1" si="1"/>
        <v>15</v>
      </c>
      <c r="E74" s="62" t="s">
        <v>28</v>
      </c>
      <c r="F74" s="63">
        <v>50622</v>
      </c>
      <c r="G74" s="64"/>
    </row>
    <row r="75" spans="1:8" x14ac:dyDescent="0.25">
      <c r="A75" s="60">
        <v>876777922</v>
      </c>
      <c r="B75" s="10" t="s">
        <v>44</v>
      </c>
      <c r="C75" s="61">
        <f>41127+(3*364-140)</f>
        <v>42079</v>
      </c>
      <c r="D75" s="62">
        <f t="shared" ca="1" si="1"/>
        <v>0</v>
      </c>
      <c r="E75" s="62"/>
      <c r="F75" s="63">
        <v>115492</v>
      </c>
      <c r="G75" s="64"/>
    </row>
    <row r="76" spans="1:8" x14ac:dyDescent="0.25">
      <c r="A76" s="60">
        <v>682907379</v>
      </c>
      <c r="B76" s="10" t="s">
        <v>44</v>
      </c>
      <c r="C76" s="61">
        <f>35989+(3*364-140)</f>
        <v>36941</v>
      </c>
      <c r="D76" s="62">
        <f t="shared" ca="1" si="1"/>
        <v>14</v>
      </c>
      <c r="E76" s="62" t="s">
        <v>26</v>
      </c>
      <c r="F76" s="63">
        <v>51376</v>
      </c>
      <c r="G76" s="64"/>
    </row>
    <row r="77" spans="1:8" x14ac:dyDescent="0.25">
      <c r="A77" s="60">
        <v>627678686</v>
      </c>
      <c r="B77" s="10" t="s">
        <v>37</v>
      </c>
      <c r="C77" s="61">
        <f>36183+(3*364-140)</f>
        <v>37135</v>
      </c>
      <c r="D77" s="62">
        <f t="shared" ca="1" si="1"/>
        <v>14</v>
      </c>
      <c r="E77" s="62"/>
      <c r="F77" s="63">
        <v>97162</v>
      </c>
      <c r="G77" s="64"/>
    </row>
    <row r="78" spans="1:8" x14ac:dyDescent="0.25">
      <c r="A78" s="60">
        <v>567266382</v>
      </c>
      <c r="B78" s="10" t="s">
        <v>47</v>
      </c>
      <c r="C78" s="61">
        <f>36794+(3*364-140)</f>
        <v>37746</v>
      </c>
      <c r="D78" s="62">
        <f t="shared" ca="1" si="1"/>
        <v>12</v>
      </c>
      <c r="E78" s="62" t="s">
        <v>34</v>
      </c>
      <c r="F78" s="63">
        <v>64701</v>
      </c>
      <c r="G78" s="64"/>
    </row>
    <row r="79" spans="1:8" x14ac:dyDescent="0.25">
      <c r="A79" s="60">
        <v>969216994</v>
      </c>
      <c r="B79" s="10" t="s">
        <v>44</v>
      </c>
      <c r="C79" s="61">
        <f>36961+(3*364-140)</f>
        <v>37913</v>
      </c>
      <c r="D79" s="62">
        <f t="shared" ca="1" si="1"/>
        <v>12</v>
      </c>
      <c r="E79" s="62"/>
      <c r="F79" s="63">
        <v>32669</v>
      </c>
      <c r="G79" s="64"/>
    </row>
    <row r="80" spans="1:8" x14ac:dyDescent="0.25">
      <c r="A80" s="60">
        <v>283476654</v>
      </c>
      <c r="B80" s="10" t="s">
        <v>54</v>
      </c>
      <c r="C80" s="61">
        <f>34359+(3*364-140)</f>
        <v>35311</v>
      </c>
      <c r="D80" s="62">
        <f t="shared" ca="1" si="1"/>
        <v>19</v>
      </c>
      <c r="E80" s="62" t="s">
        <v>28</v>
      </c>
      <c r="F80" s="63">
        <v>60515</v>
      </c>
      <c r="G80" s="64"/>
    </row>
    <row r="81" spans="1:8" x14ac:dyDescent="0.25">
      <c r="A81" s="60">
        <v>466400098</v>
      </c>
      <c r="B81" s="10" t="s">
        <v>47</v>
      </c>
      <c r="C81" s="61">
        <f>34732+(3*364-140)</f>
        <v>35684</v>
      </c>
      <c r="D81" s="62">
        <f t="shared" ca="1" si="1"/>
        <v>18</v>
      </c>
      <c r="E81" s="62"/>
      <c r="F81" s="63">
        <v>37700</v>
      </c>
      <c r="G81" s="64"/>
    </row>
    <row r="82" spans="1:8" x14ac:dyDescent="0.25">
      <c r="A82" s="60">
        <v>858800513</v>
      </c>
      <c r="B82" s="10" t="s">
        <v>44</v>
      </c>
      <c r="C82" s="61">
        <f>39990+(3*364-140)</f>
        <v>40942</v>
      </c>
      <c r="D82" s="62">
        <f t="shared" ca="1" si="1"/>
        <v>3</v>
      </c>
      <c r="E82" s="62" t="s">
        <v>28</v>
      </c>
      <c r="F82" s="63">
        <v>92339</v>
      </c>
      <c r="G82" s="64"/>
    </row>
    <row r="83" spans="1:8" s="50" customFormat="1" x14ac:dyDescent="0.25">
      <c r="A83" s="60">
        <v>619465100</v>
      </c>
      <c r="B83" s="10" t="s">
        <v>50</v>
      </c>
      <c r="C83" s="61">
        <f>39594+(3*364-140)</f>
        <v>40546</v>
      </c>
      <c r="D83" s="62">
        <f t="shared" ca="1" si="1"/>
        <v>4</v>
      </c>
      <c r="E83" s="62" t="s">
        <v>28</v>
      </c>
      <c r="F83" s="63">
        <v>35828</v>
      </c>
      <c r="G83" s="64"/>
      <c r="H83" s="59"/>
    </row>
    <row r="84" spans="1:8" s="50" customFormat="1" x14ac:dyDescent="0.25">
      <c r="A84" s="60">
        <v>292993080</v>
      </c>
      <c r="B84" s="10" t="s">
        <v>44</v>
      </c>
      <c r="C84" s="61">
        <f>40133+(3*364-140)</f>
        <v>41085</v>
      </c>
      <c r="D84" s="62">
        <f t="shared" ca="1" si="1"/>
        <v>3</v>
      </c>
      <c r="E84" s="62" t="s">
        <v>33</v>
      </c>
      <c r="F84" s="63">
        <v>77246</v>
      </c>
      <c r="G84" s="64"/>
      <c r="H84" s="59"/>
    </row>
    <row r="85" spans="1:8" s="50" customFormat="1" x14ac:dyDescent="0.25">
      <c r="A85" s="60">
        <v>895408697</v>
      </c>
      <c r="B85" s="10" t="s">
        <v>47</v>
      </c>
      <c r="C85" s="61">
        <f>39835+(3*364-140)</f>
        <v>40787</v>
      </c>
      <c r="D85" s="62">
        <f t="shared" ca="1" si="1"/>
        <v>4</v>
      </c>
      <c r="E85" s="62" t="s">
        <v>33</v>
      </c>
      <c r="F85" s="63">
        <v>61893</v>
      </c>
      <c r="G85" s="64"/>
      <c r="H85" s="59"/>
    </row>
    <row r="86" spans="1:8" s="50" customFormat="1" x14ac:dyDescent="0.25">
      <c r="A86" s="60">
        <v>581823751</v>
      </c>
      <c r="B86" s="10" t="s">
        <v>40</v>
      </c>
      <c r="C86" s="61">
        <f>38345+(3*364-140)</f>
        <v>39297</v>
      </c>
      <c r="D86" s="62">
        <f t="shared" ca="1" si="1"/>
        <v>8</v>
      </c>
      <c r="E86" s="62"/>
      <c r="F86" s="63">
        <v>95407</v>
      </c>
      <c r="G86" s="64"/>
      <c r="H86" s="59"/>
    </row>
    <row r="87" spans="1:8" s="50" customFormat="1" x14ac:dyDescent="0.25">
      <c r="A87" s="60">
        <v>157257652</v>
      </c>
      <c r="B87" s="10" t="s">
        <v>47</v>
      </c>
      <c r="C87" s="61">
        <f>37381+(3*364-140)</f>
        <v>38333</v>
      </c>
      <c r="D87" s="62">
        <f t="shared" ca="1" si="1"/>
        <v>10</v>
      </c>
      <c r="E87" s="62"/>
      <c r="F87" s="63">
        <v>65260</v>
      </c>
      <c r="G87" s="64"/>
      <c r="H87" s="59"/>
    </row>
    <row r="88" spans="1:8" s="50" customFormat="1" x14ac:dyDescent="0.25">
      <c r="A88" s="60">
        <v>355985853</v>
      </c>
      <c r="B88" s="10" t="s">
        <v>47</v>
      </c>
      <c r="C88" s="61">
        <f>36975+(3*364-140)</f>
        <v>37927</v>
      </c>
      <c r="D88" s="62">
        <f t="shared" ca="1" si="1"/>
        <v>12</v>
      </c>
      <c r="E88" s="62" t="s">
        <v>24</v>
      </c>
      <c r="F88" s="63">
        <v>59839</v>
      </c>
      <c r="G88" s="64"/>
      <c r="H88" s="59"/>
    </row>
    <row r="89" spans="1:8" s="50" customFormat="1" x14ac:dyDescent="0.25">
      <c r="A89" s="60">
        <v>990843236</v>
      </c>
      <c r="B89" s="10" t="s">
        <v>52</v>
      </c>
      <c r="C89" s="61">
        <f>39725+(3*364-140)</f>
        <v>40677</v>
      </c>
      <c r="D89" s="62">
        <f t="shared" ca="1" si="1"/>
        <v>4</v>
      </c>
      <c r="E89" s="62" t="s">
        <v>33</v>
      </c>
      <c r="F89" s="63">
        <v>85644</v>
      </c>
      <c r="G89" s="64"/>
      <c r="H89" s="59"/>
    </row>
    <row r="90" spans="1:8" s="50" customFormat="1" x14ac:dyDescent="0.25">
      <c r="A90" s="60">
        <v>120224342</v>
      </c>
      <c r="B90" s="10" t="s">
        <v>54</v>
      </c>
      <c r="C90" s="61">
        <f>37136+(3*364-140)</f>
        <v>38088</v>
      </c>
      <c r="D90" s="62">
        <f t="shared" ca="1" si="1"/>
        <v>11</v>
      </c>
      <c r="E90" s="62"/>
      <c r="F90" s="63">
        <v>42297</v>
      </c>
      <c r="G90" s="64"/>
      <c r="H90" s="59"/>
    </row>
    <row r="91" spans="1:8" s="50" customFormat="1" x14ac:dyDescent="0.25">
      <c r="A91" s="60">
        <v>294161481</v>
      </c>
      <c r="B91" s="10" t="s">
        <v>47</v>
      </c>
      <c r="C91" s="61">
        <f>36772+(3*364-140)</f>
        <v>37724</v>
      </c>
      <c r="D91" s="62">
        <f t="shared" ca="1" si="1"/>
        <v>12</v>
      </c>
      <c r="E91" s="62" t="s">
        <v>24</v>
      </c>
      <c r="F91" s="63">
        <v>62251</v>
      </c>
      <c r="G91" s="64"/>
      <c r="H91" s="59"/>
    </row>
    <row r="92" spans="1:8" s="50" customFormat="1" x14ac:dyDescent="0.25">
      <c r="A92" s="60">
        <v>999156829</v>
      </c>
      <c r="B92" s="10" t="s">
        <v>47</v>
      </c>
      <c r="C92" s="61">
        <f>41125+(3*364-140)</f>
        <v>42077</v>
      </c>
      <c r="D92" s="62">
        <f t="shared" ca="1" si="1"/>
        <v>0</v>
      </c>
      <c r="E92" s="62" t="s">
        <v>24</v>
      </c>
      <c r="F92" s="63">
        <v>44161</v>
      </c>
      <c r="G92" s="64"/>
      <c r="H92" s="59"/>
    </row>
    <row r="93" spans="1:8" s="50" customFormat="1" x14ac:dyDescent="0.25">
      <c r="A93" s="60">
        <v>278129861</v>
      </c>
      <c r="B93" s="10" t="s">
        <v>52</v>
      </c>
      <c r="C93" s="61">
        <f>41082+(3*364-140)</f>
        <v>42034</v>
      </c>
      <c r="D93" s="62">
        <f t="shared" ca="1" si="1"/>
        <v>0</v>
      </c>
      <c r="E93" s="62"/>
      <c r="F93" s="63">
        <v>51415</v>
      </c>
      <c r="G93" s="64"/>
      <c r="H93" s="59"/>
    </row>
    <row r="94" spans="1:8" s="50" customFormat="1" x14ac:dyDescent="0.25">
      <c r="A94" s="60">
        <v>424800509</v>
      </c>
      <c r="B94" s="10" t="s">
        <v>47</v>
      </c>
      <c r="C94" s="61">
        <f>37141+(3*364-140)</f>
        <v>38093</v>
      </c>
      <c r="D94" s="62">
        <f t="shared" ca="1" si="1"/>
        <v>11</v>
      </c>
      <c r="E94" s="62" t="s">
        <v>24</v>
      </c>
      <c r="F94" s="63">
        <v>57486</v>
      </c>
      <c r="G94" s="64"/>
      <c r="H94" s="59"/>
    </row>
    <row r="95" spans="1:8" s="50" customFormat="1" x14ac:dyDescent="0.25">
      <c r="A95" s="60">
        <v>276980518</v>
      </c>
      <c r="B95" s="10" t="s">
        <v>44</v>
      </c>
      <c r="C95" s="61">
        <f>39510+(3*364-140)</f>
        <v>40462</v>
      </c>
      <c r="D95" s="62">
        <f t="shared" ca="1" si="1"/>
        <v>5</v>
      </c>
      <c r="E95" s="62" t="s">
        <v>34</v>
      </c>
      <c r="F95" s="63">
        <v>38246</v>
      </c>
      <c r="G95" s="64"/>
      <c r="H95" s="59"/>
    </row>
    <row r="96" spans="1:8" s="50" customFormat="1" x14ac:dyDescent="0.25">
      <c r="A96" s="60">
        <v>338977629</v>
      </c>
      <c r="B96" s="10" t="s">
        <v>44</v>
      </c>
      <c r="C96" s="61">
        <f>36479+(3*364-140)</f>
        <v>37431</v>
      </c>
      <c r="D96" s="62">
        <f t="shared" ca="1" si="1"/>
        <v>13</v>
      </c>
      <c r="E96" s="62" t="s">
        <v>24</v>
      </c>
      <c r="F96" s="63">
        <v>102141</v>
      </c>
      <c r="G96" s="64"/>
      <c r="H96" s="59"/>
    </row>
    <row r="97" spans="1:8" s="50" customFormat="1" x14ac:dyDescent="0.25">
      <c r="A97" s="60">
        <v>491830893</v>
      </c>
      <c r="B97" s="10" t="s">
        <v>53</v>
      </c>
      <c r="C97" s="61">
        <f>40756+(3*364-140)</f>
        <v>41708</v>
      </c>
      <c r="D97" s="62">
        <f t="shared" ca="1" si="1"/>
        <v>1</v>
      </c>
      <c r="E97" s="62" t="s">
        <v>33</v>
      </c>
      <c r="F97" s="63">
        <v>30147</v>
      </c>
      <c r="G97" s="64"/>
      <c r="H97" s="59"/>
    </row>
    <row r="98" spans="1:8" s="50" customFormat="1" x14ac:dyDescent="0.25">
      <c r="A98" s="60">
        <v>622200296</v>
      </c>
      <c r="B98" s="10" t="s">
        <v>53</v>
      </c>
      <c r="C98" s="61">
        <f>34363+(3*364-140)</f>
        <v>35315</v>
      </c>
      <c r="D98" s="62">
        <f t="shared" ca="1" si="1"/>
        <v>19</v>
      </c>
      <c r="E98" s="62" t="s">
        <v>24</v>
      </c>
      <c r="F98" s="63">
        <v>85242</v>
      </c>
      <c r="G98" s="64"/>
      <c r="H98" s="59"/>
    </row>
    <row r="99" spans="1:8" s="50" customFormat="1" x14ac:dyDescent="0.25">
      <c r="A99" s="60">
        <v>593584018</v>
      </c>
      <c r="B99" s="10" t="s">
        <v>53</v>
      </c>
      <c r="C99" s="61">
        <f>34132+(3*364-140)</f>
        <v>35084</v>
      </c>
      <c r="D99" s="62">
        <f t="shared" ca="1" si="1"/>
        <v>19</v>
      </c>
      <c r="E99" s="62" t="s">
        <v>24</v>
      </c>
      <c r="F99" s="63">
        <v>88296</v>
      </c>
      <c r="G99" s="64"/>
      <c r="H99" s="59"/>
    </row>
    <row r="100" spans="1:8" s="50" customFormat="1" x14ac:dyDescent="0.25">
      <c r="A100" s="60">
        <v>426014550</v>
      </c>
      <c r="B100" s="10" t="s">
        <v>53</v>
      </c>
      <c r="C100" s="61">
        <f>36129+(3*364-140)</f>
        <v>37081</v>
      </c>
      <c r="D100" s="62">
        <f t="shared" ca="1" si="1"/>
        <v>14</v>
      </c>
      <c r="E100" s="62" t="s">
        <v>34</v>
      </c>
      <c r="F100" s="63">
        <v>81855</v>
      </c>
      <c r="G100" s="64"/>
      <c r="H100" s="59"/>
    </row>
    <row r="101" spans="1:8" s="50" customFormat="1" x14ac:dyDescent="0.25">
      <c r="A101" s="60">
        <v>332302868</v>
      </c>
      <c r="B101" s="10" t="s">
        <v>48</v>
      </c>
      <c r="C101" s="61">
        <f>36853+(3*364-140)</f>
        <v>37805</v>
      </c>
      <c r="D101" s="62">
        <f t="shared" ca="1" si="1"/>
        <v>12</v>
      </c>
      <c r="E101" s="62" t="s">
        <v>33</v>
      </c>
      <c r="F101" s="63">
        <v>30576</v>
      </c>
      <c r="G101" s="64"/>
      <c r="H101" s="59"/>
    </row>
    <row r="102" spans="1:8" s="50" customFormat="1" x14ac:dyDescent="0.25">
      <c r="A102" s="60">
        <v>484217278</v>
      </c>
      <c r="B102" s="10" t="s">
        <v>44</v>
      </c>
      <c r="C102" s="61">
        <f>40425+(3*364-140)</f>
        <v>41377</v>
      </c>
      <c r="D102" s="62">
        <f t="shared" ca="1" si="1"/>
        <v>2</v>
      </c>
      <c r="E102" s="62"/>
      <c r="F102" s="63">
        <v>41232</v>
      </c>
      <c r="G102" s="64"/>
      <c r="H102" s="59"/>
    </row>
    <row r="103" spans="1:8" s="50" customFormat="1" x14ac:dyDescent="0.25">
      <c r="A103" s="60">
        <v>513140687</v>
      </c>
      <c r="B103" s="10" t="s">
        <v>37</v>
      </c>
      <c r="C103" s="61">
        <f>33906+(3*364-140)</f>
        <v>34858</v>
      </c>
      <c r="D103" s="62">
        <f t="shared" ca="1" si="1"/>
        <v>20</v>
      </c>
      <c r="E103" s="62"/>
      <c r="F103" s="63">
        <v>55822</v>
      </c>
      <c r="G103" s="64"/>
      <c r="H103" s="59"/>
    </row>
    <row r="104" spans="1:8" s="50" customFormat="1" x14ac:dyDescent="0.25">
      <c r="A104" s="60">
        <v>324069262</v>
      </c>
      <c r="B104" s="10" t="s">
        <v>54</v>
      </c>
      <c r="C104" s="61">
        <f>35212+(3*364-140)</f>
        <v>36164</v>
      </c>
      <c r="D104" s="62">
        <f t="shared" ca="1" si="1"/>
        <v>16</v>
      </c>
      <c r="E104" s="62"/>
      <c r="F104" s="63">
        <v>58637</v>
      </c>
      <c r="G104" s="64"/>
      <c r="H104" s="59"/>
    </row>
    <row r="105" spans="1:8" s="50" customFormat="1" x14ac:dyDescent="0.25">
      <c r="A105" s="60">
        <v>452692136</v>
      </c>
      <c r="B105" s="10" t="s">
        <v>39</v>
      </c>
      <c r="C105" s="61">
        <f>36192+(3*364-140)</f>
        <v>37144</v>
      </c>
      <c r="D105" s="62">
        <f t="shared" ca="1" si="1"/>
        <v>14</v>
      </c>
      <c r="E105" s="62" t="s">
        <v>26</v>
      </c>
      <c r="F105" s="63">
        <v>34463</v>
      </c>
      <c r="G105" s="64"/>
      <c r="H105" s="59"/>
    </row>
    <row r="106" spans="1:8" s="50" customFormat="1" x14ac:dyDescent="0.25">
      <c r="A106" s="60">
        <v>667812117</v>
      </c>
      <c r="B106" s="10" t="s">
        <v>37</v>
      </c>
      <c r="C106" s="61">
        <f>34424+(3*364-140)</f>
        <v>35376</v>
      </c>
      <c r="D106" s="62">
        <f t="shared" ca="1" si="1"/>
        <v>19</v>
      </c>
      <c r="E106" s="62" t="s">
        <v>28</v>
      </c>
      <c r="F106" s="63">
        <v>41379</v>
      </c>
      <c r="G106" s="64"/>
      <c r="H106" s="59"/>
    </row>
    <row r="107" spans="1:8" s="50" customFormat="1" x14ac:dyDescent="0.25">
      <c r="A107" s="60">
        <v>210491464</v>
      </c>
      <c r="B107" s="10" t="s">
        <v>54</v>
      </c>
      <c r="C107" s="61">
        <f>40280+(3*364-140)</f>
        <v>41232</v>
      </c>
      <c r="D107" s="62">
        <f t="shared" ca="1" si="1"/>
        <v>3</v>
      </c>
      <c r="E107" s="62" t="s">
        <v>24</v>
      </c>
      <c r="F107" s="63">
        <v>103194</v>
      </c>
      <c r="G107" s="64"/>
      <c r="H107" s="59"/>
    </row>
    <row r="108" spans="1:8" s="50" customFormat="1" x14ac:dyDescent="0.25">
      <c r="A108" s="60">
        <v>324622113</v>
      </c>
      <c r="B108" s="10" t="s">
        <v>39</v>
      </c>
      <c r="C108" s="61">
        <f>41194+(3*364-140)</f>
        <v>42146</v>
      </c>
      <c r="D108" s="62">
        <f t="shared" ca="1" si="1"/>
        <v>0</v>
      </c>
      <c r="E108" s="62" t="s">
        <v>33</v>
      </c>
      <c r="F108" s="63">
        <v>37213</v>
      </c>
      <c r="G108" s="64"/>
      <c r="H108" s="59"/>
    </row>
    <row r="109" spans="1:8" s="50" customFormat="1" x14ac:dyDescent="0.25">
      <c r="A109" s="60">
        <v>577239513</v>
      </c>
      <c r="B109" s="10" t="s">
        <v>50</v>
      </c>
      <c r="C109" s="61">
        <f>35811+(3*364-140)</f>
        <v>36763</v>
      </c>
      <c r="D109" s="62">
        <f t="shared" ca="1" si="1"/>
        <v>15</v>
      </c>
      <c r="E109" s="62" t="s">
        <v>33</v>
      </c>
      <c r="F109" s="63">
        <v>82004</v>
      </c>
      <c r="G109" s="64"/>
      <c r="H109" s="59"/>
    </row>
    <row r="110" spans="1:8" s="50" customFormat="1" x14ac:dyDescent="0.25">
      <c r="A110" s="60">
        <v>412611335</v>
      </c>
      <c r="B110" s="10" t="s">
        <v>44</v>
      </c>
      <c r="C110" s="61">
        <f>39185+(3*364-140)</f>
        <v>40137</v>
      </c>
      <c r="D110" s="62">
        <f t="shared" ca="1" si="1"/>
        <v>6</v>
      </c>
      <c r="E110" s="62"/>
      <c r="F110" s="63">
        <v>53222</v>
      </c>
      <c r="G110" s="64"/>
      <c r="H110" s="59"/>
    </row>
    <row r="111" spans="1:8" s="50" customFormat="1" x14ac:dyDescent="0.25">
      <c r="A111" s="60">
        <v>125540405</v>
      </c>
      <c r="B111" s="10" t="s">
        <v>53</v>
      </c>
      <c r="C111" s="61">
        <f>36923+(3*364-140)</f>
        <v>37875</v>
      </c>
      <c r="D111" s="62">
        <f t="shared" ca="1" si="1"/>
        <v>12</v>
      </c>
      <c r="E111" s="62" t="s">
        <v>24</v>
      </c>
      <c r="F111" s="63">
        <v>75933</v>
      </c>
      <c r="G111" s="64"/>
      <c r="H111" s="59"/>
    </row>
    <row r="112" spans="1:8" s="50" customFormat="1" x14ac:dyDescent="0.25">
      <c r="A112" s="60">
        <v>135965371</v>
      </c>
      <c r="B112" s="10" t="s">
        <v>44</v>
      </c>
      <c r="C112" s="61">
        <f>38614+(3*364-140)</f>
        <v>39566</v>
      </c>
      <c r="D112" s="62">
        <f t="shared" ca="1" si="1"/>
        <v>7</v>
      </c>
      <c r="E112" s="62" t="s">
        <v>33</v>
      </c>
      <c r="F112" s="63">
        <v>40196</v>
      </c>
      <c r="G112" s="64"/>
      <c r="H112" s="59"/>
    </row>
    <row r="113" spans="1:8" s="50" customFormat="1" x14ac:dyDescent="0.25">
      <c r="A113" s="60">
        <v>476243591</v>
      </c>
      <c r="B113" s="10" t="s">
        <v>52</v>
      </c>
      <c r="C113" s="61">
        <f>35667+(3*364-140)</f>
        <v>36619</v>
      </c>
      <c r="D113" s="62">
        <f t="shared" ca="1" si="1"/>
        <v>15</v>
      </c>
      <c r="E113" s="62" t="s">
        <v>24</v>
      </c>
      <c r="F113" s="63">
        <v>65741</v>
      </c>
      <c r="G113" s="64"/>
      <c r="H113" s="59"/>
    </row>
    <row r="114" spans="1:8" s="50" customFormat="1" x14ac:dyDescent="0.25">
      <c r="A114" s="60">
        <v>992674973</v>
      </c>
      <c r="B114" s="10" t="s">
        <v>54</v>
      </c>
      <c r="C114" s="61">
        <f>35730+(3*364-140)</f>
        <v>36682</v>
      </c>
      <c r="D114" s="62">
        <f t="shared" ca="1" si="1"/>
        <v>15</v>
      </c>
      <c r="E114" s="62" t="s">
        <v>26</v>
      </c>
      <c r="F114" s="63">
        <v>84214</v>
      </c>
      <c r="G114" s="64"/>
      <c r="H114" s="59"/>
    </row>
    <row r="115" spans="1:8" x14ac:dyDescent="0.25">
      <c r="A115" s="60">
        <v>428024993</v>
      </c>
      <c r="B115" s="10" t="s">
        <v>44</v>
      </c>
      <c r="C115" s="61">
        <f>34452+(3*364-140)</f>
        <v>35404</v>
      </c>
      <c r="D115" s="62">
        <f t="shared" ca="1" si="1"/>
        <v>19</v>
      </c>
      <c r="E115" s="62"/>
      <c r="F115" s="63">
        <v>41847</v>
      </c>
      <c r="G115" s="64"/>
    </row>
    <row r="116" spans="1:8" x14ac:dyDescent="0.25">
      <c r="A116" s="60">
        <v>934447306</v>
      </c>
      <c r="B116" s="10" t="s">
        <v>50</v>
      </c>
      <c r="C116" s="61">
        <f>34789+(3*364-140)</f>
        <v>35741</v>
      </c>
      <c r="D116" s="62">
        <f t="shared" ca="1" si="1"/>
        <v>18</v>
      </c>
      <c r="E116" s="62" t="s">
        <v>33</v>
      </c>
      <c r="F116" s="63">
        <v>94939</v>
      </c>
      <c r="G116" s="64"/>
    </row>
    <row r="117" spans="1:8" x14ac:dyDescent="0.25">
      <c r="A117" s="60">
        <v>168147877</v>
      </c>
      <c r="B117" s="10" t="s">
        <v>47</v>
      </c>
      <c r="C117" s="61">
        <f>37819+(3*364-140)</f>
        <v>38771</v>
      </c>
      <c r="D117" s="62">
        <f t="shared" ca="1" si="1"/>
        <v>9</v>
      </c>
      <c r="E117" s="62" t="s">
        <v>34</v>
      </c>
      <c r="F117" s="63">
        <v>20683</v>
      </c>
      <c r="G117" s="64"/>
    </row>
    <row r="118" spans="1:8" x14ac:dyDescent="0.25">
      <c r="A118" s="60">
        <v>387131597</v>
      </c>
      <c r="B118" s="10" t="s">
        <v>52</v>
      </c>
      <c r="C118" s="61">
        <f>34193+(3*364-140)</f>
        <v>35145</v>
      </c>
      <c r="D118" s="62">
        <f t="shared" ca="1" si="1"/>
        <v>19</v>
      </c>
      <c r="E118" s="62"/>
      <c r="F118" s="63">
        <v>68575</v>
      </c>
      <c r="G118" s="64"/>
    </row>
    <row r="119" spans="1:8" x14ac:dyDescent="0.25">
      <c r="A119" s="60">
        <v>542214575</v>
      </c>
      <c r="B119" s="10" t="s">
        <v>50</v>
      </c>
      <c r="C119" s="61">
        <f>35380+(3*364-140)</f>
        <v>36332</v>
      </c>
      <c r="D119" s="62">
        <f t="shared" ca="1" si="1"/>
        <v>16</v>
      </c>
      <c r="E119" s="62" t="s">
        <v>24</v>
      </c>
      <c r="F119" s="63">
        <v>113139</v>
      </c>
      <c r="G119" s="64"/>
    </row>
    <row r="120" spans="1:8" x14ac:dyDescent="0.25">
      <c r="A120" s="60">
        <v>171868795</v>
      </c>
      <c r="B120" s="10" t="s">
        <v>42</v>
      </c>
      <c r="C120" s="61">
        <f>33757+(3*364-140)</f>
        <v>34709</v>
      </c>
      <c r="D120" s="62">
        <f t="shared" ca="1" si="1"/>
        <v>20</v>
      </c>
      <c r="E120" s="62" t="s">
        <v>34</v>
      </c>
      <c r="F120" s="63">
        <v>42068</v>
      </c>
      <c r="G120" s="64"/>
    </row>
    <row r="121" spans="1:8" x14ac:dyDescent="0.25">
      <c r="A121" s="60">
        <v>914330398</v>
      </c>
      <c r="B121" s="10" t="s">
        <v>44</v>
      </c>
      <c r="C121" s="61">
        <f>39499+(3*364-140)</f>
        <v>40451</v>
      </c>
      <c r="D121" s="62">
        <f t="shared" ca="1" si="1"/>
        <v>5</v>
      </c>
      <c r="E121" s="62" t="s">
        <v>33</v>
      </c>
      <c r="F121" s="63">
        <v>85436</v>
      </c>
      <c r="G121" s="64"/>
    </row>
    <row r="122" spans="1:8" x14ac:dyDescent="0.25">
      <c r="A122" s="60">
        <v>696435191</v>
      </c>
      <c r="B122" s="10" t="s">
        <v>44</v>
      </c>
      <c r="C122" s="61">
        <f>36269+(3*364-140)</f>
        <v>37221</v>
      </c>
      <c r="D122" s="62">
        <f t="shared" ca="1" si="1"/>
        <v>14</v>
      </c>
      <c r="E122" s="62" t="s">
        <v>33</v>
      </c>
      <c r="F122" s="63">
        <v>79495</v>
      </c>
      <c r="G122" s="64"/>
    </row>
    <row r="123" spans="1:8" x14ac:dyDescent="0.25">
      <c r="A123" s="60">
        <v>665006199</v>
      </c>
      <c r="B123" s="10" t="s">
        <v>48</v>
      </c>
      <c r="C123" s="61">
        <f>37245+(3*364-140)</f>
        <v>38197</v>
      </c>
      <c r="D123" s="62">
        <f t="shared" ca="1" si="1"/>
        <v>11</v>
      </c>
      <c r="E123" s="62" t="s">
        <v>34</v>
      </c>
      <c r="F123" s="63">
        <v>59085</v>
      </c>
      <c r="G123" s="64"/>
    </row>
    <row r="124" spans="1:8" x14ac:dyDescent="0.25">
      <c r="A124" s="60">
        <v>550291321</v>
      </c>
      <c r="B124" s="10" t="s">
        <v>48</v>
      </c>
      <c r="C124" s="61">
        <f>36725+(3*364-140)</f>
        <v>37677</v>
      </c>
      <c r="D124" s="62">
        <f t="shared" ca="1" si="1"/>
        <v>12</v>
      </c>
      <c r="E124" s="62"/>
      <c r="F124" s="63">
        <v>94224</v>
      </c>
      <c r="G124" s="64"/>
    </row>
    <row r="125" spans="1:8" x14ac:dyDescent="0.25">
      <c r="A125" s="60">
        <v>230192897</v>
      </c>
      <c r="B125" s="10" t="s">
        <v>54</v>
      </c>
      <c r="C125" s="61">
        <f>40119+(3*364-140)</f>
        <v>41071</v>
      </c>
      <c r="D125" s="62">
        <f t="shared" ca="1" si="1"/>
        <v>3</v>
      </c>
      <c r="E125" s="62" t="s">
        <v>28</v>
      </c>
      <c r="F125" s="63">
        <v>89518</v>
      </c>
      <c r="G125" s="64"/>
    </row>
    <row r="126" spans="1:8" x14ac:dyDescent="0.25">
      <c r="A126" s="60">
        <v>360904659</v>
      </c>
      <c r="B126" s="10" t="s">
        <v>51</v>
      </c>
      <c r="C126" s="61">
        <f>34266+(3*364-140)</f>
        <v>35218</v>
      </c>
      <c r="D126" s="62">
        <f t="shared" ca="1" si="1"/>
        <v>19</v>
      </c>
      <c r="E126" s="62" t="s">
        <v>33</v>
      </c>
      <c r="F126" s="63">
        <v>58006</v>
      </c>
      <c r="G126" s="64"/>
    </row>
    <row r="127" spans="1:8" x14ac:dyDescent="0.25">
      <c r="A127" s="60">
        <v>995858336</v>
      </c>
      <c r="B127" s="10" t="s">
        <v>44</v>
      </c>
      <c r="C127" s="61">
        <f>41148+(3*364-140)</f>
        <v>42100</v>
      </c>
      <c r="D127" s="62">
        <f t="shared" ca="1" si="1"/>
        <v>0</v>
      </c>
      <c r="E127" s="62"/>
      <c r="F127" s="63">
        <v>49192</v>
      </c>
      <c r="G127" s="64"/>
    </row>
    <row r="128" spans="1:8" x14ac:dyDescent="0.25">
      <c r="A128" s="60">
        <v>414905182</v>
      </c>
      <c r="B128" s="10" t="s">
        <v>48</v>
      </c>
      <c r="C128" s="61">
        <f>35799+(3*364-140)</f>
        <v>36751</v>
      </c>
      <c r="D128" s="62">
        <f t="shared" ca="1" si="1"/>
        <v>15</v>
      </c>
      <c r="E128" s="62" t="s">
        <v>33</v>
      </c>
      <c r="F128" s="63">
        <v>29718</v>
      </c>
      <c r="G128" s="64"/>
    </row>
    <row r="129" spans="1:7" x14ac:dyDescent="0.25">
      <c r="A129" s="60">
        <v>308317457</v>
      </c>
      <c r="B129" s="10" t="s">
        <v>54</v>
      </c>
      <c r="C129" s="61">
        <f>41358+(3*364-140)</f>
        <v>42310</v>
      </c>
      <c r="D129" s="62">
        <f t="shared" ca="1" si="1"/>
        <v>0</v>
      </c>
      <c r="E129" s="62" t="s">
        <v>24</v>
      </c>
      <c r="F129" s="63">
        <v>29939</v>
      </c>
      <c r="G129" s="64"/>
    </row>
    <row r="130" spans="1:7" x14ac:dyDescent="0.25">
      <c r="A130" s="60">
        <v>824046378</v>
      </c>
      <c r="B130" s="10" t="s">
        <v>50</v>
      </c>
      <c r="C130" s="61">
        <f>36057+(3*364-140)</f>
        <v>37009</v>
      </c>
      <c r="D130" s="62">
        <f t="shared" ref="D130:D193" ca="1" si="2">DATEDIF(C130,TODAY(),"Y")</f>
        <v>14</v>
      </c>
      <c r="E130" s="62" t="s">
        <v>34</v>
      </c>
      <c r="F130" s="63">
        <v>87399</v>
      </c>
      <c r="G130" s="64"/>
    </row>
    <row r="131" spans="1:7" x14ac:dyDescent="0.25">
      <c r="A131" s="60">
        <v>932787692</v>
      </c>
      <c r="B131" s="10" t="s">
        <v>42</v>
      </c>
      <c r="C131" s="61">
        <f>34839+(3*364-140)</f>
        <v>35791</v>
      </c>
      <c r="D131" s="62">
        <f t="shared" ca="1" si="2"/>
        <v>17</v>
      </c>
      <c r="E131" s="62"/>
      <c r="F131" s="63">
        <v>83317</v>
      </c>
      <c r="G131" s="64"/>
    </row>
    <row r="132" spans="1:7" x14ac:dyDescent="0.25">
      <c r="A132" s="60">
        <v>797985708</v>
      </c>
      <c r="B132" s="10" t="s">
        <v>55</v>
      </c>
      <c r="C132" s="61">
        <f>37751+(3*364-140)</f>
        <v>38703</v>
      </c>
      <c r="D132" s="62">
        <f t="shared" ca="1" si="2"/>
        <v>9</v>
      </c>
      <c r="E132" s="62" t="s">
        <v>34</v>
      </c>
      <c r="F132" s="63">
        <v>52884</v>
      </c>
      <c r="G132" s="64"/>
    </row>
    <row r="133" spans="1:7" x14ac:dyDescent="0.25">
      <c r="A133" s="60">
        <v>555025137</v>
      </c>
      <c r="B133" s="10" t="s">
        <v>47</v>
      </c>
      <c r="C133" s="61">
        <f>33997+(3*364-140)</f>
        <v>34949</v>
      </c>
      <c r="D133" s="62">
        <f t="shared" ca="1" si="2"/>
        <v>20</v>
      </c>
      <c r="E133" s="62" t="s">
        <v>26</v>
      </c>
      <c r="F133" s="63">
        <v>51051</v>
      </c>
      <c r="G133" s="64"/>
    </row>
    <row r="134" spans="1:7" x14ac:dyDescent="0.25">
      <c r="A134" s="60">
        <v>147683641</v>
      </c>
      <c r="B134" s="10" t="s">
        <v>54</v>
      </c>
      <c r="C134" s="61">
        <f>41012+(3*364-140)</f>
        <v>41964</v>
      </c>
      <c r="D134" s="62">
        <f t="shared" ca="1" si="2"/>
        <v>1</v>
      </c>
      <c r="E134" s="62"/>
      <c r="F134" s="63">
        <v>61464</v>
      </c>
      <c r="G134" s="64"/>
    </row>
    <row r="135" spans="1:7" x14ac:dyDescent="0.25">
      <c r="A135" s="60">
        <v>855135948</v>
      </c>
      <c r="B135" s="10" t="s">
        <v>53</v>
      </c>
      <c r="C135" s="61">
        <f>40493+(3*364-140)</f>
        <v>41445</v>
      </c>
      <c r="D135" s="62">
        <f t="shared" ca="1" si="2"/>
        <v>2</v>
      </c>
      <c r="E135" s="62" t="s">
        <v>33</v>
      </c>
      <c r="F135" s="63">
        <v>93678</v>
      </c>
      <c r="G135" s="64"/>
    </row>
    <row r="136" spans="1:7" x14ac:dyDescent="0.25">
      <c r="A136" s="60">
        <v>290385638</v>
      </c>
      <c r="B136" s="10" t="s">
        <v>50</v>
      </c>
      <c r="C136" s="61">
        <f>34180+(3*364-140)</f>
        <v>35132</v>
      </c>
      <c r="D136" s="62">
        <f t="shared" ca="1" si="2"/>
        <v>19</v>
      </c>
      <c r="E136" s="62" t="s">
        <v>28</v>
      </c>
      <c r="F136" s="63">
        <v>45559</v>
      </c>
      <c r="G136" s="64"/>
    </row>
    <row r="137" spans="1:7" x14ac:dyDescent="0.25">
      <c r="A137" s="60">
        <v>444159297</v>
      </c>
      <c r="B137" s="10" t="s">
        <v>51</v>
      </c>
      <c r="C137" s="61">
        <f>34214+(3*364-140)</f>
        <v>35166</v>
      </c>
      <c r="D137" s="62">
        <f t="shared" ca="1" si="2"/>
        <v>19</v>
      </c>
      <c r="E137" s="62" t="s">
        <v>24</v>
      </c>
      <c r="F137" s="63">
        <v>105989</v>
      </c>
      <c r="G137" s="64"/>
    </row>
    <row r="138" spans="1:7" x14ac:dyDescent="0.25">
      <c r="A138" s="60">
        <v>535539723</v>
      </c>
      <c r="B138" s="10" t="s">
        <v>31</v>
      </c>
      <c r="C138" s="61">
        <f>34152+(3*364-140)</f>
        <v>35104</v>
      </c>
      <c r="D138" s="62">
        <f t="shared" ca="1" si="2"/>
        <v>19</v>
      </c>
      <c r="E138" s="62" t="s">
        <v>28</v>
      </c>
      <c r="F138" s="63">
        <v>39579</v>
      </c>
      <c r="G138" s="64"/>
    </row>
    <row r="139" spans="1:7" x14ac:dyDescent="0.25">
      <c r="A139" s="60">
        <v>626767704</v>
      </c>
      <c r="B139" s="10" t="s">
        <v>47</v>
      </c>
      <c r="C139" s="61">
        <f>36454+(3*364-140)</f>
        <v>37406</v>
      </c>
      <c r="D139" s="62">
        <f t="shared" ca="1" si="2"/>
        <v>13</v>
      </c>
      <c r="E139" s="62"/>
      <c r="F139" s="63">
        <v>101309</v>
      </c>
      <c r="G139" s="64"/>
    </row>
    <row r="140" spans="1:7" x14ac:dyDescent="0.25">
      <c r="A140" s="60">
        <v>834061135</v>
      </c>
      <c r="B140" s="10" t="s">
        <v>51</v>
      </c>
      <c r="C140" s="61">
        <f>34191+(3*364-140)</f>
        <v>35143</v>
      </c>
      <c r="D140" s="62">
        <f t="shared" ca="1" si="2"/>
        <v>19</v>
      </c>
      <c r="E140" s="62" t="s">
        <v>26</v>
      </c>
      <c r="F140" s="63">
        <v>57928</v>
      </c>
      <c r="G140" s="64"/>
    </row>
    <row r="141" spans="1:7" x14ac:dyDescent="0.25">
      <c r="A141" s="60">
        <v>221347766</v>
      </c>
      <c r="B141" s="10" t="s">
        <v>53</v>
      </c>
      <c r="C141" s="61">
        <f>36748+(3*364-140)</f>
        <v>37700</v>
      </c>
      <c r="D141" s="62">
        <f t="shared" ca="1" si="2"/>
        <v>12</v>
      </c>
      <c r="E141" s="62"/>
      <c r="F141" s="63">
        <v>76765</v>
      </c>
      <c r="G141" s="64"/>
    </row>
    <row r="142" spans="1:7" x14ac:dyDescent="0.25">
      <c r="A142" s="60">
        <v>397835298</v>
      </c>
      <c r="B142" s="10" t="s">
        <v>48</v>
      </c>
      <c r="C142" s="61">
        <f>41050+(3*364-140)</f>
        <v>42002</v>
      </c>
      <c r="D142" s="62">
        <f t="shared" ca="1" si="2"/>
        <v>0</v>
      </c>
      <c r="E142" s="62"/>
      <c r="F142" s="63">
        <v>97630</v>
      </c>
      <c r="G142" s="64"/>
    </row>
    <row r="143" spans="1:7" x14ac:dyDescent="0.25">
      <c r="A143" s="60">
        <v>783624212</v>
      </c>
      <c r="B143" s="10" t="s">
        <v>44</v>
      </c>
      <c r="C143" s="61">
        <f>35261+(3*364-140)</f>
        <v>36213</v>
      </c>
      <c r="D143" s="62">
        <f t="shared" ca="1" si="2"/>
        <v>16</v>
      </c>
      <c r="E143" s="62" t="s">
        <v>28</v>
      </c>
      <c r="F143" s="63">
        <v>39676</v>
      </c>
      <c r="G143" s="64"/>
    </row>
    <row r="144" spans="1:7" x14ac:dyDescent="0.25">
      <c r="A144" s="60">
        <v>332494481</v>
      </c>
      <c r="B144" s="10" t="s">
        <v>54</v>
      </c>
      <c r="C144" s="61">
        <f>36758+(3*364-140)</f>
        <v>37710</v>
      </c>
      <c r="D144" s="62">
        <f t="shared" ca="1" si="2"/>
        <v>12</v>
      </c>
      <c r="E144" s="62" t="s">
        <v>33</v>
      </c>
      <c r="F144" s="63">
        <v>62933</v>
      </c>
      <c r="G144" s="64"/>
    </row>
    <row r="145" spans="1:7" x14ac:dyDescent="0.25">
      <c r="A145" s="60">
        <v>294130565</v>
      </c>
      <c r="B145" s="10" t="s">
        <v>50</v>
      </c>
      <c r="C145" s="61">
        <f>34314+(3*364-140)</f>
        <v>35266</v>
      </c>
      <c r="D145" s="62">
        <f t="shared" ca="1" si="2"/>
        <v>19</v>
      </c>
      <c r="E145" s="62" t="s">
        <v>24</v>
      </c>
      <c r="F145" s="63">
        <v>34268</v>
      </c>
      <c r="G145" s="64"/>
    </row>
    <row r="146" spans="1:7" x14ac:dyDescent="0.25">
      <c r="A146" s="60">
        <v>252582122</v>
      </c>
      <c r="B146" s="10" t="s">
        <v>49</v>
      </c>
      <c r="C146" s="61">
        <f>36129+(3*364-140)</f>
        <v>37081</v>
      </c>
      <c r="D146" s="62">
        <f t="shared" ca="1" si="2"/>
        <v>14</v>
      </c>
      <c r="E146" s="62"/>
      <c r="F146" s="63">
        <v>32656</v>
      </c>
      <c r="G146" s="64"/>
    </row>
    <row r="147" spans="1:7" x14ac:dyDescent="0.25">
      <c r="A147" s="60">
        <v>690374765</v>
      </c>
      <c r="B147" s="10" t="s">
        <v>40</v>
      </c>
      <c r="C147" s="61">
        <f>34291+(3*364-140)</f>
        <v>35243</v>
      </c>
      <c r="D147" s="62">
        <f t="shared" ca="1" si="2"/>
        <v>19</v>
      </c>
      <c r="E147" s="62" t="s">
        <v>26</v>
      </c>
      <c r="F147" s="63">
        <v>107250</v>
      </c>
      <c r="G147" s="64"/>
    </row>
    <row r="148" spans="1:7" x14ac:dyDescent="0.25">
      <c r="A148" s="60">
        <v>247555666</v>
      </c>
      <c r="B148" s="10" t="s">
        <v>48</v>
      </c>
      <c r="C148" s="61">
        <f>34295+(3*364-140)</f>
        <v>35247</v>
      </c>
      <c r="D148" s="62">
        <f t="shared" ca="1" si="2"/>
        <v>19</v>
      </c>
      <c r="E148" s="62" t="s">
        <v>24</v>
      </c>
      <c r="F148" s="63">
        <v>50843</v>
      </c>
      <c r="G148" s="64"/>
    </row>
    <row r="149" spans="1:7" x14ac:dyDescent="0.25">
      <c r="A149" s="60">
        <v>707882019</v>
      </c>
      <c r="B149" s="10" t="s">
        <v>40</v>
      </c>
      <c r="C149" s="61">
        <f>37020+(3*364-140)</f>
        <v>37972</v>
      </c>
      <c r="D149" s="62">
        <f t="shared" ca="1" si="2"/>
        <v>11</v>
      </c>
      <c r="E149" s="62"/>
      <c r="F149" s="63">
        <v>113061</v>
      </c>
      <c r="G149" s="64"/>
    </row>
    <row r="150" spans="1:7" x14ac:dyDescent="0.25">
      <c r="A150" s="60">
        <v>350104448</v>
      </c>
      <c r="B150" s="10" t="s">
        <v>44</v>
      </c>
      <c r="C150" s="61">
        <f>36207+(3*364-140)</f>
        <v>37159</v>
      </c>
      <c r="D150" s="62">
        <f t="shared" ca="1" si="2"/>
        <v>14</v>
      </c>
      <c r="E150" s="62" t="s">
        <v>26</v>
      </c>
      <c r="F150" s="63">
        <v>58396</v>
      </c>
      <c r="G150" s="64"/>
    </row>
    <row r="151" spans="1:7" x14ac:dyDescent="0.25">
      <c r="A151" s="60">
        <v>475671127</v>
      </c>
      <c r="B151" s="10" t="s">
        <v>52</v>
      </c>
      <c r="C151" s="61">
        <f>36636+(3*364-140)</f>
        <v>37588</v>
      </c>
      <c r="D151" s="62">
        <f t="shared" ca="1" si="2"/>
        <v>13</v>
      </c>
      <c r="E151" s="62" t="s">
        <v>33</v>
      </c>
      <c r="F151" s="63">
        <v>79846</v>
      </c>
      <c r="G151" s="64"/>
    </row>
    <row r="152" spans="1:7" x14ac:dyDescent="0.25">
      <c r="A152" s="60">
        <v>291274360</v>
      </c>
      <c r="B152" s="10" t="s">
        <v>53</v>
      </c>
      <c r="C152" s="61">
        <f>36759+(3*364-140)</f>
        <v>37711</v>
      </c>
      <c r="D152" s="62">
        <f t="shared" ca="1" si="2"/>
        <v>12</v>
      </c>
      <c r="E152" s="62" t="s">
        <v>33</v>
      </c>
      <c r="F152" s="63">
        <v>87629</v>
      </c>
      <c r="G152" s="64"/>
    </row>
    <row r="153" spans="1:7" x14ac:dyDescent="0.25">
      <c r="A153" s="60">
        <v>799754905</v>
      </c>
      <c r="B153" s="10" t="s">
        <v>54</v>
      </c>
      <c r="C153" s="61">
        <f>35985+(3*364-140)</f>
        <v>36937</v>
      </c>
      <c r="D153" s="62">
        <f t="shared" ca="1" si="2"/>
        <v>14</v>
      </c>
      <c r="E153" s="62" t="s">
        <v>24</v>
      </c>
      <c r="F153" s="63">
        <v>41197</v>
      </c>
      <c r="G153" s="64"/>
    </row>
    <row r="154" spans="1:7" x14ac:dyDescent="0.25">
      <c r="A154" s="60">
        <v>247276092</v>
      </c>
      <c r="B154" s="10" t="s">
        <v>37</v>
      </c>
      <c r="C154" s="61">
        <f>35797+(3*364-140)</f>
        <v>36749</v>
      </c>
      <c r="D154" s="62">
        <f t="shared" ca="1" si="2"/>
        <v>15</v>
      </c>
      <c r="E154" s="62"/>
      <c r="F154" s="63">
        <v>83707</v>
      </c>
      <c r="G154" s="64"/>
    </row>
    <row r="155" spans="1:7" x14ac:dyDescent="0.25">
      <c r="A155" s="60">
        <v>110726520</v>
      </c>
      <c r="B155" s="10" t="s">
        <v>53</v>
      </c>
      <c r="C155" s="61">
        <f>36175+(3*364-140)</f>
        <v>37127</v>
      </c>
      <c r="D155" s="62">
        <f t="shared" ca="1" si="2"/>
        <v>14</v>
      </c>
      <c r="E155" s="62" t="s">
        <v>24</v>
      </c>
      <c r="F155" s="63">
        <v>102323</v>
      </c>
      <c r="G155" s="64"/>
    </row>
    <row r="156" spans="1:7" x14ac:dyDescent="0.25">
      <c r="A156" s="60">
        <v>186346711</v>
      </c>
      <c r="B156" s="10" t="s">
        <v>54</v>
      </c>
      <c r="C156" s="61">
        <f>37297+(3*364-140)</f>
        <v>38249</v>
      </c>
      <c r="D156" s="62">
        <f t="shared" ca="1" si="2"/>
        <v>11</v>
      </c>
      <c r="E156" s="62" t="s">
        <v>28</v>
      </c>
      <c r="F156" s="63">
        <v>93561</v>
      </c>
      <c r="G156" s="64"/>
    </row>
    <row r="157" spans="1:7" x14ac:dyDescent="0.25">
      <c r="A157" s="60">
        <v>650784238</v>
      </c>
      <c r="B157" s="10" t="s">
        <v>47</v>
      </c>
      <c r="C157" s="61">
        <f>36196+(3*364-140)</f>
        <v>37148</v>
      </c>
      <c r="D157" s="62">
        <f t="shared" ca="1" si="2"/>
        <v>14</v>
      </c>
      <c r="E157" s="62"/>
      <c r="F157" s="63">
        <v>70031</v>
      </c>
      <c r="G157" s="64"/>
    </row>
    <row r="158" spans="1:7" x14ac:dyDescent="0.25">
      <c r="A158" s="60">
        <v>311526157</v>
      </c>
      <c r="B158" s="10" t="s">
        <v>22</v>
      </c>
      <c r="C158" s="61">
        <f>34524+(3*364-140)</f>
        <v>35476</v>
      </c>
      <c r="D158" s="62">
        <f t="shared" ca="1" si="2"/>
        <v>18</v>
      </c>
      <c r="E158" s="62"/>
      <c r="F158" s="63">
        <v>46384</v>
      </c>
      <c r="G158" s="64"/>
    </row>
    <row r="159" spans="1:7" x14ac:dyDescent="0.25">
      <c r="A159" s="60">
        <v>468953266</v>
      </c>
      <c r="B159" s="10" t="s">
        <v>48</v>
      </c>
      <c r="C159" s="61">
        <f>34419+(3*364-140)</f>
        <v>35371</v>
      </c>
      <c r="D159" s="62">
        <f t="shared" ca="1" si="2"/>
        <v>19</v>
      </c>
      <c r="E159" s="62" t="s">
        <v>24</v>
      </c>
      <c r="F159" s="63">
        <v>63115</v>
      </c>
      <c r="G159" s="64"/>
    </row>
    <row r="160" spans="1:7" x14ac:dyDescent="0.25">
      <c r="A160" s="60">
        <v>249760737</v>
      </c>
      <c r="B160" s="10" t="s">
        <v>42</v>
      </c>
      <c r="C160" s="61">
        <f>34627+(3*364-140)</f>
        <v>35579</v>
      </c>
      <c r="D160" s="62">
        <f t="shared" ca="1" si="2"/>
        <v>18</v>
      </c>
      <c r="E160" s="62"/>
      <c r="F160" s="63">
        <v>105391</v>
      </c>
      <c r="G160" s="64"/>
    </row>
    <row r="161" spans="1:7" x14ac:dyDescent="0.25">
      <c r="A161" s="60">
        <v>585815837</v>
      </c>
      <c r="B161" s="10" t="s">
        <v>40</v>
      </c>
      <c r="C161" s="61">
        <f>34672+(3*364-140)</f>
        <v>35624</v>
      </c>
      <c r="D161" s="62">
        <f t="shared" ca="1" si="2"/>
        <v>18</v>
      </c>
      <c r="E161" s="62" t="s">
        <v>34</v>
      </c>
      <c r="F161" s="63">
        <v>24252</v>
      </c>
      <c r="G161" s="64"/>
    </row>
    <row r="162" spans="1:7" x14ac:dyDescent="0.25">
      <c r="A162" s="60">
        <v>995590510</v>
      </c>
      <c r="B162" s="10" t="s">
        <v>54</v>
      </c>
      <c r="C162" s="61">
        <f>41316+(3*364-140)</f>
        <v>42268</v>
      </c>
      <c r="D162" s="62">
        <f t="shared" ca="1" si="2"/>
        <v>0</v>
      </c>
      <c r="E162" s="62"/>
      <c r="F162" s="63">
        <v>55887</v>
      </c>
      <c r="G162" s="64"/>
    </row>
    <row r="163" spans="1:7" x14ac:dyDescent="0.25">
      <c r="A163" s="60">
        <v>590896401</v>
      </c>
      <c r="B163" s="10" t="s">
        <v>44</v>
      </c>
      <c r="C163" s="61">
        <f>38999+(3*364-140)</f>
        <v>39951</v>
      </c>
      <c r="D163" s="62">
        <f t="shared" ca="1" si="2"/>
        <v>6</v>
      </c>
      <c r="E163" s="62" t="s">
        <v>28</v>
      </c>
      <c r="F163" s="63">
        <v>91988</v>
      </c>
      <c r="G163" s="64"/>
    </row>
    <row r="164" spans="1:7" x14ac:dyDescent="0.25">
      <c r="A164" s="60">
        <v>412159105</v>
      </c>
      <c r="B164" s="10" t="s">
        <v>53</v>
      </c>
      <c r="C164" s="61">
        <f>36080+(3*364-140)</f>
        <v>37032</v>
      </c>
      <c r="D164" s="62">
        <f t="shared" ca="1" si="2"/>
        <v>14</v>
      </c>
      <c r="E164" s="62"/>
      <c r="F164" s="63">
        <v>43560</v>
      </c>
      <c r="G164" s="64"/>
    </row>
    <row r="165" spans="1:7" x14ac:dyDescent="0.25">
      <c r="A165" s="60">
        <v>904790184</v>
      </c>
      <c r="B165" s="10" t="s">
        <v>51</v>
      </c>
      <c r="C165" s="61">
        <f>34138+(3*364-140)</f>
        <v>35090</v>
      </c>
      <c r="D165" s="62">
        <f t="shared" ca="1" si="2"/>
        <v>19</v>
      </c>
      <c r="E165" s="62" t="s">
        <v>33</v>
      </c>
      <c r="F165" s="63">
        <v>101036</v>
      </c>
      <c r="G165" s="64"/>
    </row>
    <row r="166" spans="1:7" x14ac:dyDescent="0.25">
      <c r="A166" s="60">
        <v>240241467</v>
      </c>
      <c r="B166" s="10" t="s">
        <v>54</v>
      </c>
      <c r="C166" s="61">
        <f>36254+(3*364-140)</f>
        <v>37206</v>
      </c>
      <c r="D166" s="62">
        <f t="shared" ca="1" si="2"/>
        <v>14</v>
      </c>
      <c r="E166" s="62"/>
      <c r="F166" s="63">
        <v>37398</v>
      </c>
      <c r="G166" s="64"/>
    </row>
    <row r="167" spans="1:7" x14ac:dyDescent="0.25">
      <c r="A167" s="60">
        <v>688769770</v>
      </c>
      <c r="B167" s="10" t="s">
        <v>54</v>
      </c>
      <c r="C167" s="61">
        <f>39304+(3*364-140)</f>
        <v>40256</v>
      </c>
      <c r="D167" s="62">
        <f t="shared" ca="1" si="2"/>
        <v>5</v>
      </c>
      <c r="E167" s="62" t="s">
        <v>24</v>
      </c>
      <c r="F167" s="63">
        <v>57889</v>
      </c>
      <c r="G167" s="64"/>
    </row>
    <row r="168" spans="1:7" x14ac:dyDescent="0.25">
      <c r="A168" s="60">
        <v>885773638</v>
      </c>
      <c r="B168" s="10" t="s">
        <v>41</v>
      </c>
      <c r="C168" s="61">
        <f>37247+(3*364-140)</f>
        <v>38199</v>
      </c>
      <c r="D168" s="62">
        <f t="shared" ca="1" si="2"/>
        <v>11</v>
      </c>
      <c r="E168" s="62" t="s">
        <v>33</v>
      </c>
      <c r="F168" s="63">
        <v>97578</v>
      </c>
      <c r="G168" s="64"/>
    </row>
    <row r="169" spans="1:7" x14ac:dyDescent="0.25">
      <c r="A169" s="60">
        <v>933883118</v>
      </c>
      <c r="B169" s="10" t="s">
        <v>52</v>
      </c>
      <c r="C169" s="61">
        <f>35336+(3*364-140)</f>
        <v>36288</v>
      </c>
      <c r="D169" s="62">
        <f t="shared" ca="1" si="2"/>
        <v>16</v>
      </c>
      <c r="E169" s="62"/>
      <c r="F169" s="63">
        <v>111774</v>
      </c>
      <c r="G169" s="64"/>
    </row>
    <row r="170" spans="1:7" x14ac:dyDescent="0.25">
      <c r="A170" s="60">
        <v>793256568</v>
      </c>
      <c r="B170" s="10" t="s">
        <v>54</v>
      </c>
      <c r="C170" s="61">
        <f>36042+(3*364-140)</f>
        <v>36994</v>
      </c>
      <c r="D170" s="62">
        <f t="shared" ca="1" si="2"/>
        <v>14</v>
      </c>
      <c r="E170" s="62" t="s">
        <v>24</v>
      </c>
      <c r="F170" s="63">
        <v>35269</v>
      </c>
      <c r="G170" s="64"/>
    </row>
    <row r="171" spans="1:7" x14ac:dyDescent="0.25">
      <c r="A171" s="60">
        <v>803776506</v>
      </c>
      <c r="B171" s="10" t="s">
        <v>50</v>
      </c>
      <c r="C171" s="61">
        <f>36090+(3*364-140)</f>
        <v>37042</v>
      </c>
      <c r="D171" s="62">
        <f t="shared" ca="1" si="2"/>
        <v>14</v>
      </c>
      <c r="E171" s="62" t="s">
        <v>28</v>
      </c>
      <c r="F171" s="63">
        <v>101335</v>
      </c>
      <c r="G171" s="64"/>
    </row>
    <row r="172" spans="1:7" x14ac:dyDescent="0.25">
      <c r="A172" s="60">
        <v>106686151</v>
      </c>
      <c r="B172" s="10" t="s">
        <v>52</v>
      </c>
      <c r="C172" s="61">
        <f>36764+(3*364-140)</f>
        <v>37716</v>
      </c>
      <c r="D172" s="62">
        <f t="shared" ca="1" si="2"/>
        <v>12</v>
      </c>
      <c r="E172" s="62"/>
      <c r="F172" s="63">
        <v>61776</v>
      </c>
      <c r="G172" s="64"/>
    </row>
    <row r="173" spans="1:7" x14ac:dyDescent="0.25">
      <c r="A173" s="60">
        <v>512404764</v>
      </c>
      <c r="B173" s="10" t="s">
        <v>53</v>
      </c>
      <c r="C173" s="61">
        <f>36968+(3*364-140)</f>
        <v>37920</v>
      </c>
      <c r="D173" s="62">
        <f t="shared" ca="1" si="2"/>
        <v>12</v>
      </c>
      <c r="E173" s="62" t="s">
        <v>33</v>
      </c>
      <c r="F173" s="63">
        <v>50700</v>
      </c>
      <c r="G173" s="64"/>
    </row>
    <row r="174" spans="1:7" x14ac:dyDescent="0.25">
      <c r="A174" s="60">
        <v>163292583</v>
      </c>
      <c r="B174" s="10" t="s">
        <v>37</v>
      </c>
      <c r="C174" s="61">
        <f>36716+(3*364-140)</f>
        <v>37668</v>
      </c>
      <c r="D174" s="62">
        <f t="shared" ca="1" si="2"/>
        <v>12</v>
      </c>
      <c r="E174" s="62"/>
      <c r="F174" s="63">
        <v>39442</v>
      </c>
      <c r="G174" s="64"/>
    </row>
    <row r="175" spans="1:7" x14ac:dyDescent="0.25">
      <c r="A175" s="60">
        <v>313358310</v>
      </c>
      <c r="B175" s="10" t="s">
        <v>52</v>
      </c>
      <c r="C175" s="61">
        <f>34900+(3*364-140)</f>
        <v>35852</v>
      </c>
      <c r="D175" s="62">
        <f t="shared" ca="1" si="2"/>
        <v>17</v>
      </c>
      <c r="E175" s="62" t="s">
        <v>24</v>
      </c>
      <c r="F175" s="63">
        <v>81494</v>
      </c>
      <c r="G175" s="64"/>
    </row>
    <row r="176" spans="1:7" x14ac:dyDescent="0.25">
      <c r="A176" s="60">
        <v>378882665</v>
      </c>
      <c r="B176" s="10" t="s">
        <v>52</v>
      </c>
      <c r="C176" s="61">
        <f>34349+(3*364-140)</f>
        <v>35301</v>
      </c>
      <c r="D176" s="62">
        <f t="shared" ca="1" si="2"/>
        <v>19</v>
      </c>
      <c r="E176" s="62" t="s">
        <v>24</v>
      </c>
      <c r="F176" s="63">
        <v>60294</v>
      </c>
      <c r="G176" s="64"/>
    </row>
    <row r="177" spans="1:7" x14ac:dyDescent="0.25">
      <c r="A177" s="60">
        <v>867671341</v>
      </c>
      <c r="B177" s="10" t="s">
        <v>37</v>
      </c>
      <c r="C177" s="61">
        <f>37574+(3*364-140)</f>
        <v>38526</v>
      </c>
      <c r="D177" s="62">
        <f t="shared" ca="1" si="2"/>
        <v>10</v>
      </c>
      <c r="E177" s="62" t="s">
        <v>24</v>
      </c>
      <c r="F177" s="63">
        <v>45864</v>
      </c>
      <c r="G177" s="64"/>
    </row>
    <row r="178" spans="1:7" x14ac:dyDescent="0.25">
      <c r="A178" s="60">
        <v>798466688</v>
      </c>
      <c r="B178" s="10" t="s">
        <v>44</v>
      </c>
      <c r="C178" s="61">
        <f>40881+(3*364-140)</f>
        <v>41833</v>
      </c>
      <c r="D178" s="62">
        <f t="shared" ca="1" si="2"/>
        <v>1</v>
      </c>
      <c r="E178" s="62" t="s">
        <v>24</v>
      </c>
      <c r="F178" s="63">
        <v>46280</v>
      </c>
      <c r="G178" s="64"/>
    </row>
    <row r="179" spans="1:7" x14ac:dyDescent="0.25">
      <c r="A179" s="60">
        <v>671360508</v>
      </c>
      <c r="B179" s="10" t="s">
        <v>51</v>
      </c>
      <c r="C179" s="61">
        <f>33838+(3*364-140)</f>
        <v>34790</v>
      </c>
      <c r="D179" s="62">
        <f t="shared" ca="1" si="2"/>
        <v>20</v>
      </c>
      <c r="E179" s="62" t="s">
        <v>28</v>
      </c>
      <c r="F179" s="63">
        <v>51506</v>
      </c>
      <c r="G179" s="64"/>
    </row>
    <row r="180" spans="1:7" x14ac:dyDescent="0.25">
      <c r="A180" s="60">
        <v>693214759</v>
      </c>
      <c r="B180" s="10" t="s">
        <v>54</v>
      </c>
      <c r="C180" s="61">
        <f>34484+(3*364-140)</f>
        <v>35436</v>
      </c>
      <c r="D180" s="62">
        <f t="shared" ca="1" si="2"/>
        <v>18</v>
      </c>
      <c r="E180" s="62" t="s">
        <v>28</v>
      </c>
      <c r="F180" s="63">
        <v>81614</v>
      </c>
      <c r="G180" s="64"/>
    </row>
    <row r="181" spans="1:7" x14ac:dyDescent="0.25">
      <c r="A181" s="60">
        <v>501523688</v>
      </c>
      <c r="B181" s="10" t="s">
        <v>44</v>
      </c>
      <c r="C181" s="61">
        <f>36198+(3*364-140)</f>
        <v>37150</v>
      </c>
      <c r="D181" s="62">
        <f t="shared" ca="1" si="2"/>
        <v>14</v>
      </c>
      <c r="E181" s="62" t="s">
        <v>24</v>
      </c>
      <c r="F181" s="63">
        <v>103649</v>
      </c>
      <c r="G181" s="64"/>
    </row>
    <row r="182" spans="1:7" x14ac:dyDescent="0.25">
      <c r="A182" s="60">
        <v>719937584</v>
      </c>
      <c r="B182" s="10" t="s">
        <v>40</v>
      </c>
      <c r="C182" s="61">
        <f>34125+(3*364-140)</f>
        <v>35077</v>
      </c>
      <c r="D182" s="62">
        <f t="shared" ca="1" si="2"/>
        <v>19</v>
      </c>
      <c r="E182" s="62" t="s">
        <v>33</v>
      </c>
      <c r="F182" s="63">
        <v>48906</v>
      </c>
      <c r="G182" s="64"/>
    </row>
    <row r="183" spans="1:7" x14ac:dyDescent="0.25">
      <c r="A183" s="60">
        <v>828715080</v>
      </c>
      <c r="B183" s="10" t="s">
        <v>52</v>
      </c>
      <c r="C183" s="61">
        <f>35772+(3*364-140)</f>
        <v>36724</v>
      </c>
      <c r="D183" s="62">
        <f t="shared" ca="1" si="2"/>
        <v>15</v>
      </c>
      <c r="E183" s="62" t="s">
        <v>28</v>
      </c>
      <c r="F183" s="63">
        <v>79492</v>
      </c>
      <c r="G183" s="64"/>
    </row>
    <row r="184" spans="1:7" x14ac:dyDescent="0.25">
      <c r="A184" s="60">
        <v>941937371</v>
      </c>
      <c r="B184" s="10" t="s">
        <v>54</v>
      </c>
      <c r="C184" s="61">
        <f>36454+(3*364-140)</f>
        <v>37406</v>
      </c>
      <c r="D184" s="62">
        <f t="shared" ca="1" si="2"/>
        <v>13</v>
      </c>
      <c r="E184" s="62" t="s">
        <v>24</v>
      </c>
      <c r="F184" s="63">
        <v>112216</v>
      </c>
      <c r="G184" s="64"/>
    </row>
    <row r="185" spans="1:7" x14ac:dyDescent="0.25">
      <c r="A185" s="60">
        <v>288741910</v>
      </c>
      <c r="B185" s="10" t="s">
        <v>53</v>
      </c>
      <c r="C185" s="61">
        <f>37038+(3*364-140)</f>
        <v>37990</v>
      </c>
      <c r="D185" s="62">
        <f t="shared" ca="1" si="2"/>
        <v>11</v>
      </c>
      <c r="E185" s="62" t="s">
        <v>33</v>
      </c>
      <c r="F185" s="63">
        <v>87126</v>
      </c>
      <c r="G185" s="64"/>
    </row>
    <row r="186" spans="1:7" x14ac:dyDescent="0.25">
      <c r="A186" s="60">
        <v>975857784</v>
      </c>
      <c r="B186" s="10" t="s">
        <v>53</v>
      </c>
      <c r="C186" s="61">
        <f>37320+(3*364-140)</f>
        <v>38272</v>
      </c>
      <c r="D186" s="62">
        <f t="shared" ca="1" si="2"/>
        <v>11</v>
      </c>
      <c r="E186" s="62"/>
      <c r="F186" s="63">
        <v>101088</v>
      </c>
      <c r="G186" s="64"/>
    </row>
    <row r="187" spans="1:7" x14ac:dyDescent="0.25">
      <c r="A187" s="60">
        <v>489667166</v>
      </c>
      <c r="B187" s="10" t="s">
        <v>53</v>
      </c>
      <c r="C187" s="61">
        <f>37085+(3*364-140)</f>
        <v>38037</v>
      </c>
      <c r="D187" s="62">
        <f t="shared" ca="1" si="2"/>
        <v>11</v>
      </c>
      <c r="E187" s="62" t="s">
        <v>28</v>
      </c>
      <c r="F187" s="63">
        <v>59644</v>
      </c>
      <c r="G187" s="64"/>
    </row>
    <row r="188" spans="1:7" x14ac:dyDescent="0.25">
      <c r="A188" s="60">
        <v>657835603</v>
      </c>
      <c r="B188" s="10" t="s">
        <v>54</v>
      </c>
      <c r="C188" s="61">
        <f>33957+(3*364-140)</f>
        <v>34909</v>
      </c>
      <c r="D188" s="62">
        <f t="shared" ca="1" si="2"/>
        <v>20</v>
      </c>
      <c r="E188" s="62" t="s">
        <v>24</v>
      </c>
      <c r="F188" s="63">
        <v>31460</v>
      </c>
      <c r="G188" s="64"/>
    </row>
    <row r="189" spans="1:7" x14ac:dyDescent="0.25">
      <c r="A189" s="60">
        <v>746497232</v>
      </c>
      <c r="B189" s="10" t="s">
        <v>43</v>
      </c>
      <c r="C189" s="61">
        <f>37351+(3*364-140)</f>
        <v>38303</v>
      </c>
      <c r="D189" s="62">
        <f t="shared" ca="1" si="2"/>
        <v>11</v>
      </c>
      <c r="E189" s="62" t="s">
        <v>33</v>
      </c>
      <c r="F189" s="63">
        <v>90233</v>
      </c>
      <c r="G189" s="64"/>
    </row>
    <row r="190" spans="1:7" x14ac:dyDescent="0.25">
      <c r="A190" s="60">
        <v>542051793</v>
      </c>
      <c r="B190" s="10" t="s">
        <v>31</v>
      </c>
      <c r="C190" s="61">
        <f>36938+(3*364-140)</f>
        <v>37890</v>
      </c>
      <c r="D190" s="62">
        <f t="shared" ca="1" si="2"/>
        <v>12</v>
      </c>
      <c r="E190" s="62" t="s">
        <v>24</v>
      </c>
      <c r="F190" s="63">
        <v>97695</v>
      </c>
      <c r="G190" s="64"/>
    </row>
    <row r="191" spans="1:7" x14ac:dyDescent="0.25">
      <c r="A191" s="60">
        <v>750006979</v>
      </c>
      <c r="B191" s="10" t="s">
        <v>54</v>
      </c>
      <c r="C191" s="61">
        <f>34720+(3*364-140)</f>
        <v>35672</v>
      </c>
      <c r="D191" s="62">
        <f t="shared" ca="1" si="2"/>
        <v>18</v>
      </c>
      <c r="E191" s="62" t="s">
        <v>26</v>
      </c>
      <c r="F191" s="63">
        <v>36023</v>
      </c>
      <c r="G191" s="64"/>
    </row>
    <row r="192" spans="1:7" x14ac:dyDescent="0.25">
      <c r="A192" s="60">
        <v>541365827</v>
      </c>
      <c r="B192" s="10" t="s">
        <v>42</v>
      </c>
      <c r="C192" s="61">
        <f>38813+(3*364-140)</f>
        <v>39765</v>
      </c>
      <c r="D192" s="62">
        <f t="shared" ca="1" si="2"/>
        <v>7</v>
      </c>
      <c r="E192" s="62" t="s">
        <v>26</v>
      </c>
      <c r="F192" s="63">
        <v>85228</v>
      </c>
      <c r="G192" s="64"/>
    </row>
    <row r="193" spans="1:7" x14ac:dyDescent="0.25">
      <c r="A193" s="60">
        <v>943671719</v>
      </c>
      <c r="B193" s="10" t="s">
        <v>39</v>
      </c>
      <c r="C193" s="61">
        <f>36127+(3*364-140)</f>
        <v>37079</v>
      </c>
      <c r="D193" s="62">
        <f t="shared" ca="1" si="2"/>
        <v>14</v>
      </c>
      <c r="E193" s="62" t="s">
        <v>33</v>
      </c>
      <c r="F193" s="63">
        <v>29796</v>
      </c>
      <c r="G193" s="64"/>
    </row>
    <row r="194" spans="1:7" x14ac:dyDescent="0.25">
      <c r="A194" s="60">
        <v>504914685</v>
      </c>
      <c r="B194" s="10" t="s">
        <v>44</v>
      </c>
      <c r="C194" s="61">
        <f>36762+(3*364-140)</f>
        <v>37714</v>
      </c>
      <c r="D194" s="62">
        <f t="shared" ref="D194:D257" ca="1" si="3">DATEDIF(C194,TODAY(),"Y")</f>
        <v>12</v>
      </c>
      <c r="E194" s="62" t="s">
        <v>24</v>
      </c>
      <c r="F194" s="63">
        <v>43173</v>
      </c>
      <c r="G194" s="64"/>
    </row>
    <row r="195" spans="1:7" x14ac:dyDescent="0.25">
      <c r="A195" s="60">
        <v>259330447</v>
      </c>
      <c r="B195" s="10" t="s">
        <v>47</v>
      </c>
      <c r="C195" s="61">
        <f>36870+(3*364-140)</f>
        <v>37822</v>
      </c>
      <c r="D195" s="62">
        <f t="shared" ca="1" si="3"/>
        <v>12</v>
      </c>
      <c r="E195" s="62"/>
      <c r="F195" s="63">
        <v>61906</v>
      </c>
      <c r="G195" s="64"/>
    </row>
    <row r="196" spans="1:7" x14ac:dyDescent="0.25">
      <c r="A196" s="60">
        <v>100432924</v>
      </c>
      <c r="B196" s="10" t="s">
        <v>22</v>
      </c>
      <c r="C196" s="61">
        <f>36849+(3*364-140)</f>
        <v>37801</v>
      </c>
      <c r="D196" s="62">
        <f t="shared" ca="1" si="3"/>
        <v>12</v>
      </c>
      <c r="E196" s="62" t="s">
        <v>24</v>
      </c>
      <c r="F196" s="63">
        <v>31915</v>
      </c>
      <c r="G196" s="64"/>
    </row>
    <row r="197" spans="1:7" x14ac:dyDescent="0.25">
      <c r="A197" s="60">
        <v>991656720</v>
      </c>
      <c r="B197" s="10" t="s">
        <v>22</v>
      </c>
      <c r="C197" s="61">
        <f>40125+(3*364-140)</f>
        <v>41077</v>
      </c>
      <c r="D197" s="62">
        <f t="shared" ca="1" si="3"/>
        <v>3</v>
      </c>
      <c r="E197" s="62" t="s">
        <v>26</v>
      </c>
      <c r="F197" s="63">
        <v>94679</v>
      </c>
      <c r="G197" s="64"/>
    </row>
    <row r="198" spans="1:7" x14ac:dyDescent="0.25">
      <c r="A198" s="60">
        <v>865073824</v>
      </c>
      <c r="B198" s="10" t="s">
        <v>44</v>
      </c>
      <c r="C198" s="61">
        <f>35219+(3*364-140)</f>
        <v>36171</v>
      </c>
      <c r="D198" s="62">
        <f t="shared" ca="1" si="3"/>
        <v>16</v>
      </c>
      <c r="E198" s="62" t="s">
        <v>34</v>
      </c>
      <c r="F198" s="63">
        <v>44824</v>
      </c>
      <c r="G198" s="64"/>
    </row>
    <row r="199" spans="1:7" x14ac:dyDescent="0.25">
      <c r="A199" s="60">
        <v>351268538</v>
      </c>
      <c r="B199" s="10" t="s">
        <v>43</v>
      </c>
      <c r="C199" s="61">
        <f>37197+(3*364-140)</f>
        <v>38149</v>
      </c>
      <c r="D199" s="62">
        <f t="shared" ca="1" si="3"/>
        <v>11</v>
      </c>
      <c r="E199" s="62" t="s">
        <v>33</v>
      </c>
      <c r="F199" s="63">
        <v>80418</v>
      </c>
      <c r="G199" s="64"/>
    </row>
    <row r="200" spans="1:7" x14ac:dyDescent="0.25">
      <c r="A200" s="60">
        <v>622274162</v>
      </c>
      <c r="B200" s="10" t="s">
        <v>42</v>
      </c>
      <c r="C200" s="61">
        <f>35449+(3*364-140)</f>
        <v>36401</v>
      </c>
      <c r="D200" s="62">
        <f t="shared" ca="1" si="3"/>
        <v>16</v>
      </c>
      <c r="E200" s="62"/>
      <c r="F200" s="63">
        <v>34268</v>
      </c>
      <c r="G200" s="64"/>
    </row>
    <row r="201" spans="1:7" x14ac:dyDescent="0.25">
      <c r="A201" s="60">
        <v>304024314</v>
      </c>
      <c r="B201" s="10" t="s">
        <v>53</v>
      </c>
      <c r="C201" s="61">
        <f>34099+(3*364-140)</f>
        <v>35051</v>
      </c>
      <c r="D201" s="62">
        <f t="shared" ca="1" si="3"/>
        <v>19</v>
      </c>
      <c r="E201" s="62"/>
      <c r="F201" s="63">
        <v>60645</v>
      </c>
      <c r="G201" s="64"/>
    </row>
    <row r="202" spans="1:7" x14ac:dyDescent="0.25">
      <c r="A202" s="60">
        <v>596008829</v>
      </c>
      <c r="B202" s="10" t="s">
        <v>44</v>
      </c>
      <c r="C202" s="61">
        <f>36689+(3*364-140)</f>
        <v>37641</v>
      </c>
      <c r="D202" s="62">
        <f t="shared" ca="1" si="3"/>
        <v>12</v>
      </c>
      <c r="E202" s="62"/>
      <c r="F202" s="63">
        <v>58565</v>
      </c>
      <c r="G202" s="64"/>
    </row>
    <row r="203" spans="1:7" x14ac:dyDescent="0.25">
      <c r="A203" s="60">
        <v>240272873</v>
      </c>
      <c r="B203" s="10" t="s">
        <v>44</v>
      </c>
      <c r="C203" s="61">
        <f>39590+(3*364-140)</f>
        <v>40542</v>
      </c>
      <c r="D203" s="62">
        <f t="shared" ca="1" si="3"/>
        <v>4</v>
      </c>
      <c r="E203" s="62"/>
      <c r="F203" s="63">
        <v>104429</v>
      </c>
      <c r="G203" s="64"/>
    </row>
    <row r="204" spans="1:7" x14ac:dyDescent="0.25">
      <c r="A204" s="60">
        <v>512405919</v>
      </c>
      <c r="B204" s="10" t="s">
        <v>44</v>
      </c>
      <c r="C204" s="61">
        <f>38114+(3*364-140)</f>
        <v>39066</v>
      </c>
      <c r="D204" s="62">
        <f t="shared" ca="1" si="3"/>
        <v>8</v>
      </c>
      <c r="E204" s="62" t="s">
        <v>26</v>
      </c>
      <c r="F204" s="63">
        <v>83369</v>
      </c>
      <c r="G204" s="64"/>
    </row>
    <row r="205" spans="1:7" x14ac:dyDescent="0.25">
      <c r="A205" s="60">
        <v>569701716</v>
      </c>
      <c r="B205" s="10" t="s">
        <v>44</v>
      </c>
      <c r="C205" s="61">
        <f>36855+(3*364-140)</f>
        <v>37807</v>
      </c>
      <c r="D205" s="62">
        <f t="shared" ca="1" si="3"/>
        <v>12</v>
      </c>
      <c r="E205" s="62" t="s">
        <v>26</v>
      </c>
      <c r="F205" s="63">
        <v>28171</v>
      </c>
      <c r="G205" s="64"/>
    </row>
    <row r="206" spans="1:7" x14ac:dyDescent="0.25">
      <c r="A206" s="60">
        <v>479081328</v>
      </c>
      <c r="B206" s="10" t="s">
        <v>47</v>
      </c>
      <c r="C206" s="61">
        <f>36360+(3*364-140)</f>
        <v>37312</v>
      </c>
      <c r="D206" s="62">
        <f t="shared" ca="1" si="3"/>
        <v>13</v>
      </c>
      <c r="E206" s="62"/>
      <c r="F206" s="63">
        <v>83005</v>
      </c>
      <c r="G206" s="64"/>
    </row>
    <row r="207" spans="1:7" x14ac:dyDescent="0.25">
      <c r="A207" s="60">
        <v>861884260</v>
      </c>
      <c r="B207" s="10" t="s">
        <v>43</v>
      </c>
      <c r="C207" s="61">
        <f>34063+(3*364-140)</f>
        <v>35015</v>
      </c>
      <c r="D207" s="62">
        <f t="shared" ca="1" si="3"/>
        <v>20</v>
      </c>
      <c r="E207" s="62" t="s">
        <v>24</v>
      </c>
      <c r="F207" s="63">
        <v>115882</v>
      </c>
      <c r="G207" s="64"/>
    </row>
    <row r="208" spans="1:7" x14ac:dyDescent="0.25">
      <c r="A208" s="60">
        <v>983047016</v>
      </c>
      <c r="B208" s="10" t="s">
        <v>53</v>
      </c>
      <c r="C208" s="61">
        <f>39471+(3*364-140)</f>
        <v>40423</v>
      </c>
      <c r="D208" s="62">
        <f t="shared" ca="1" si="3"/>
        <v>5</v>
      </c>
      <c r="E208" s="62"/>
      <c r="F208" s="63">
        <v>111709</v>
      </c>
      <c r="G208" s="64"/>
    </row>
    <row r="209" spans="1:7" x14ac:dyDescent="0.25">
      <c r="A209" s="60">
        <v>555718765</v>
      </c>
      <c r="B209" s="10" t="s">
        <v>50</v>
      </c>
      <c r="C209" s="61">
        <f>35415+(3*364-140)</f>
        <v>36367</v>
      </c>
      <c r="D209" s="62">
        <f t="shared" ca="1" si="3"/>
        <v>16</v>
      </c>
      <c r="E209" s="62" t="s">
        <v>24</v>
      </c>
      <c r="F209" s="63">
        <v>115505</v>
      </c>
      <c r="G209" s="64"/>
    </row>
    <row r="210" spans="1:7" x14ac:dyDescent="0.25">
      <c r="A210" s="60">
        <v>303641529</v>
      </c>
      <c r="B210" s="10" t="s">
        <v>48</v>
      </c>
      <c r="C210" s="61">
        <f>35828+(3*364-140)</f>
        <v>36780</v>
      </c>
      <c r="D210" s="62">
        <f t="shared" ca="1" si="3"/>
        <v>15</v>
      </c>
      <c r="E210" s="62" t="s">
        <v>24</v>
      </c>
      <c r="F210" s="63">
        <v>64227</v>
      </c>
      <c r="G210" s="64"/>
    </row>
    <row r="211" spans="1:7" x14ac:dyDescent="0.25">
      <c r="A211" s="60">
        <v>195245117</v>
      </c>
      <c r="B211" s="10" t="s">
        <v>40</v>
      </c>
      <c r="C211" s="61">
        <f>36351+(3*364-140)</f>
        <v>37303</v>
      </c>
      <c r="D211" s="62">
        <f t="shared" ca="1" si="3"/>
        <v>13</v>
      </c>
      <c r="E211" s="62"/>
      <c r="F211" s="63">
        <v>49437</v>
      </c>
      <c r="G211" s="64"/>
    </row>
    <row r="212" spans="1:7" x14ac:dyDescent="0.25">
      <c r="A212" s="60">
        <v>282972141</v>
      </c>
      <c r="B212" s="10" t="s">
        <v>42</v>
      </c>
      <c r="C212" s="61">
        <f>36617+(3*364-140)</f>
        <v>37569</v>
      </c>
      <c r="D212" s="62">
        <f t="shared" ca="1" si="3"/>
        <v>13</v>
      </c>
      <c r="E212" s="62"/>
      <c r="F212" s="63">
        <v>32656</v>
      </c>
      <c r="G212" s="64"/>
    </row>
    <row r="213" spans="1:7" x14ac:dyDescent="0.25">
      <c r="A213" s="60">
        <v>681596577</v>
      </c>
      <c r="B213" s="10" t="s">
        <v>40</v>
      </c>
      <c r="C213" s="61">
        <f>35828+(3*364-140)</f>
        <v>36780</v>
      </c>
      <c r="D213" s="62">
        <f t="shared" ca="1" si="3"/>
        <v>15</v>
      </c>
      <c r="E213" s="62"/>
      <c r="F213" s="63">
        <v>45838</v>
      </c>
      <c r="G213" s="64"/>
    </row>
    <row r="214" spans="1:7" x14ac:dyDescent="0.25">
      <c r="A214" s="60">
        <v>427811310</v>
      </c>
      <c r="B214" s="10" t="s">
        <v>37</v>
      </c>
      <c r="C214" s="61">
        <f>35933+(3*364-140)</f>
        <v>36885</v>
      </c>
      <c r="D214" s="62">
        <f t="shared" ca="1" si="3"/>
        <v>14</v>
      </c>
      <c r="E214" s="62"/>
      <c r="F214" s="63">
        <v>116103</v>
      </c>
      <c r="G214" s="64"/>
    </row>
    <row r="215" spans="1:7" x14ac:dyDescent="0.25">
      <c r="A215" s="60">
        <v>380304349</v>
      </c>
      <c r="B215" s="10" t="s">
        <v>54</v>
      </c>
      <c r="C215" s="61">
        <f>37227+(3*364-140)</f>
        <v>38179</v>
      </c>
      <c r="D215" s="62">
        <f t="shared" ca="1" si="3"/>
        <v>11</v>
      </c>
      <c r="E215" s="62" t="s">
        <v>33</v>
      </c>
      <c r="F215" s="63">
        <v>46098</v>
      </c>
      <c r="G215" s="64"/>
    </row>
    <row r="216" spans="1:7" x14ac:dyDescent="0.25">
      <c r="A216" s="60">
        <v>631405285</v>
      </c>
      <c r="B216" s="10" t="s">
        <v>37</v>
      </c>
      <c r="C216" s="61">
        <f>34205+(3*364-140)</f>
        <v>35157</v>
      </c>
      <c r="D216" s="62">
        <f t="shared" ca="1" si="3"/>
        <v>19</v>
      </c>
      <c r="E216" s="62" t="s">
        <v>33</v>
      </c>
      <c r="F216" s="63">
        <v>111696</v>
      </c>
      <c r="G216" s="64"/>
    </row>
    <row r="217" spans="1:7" x14ac:dyDescent="0.25">
      <c r="A217" s="60">
        <v>624234626</v>
      </c>
      <c r="B217" s="10" t="s">
        <v>44</v>
      </c>
      <c r="C217" s="61">
        <f>36021+(3*364-140)</f>
        <v>36973</v>
      </c>
      <c r="D217" s="62">
        <f t="shared" ca="1" si="3"/>
        <v>14</v>
      </c>
      <c r="E217" s="62" t="s">
        <v>24</v>
      </c>
      <c r="F217" s="63">
        <v>60639</v>
      </c>
      <c r="G217" s="64"/>
    </row>
    <row r="218" spans="1:7" x14ac:dyDescent="0.25">
      <c r="A218" s="60">
        <v>981106829</v>
      </c>
      <c r="B218" s="10" t="s">
        <v>37</v>
      </c>
      <c r="C218" s="61">
        <f>36526+(3*364-140)</f>
        <v>37478</v>
      </c>
      <c r="D218" s="62">
        <f t="shared" ca="1" si="3"/>
        <v>13</v>
      </c>
      <c r="E218" s="62"/>
      <c r="F218" s="63">
        <v>111124</v>
      </c>
      <c r="G218" s="64"/>
    </row>
    <row r="219" spans="1:7" x14ac:dyDescent="0.25">
      <c r="A219" s="60">
        <v>938723321</v>
      </c>
      <c r="B219" s="10" t="s">
        <v>52</v>
      </c>
      <c r="C219" s="61">
        <f>37465+(3*364-140)</f>
        <v>38417</v>
      </c>
      <c r="D219" s="62">
        <f t="shared" ca="1" si="3"/>
        <v>10</v>
      </c>
      <c r="E219" s="62"/>
      <c r="F219" s="63">
        <v>116532</v>
      </c>
      <c r="G219" s="64"/>
    </row>
    <row r="220" spans="1:7" x14ac:dyDescent="0.25">
      <c r="A220" s="60">
        <v>750722934</v>
      </c>
      <c r="B220" s="10" t="s">
        <v>53</v>
      </c>
      <c r="C220" s="61">
        <f>36247+(3*364-140)</f>
        <v>37199</v>
      </c>
      <c r="D220" s="62">
        <f t="shared" ca="1" si="3"/>
        <v>14</v>
      </c>
      <c r="E220" s="62" t="s">
        <v>33</v>
      </c>
      <c r="F220" s="63">
        <v>49101</v>
      </c>
      <c r="G220" s="64"/>
    </row>
    <row r="221" spans="1:7" x14ac:dyDescent="0.25">
      <c r="A221" s="60">
        <v>371001908</v>
      </c>
      <c r="B221" s="10" t="s">
        <v>44</v>
      </c>
      <c r="C221" s="61">
        <f>36034+(3*364-140)</f>
        <v>36986</v>
      </c>
      <c r="D221" s="62">
        <f t="shared" ca="1" si="3"/>
        <v>14</v>
      </c>
      <c r="E221" s="62" t="s">
        <v>28</v>
      </c>
      <c r="F221" s="63">
        <v>59124</v>
      </c>
      <c r="G221" s="64"/>
    </row>
    <row r="222" spans="1:7" x14ac:dyDescent="0.25">
      <c r="A222" s="60">
        <v>723066626</v>
      </c>
      <c r="B222" s="10" t="s">
        <v>54</v>
      </c>
      <c r="C222" s="61">
        <f>39116+(3*364-140)</f>
        <v>40068</v>
      </c>
      <c r="D222" s="62">
        <f t="shared" ca="1" si="3"/>
        <v>6</v>
      </c>
      <c r="E222" s="62"/>
      <c r="F222" s="63">
        <v>42744</v>
      </c>
      <c r="G222" s="64"/>
    </row>
    <row r="223" spans="1:7" x14ac:dyDescent="0.25">
      <c r="A223" s="60">
        <v>466947318</v>
      </c>
      <c r="B223" s="10" t="s">
        <v>44</v>
      </c>
      <c r="C223" s="61">
        <f>41256+(3*364-140)</f>
        <v>42208</v>
      </c>
      <c r="D223" s="62">
        <f t="shared" ca="1" si="3"/>
        <v>0</v>
      </c>
      <c r="E223" s="62" t="s">
        <v>24</v>
      </c>
      <c r="F223" s="63">
        <v>56966</v>
      </c>
      <c r="G223" s="64"/>
    </row>
    <row r="224" spans="1:7" x14ac:dyDescent="0.25">
      <c r="A224" s="60">
        <v>510190628</v>
      </c>
      <c r="B224" s="10" t="s">
        <v>39</v>
      </c>
      <c r="C224" s="61">
        <f>39825+(3*364-140)</f>
        <v>40777</v>
      </c>
      <c r="D224" s="62">
        <f t="shared" ca="1" si="3"/>
        <v>4</v>
      </c>
      <c r="E224" s="62" t="s">
        <v>33</v>
      </c>
      <c r="F224" s="63">
        <v>56784</v>
      </c>
      <c r="G224" s="64"/>
    </row>
    <row r="225" spans="1:7" x14ac:dyDescent="0.25">
      <c r="A225" s="60">
        <v>847051774</v>
      </c>
      <c r="B225" s="10" t="s">
        <v>50</v>
      </c>
      <c r="C225" s="61">
        <f>40335+(3*364-140)</f>
        <v>41287</v>
      </c>
      <c r="D225" s="62">
        <f t="shared" ca="1" si="3"/>
        <v>2</v>
      </c>
      <c r="E225" s="62" t="s">
        <v>34</v>
      </c>
      <c r="F225" s="63">
        <v>105144</v>
      </c>
      <c r="G225" s="64"/>
    </row>
    <row r="226" spans="1:7" x14ac:dyDescent="0.25">
      <c r="A226" s="60">
        <v>163350417</v>
      </c>
      <c r="B226" s="10" t="s">
        <v>54</v>
      </c>
      <c r="C226" s="61">
        <f>37350+(3*364-140)</f>
        <v>38302</v>
      </c>
      <c r="D226" s="62">
        <f t="shared" ca="1" si="3"/>
        <v>11</v>
      </c>
      <c r="E226" s="62" t="s">
        <v>28</v>
      </c>
      <c r="F226" s="63">
        <v>84916</v>
      </c>
      <c r="G226" s="64"/>
    </row>
    <row r="227" spans="1:7" x14ac:dyDescent="0.25">
      <c r="A227" s="60">
        <v>365117800</v>
      </c>
      <c r="B227" s="10" t="s">
        <v>37</v>
      </c>
      <c r="C227" s="61">
        <f>38638+(3*364-140)</f>
        <v>39590</v>
      </c>
      <c r="D227" s="62">
        <f t="shared" ca="1" si="3"/>
        <v>7</v>
      </c>
      <c r="E227" s="62" t="s">
        <v>24</v>
      </c>
      <c r="F227" s="63">
        <v>86957</v>
      </c>
      <c r="G227" s="64"/>
    </row>
    <row r="228" spans="1:7" x14ac:dyDescent="0.25">
      <c r="A228" s="60">
        <v>418701946</v>
      </c>
      <c r="B228" s="10" t="s">
        <v>54</v>
      </c>
      <c r="C228" s="61">
        <f>34832+(3*364-140)</f>
        <v>35784</v>
      </c>
      <c r="D228" s="62">
        <f t="shared" ca="1" si="3"/>
        <v>17</v>
      </c>
      <c r="E228" s="62" t="s">
        <v>24</v>
      </c>
      <c r="F228" s="63">
        <v>64409</v>
      </c>
      <c r="G228" s="64"/>
    </row>
    <row r="229" spans="1:7" x14ac:dyDescent="0.25">
      <c r="A229" s="60">
        <v>289103201</v>
      </c>
      <c r="B229" s="10" t="s">
        <v>52</v>
      </c>
      <c r="C229" s="61">
        <f>39895+(3*364-140)</f>
        <v>40847</v>
      </c>
      <c r="D229" s="62">
        <f t="shared" ca="1" si="3"/>
        <v>4</v>
      </c>
      <c r="E229" s="62" t="s">
        <v>24</v>
      </c>
      <c r="F229" s="63">
        <v>95979</v>
      </c>
      <c r="G229" s="64"/>
    </row>
    <row r="230" spans="1:7" x14ac:dyDescent="0.25">
      <c r="A230" s="60">
        <v>385074661</v>
      </c>
      <c r="B230" s="10" t="s">
        <v>47</v>
      </c>
      <c r="C230" s="61">
        <f>35553+(3*364-140)</f>
        <v>36505</v>
      </c>
      <c r="D230" s="62">
        <f t="shared" ca="1" si="3"/>
        <v>15</v>
      </c>
      <c r="E230" s="62" t="s">
        <v>34</v>
      </c>
      <c r="F230" s="63">
        <v>86996</v>
      </c>
      <c r="G230" s="64"/>
    </row>
    <row r="231" spans="1:7" x14ac:dyDescent="0.25">
      <c r="A231" s="60">
        <v>297852686</v>
      </c>
      <c r="B231" s="10" t="s">
        <v>31</v>
      </c>
      <c r="C231" s="61">
        <f>40382+(3*364-140)</f>
        <v>41334</v>
      </c>
      <c r="D231" s="62">
        <f t="shared" ca="1" si="3"/>
        <v>2</v>
      </c>
      <c r="E231" s="62" t="s">
        <v>34</v>
      </c>
      <c r="F231" s="63">
        <v>75777</v>
      </c>
      <c r="G231" s="64"/>
    </row>
    <row r="232" spans="1:7" x14ac:dyDescent="0.25">
      <c r="A232" s="60">
        <v>134557291</v>
      </c>
      <c r="B232" s="10" t="s">
        <v>51</v>
      </c>
      <c r="C232" s="61">
        <f>33791+(3*364-140)</f>
        <v>34743</v>
      </c>
      <c r="D232" s="62">
        <f t="shared" ca="1" si="3"/>
        <v>20</v>
      </c>
      <c r="E232" s="62" t="s">
        <v>24</v>
      </c>
      <c r="F232" s="63">
        <v>42380</v>
      </c>
      <c r="G232" s="64"/>
    </row>
    <row r="233" spans="1:7" x14ac:dyDescent="0.25">
      <c r="A233" s="60">
        <v>920505896</v>
      </c>
      <c r="B233" s="10" t="s">
        <v>38</v>
      </c>
      <c r="C233" s="61">
        <f>39433+(3*364-140)</f>
        <v>40385</v>
      </c>
      <c r="D233" s="62">
        <f t="shared" ca="1" si="3"/>
        <v>5</v>
      </c>
      <c r="E233" s="62"/>
      <c r="F233" s="63">
        <v>102518</v>
      </c>
      <c r="G233" s="64"/>
    </row>
    <row r="234" spans="1:7" x14ac:dyDescent="0.25">
      <c r="A234" s="60">
        <v>505680981</v>
      </c>
      <c r="B234" s="10" t="s">
        <v>52</v>
      </c>
      <c r="C234" s="61">
        <f>37816+(3*364-140)</f>
        <v>38768</v>
      </c>
      <c r="D234" s="62">
        <f t="shared" ca="1" si="3"/>
        <v>9</v>
      </c>
      <c r="E234" s="62" t="s">
        <v>24</v>
      </c>
      <c r="F234" s="63">
        <v>37869</v>
      </c>
      <c r="G234" s="64"/>
    </row>
    <row r="235" spans="1:7" x14ac:dyDescent="0.25">
      <c r="A235" s="60">
        <v>411058865</v>
      </c>
      <c r="B235" s="10" t="s">
        <v>37</v>
      </c>
      <c r="C235" s="61">
        <f>37686+(3*364-140)</f>
        <v>38638</v>
      </c>
      <c r="D235" s="62">
        <f t="shared" ca="1" si="3"/>
        <v>10</v>
      </c>
      <c r="E235" s="62" t="s">
        <v>24</v>
      </c>
      <c r="F235" s="63">
        <v>35334</v>
      </c>
      <c r="G235" s="64"/>
    </row>
    <row r="236" spans="1:7" x14ac:dyDescent="0.25">
      <c r="A236" s="60">
        <v>151277827</v>
      </c>
      <c r="B236" s="10" t="s">
        <v>52</v>
      </c>
      <c r="C236" s="61">
        <f>40577+(3*364-140)</f>
        <v>41529</v>
      </c>
      <c r="D236" s="62">
        <f t="shared" ca="1" si="3"/>
        <v>2</v>
      </c>
      <c r="E236" s="62" t="s">
        <v>24</v>
      </c>
      <c r="F236" s="63">
        <v>32227</v>
      </c>
      <c r="G236" s="64"/>
    </row>
    <row r="237" spans="1:7" x14ac:dyDescent="0.25">
      <c r="A237" s="60">
        <v>242099349</v>
      </c>
      <c r="B237" s="10" t="s">
        <v>37</v>
      </c>
      <c r="C237" s="61">
        <f>41179+(3*364-140)</f>
        <v>42131</v>
      </c>
      <c r="D237" s="62">
        <f t="shared" ca="1" si="3"/>
        <v>0</v>
      </c>
      <c r="E237" s="62" t="s">
        <v>26</v>
      </c>
      <c r="F237" s="63">
        <v>101166</v>
      </c>
      <c r="G237" s="64"/>
    </row>
    <row r="238" spans="1:7" x14ac:dyDescent="0.25">
      <c r="A238" s="60">
        <v>443476169</v>
      </c>
      <c r="B238" s="10" t="s">
        <v>47</v>
      </c>
      <c r="C238" s="61">
        <f>34745+(3*364-140)</f>
        <v>35697</v>
      </c>
      <c r="D238" s="62">
        <f t="shared" ca="1" si="3"/>
        <v>18</v>
      </c>
      <c r="E238" s="62" t="s">
        <v>26</v>
      </c>
      <c r="F238" s="63">
        <v>112502</v>
      </c>
      <c r="G238" s="64"/>
    </row>
    <row r="239" spans="1:7" x14ac:dyDescent="0.25">
      <c r="A239" s="60">
        <v>851400058</v>
      </c>
      <c r="B239" s="10" t="s">
        <v>50</v>
      </c>
      <c r="C239" s="61">
        <f>41071+(3*364-140)</f>
        <v>42023</v>
      </c>
      <c r="D239" s="62">
        <f t="shared" ca="1" si="3"/>
        <v>0</v>
      </c>
      <c r="E239" s="62" t="s">
        <v>24</v>
      </c>
      <c r="F239" s="63">
        <v>22003</v>
      </c>
      <c r="G239" s="64"/>
    </row>
    <row r="240" spans="1:7" x14ac:dyDescent="0.25">
      <c r="A240" s="60">
        <v>800685434</v>
      </c>
      <c r="B240" s="10" t="s">
        <v>54</v>
      </c>
      <c r="C240" s="61">
        <f>37634+(3*364-140)</f>
        <v>38586</v>
      </c>
      <c r="D240" s="62">
        <f t="shared" ca="1" si="3"/>
        <v>10</v>
      </c>
      <c r="E240" s="62" t="s">
        <v>34</v>
      </c>
      <c r="F240" s="63">
        <v>64909</v>
      </c>
      <c r="G240" s="64"/>
    </row>
    <row r="241" spans="1:7" x14ac:dyDescent="0.25">
      <c r="A241" s="60">
        <v>214291610</v>
      </c>
      <c r="B241" s="10" t="s">
        <v>52</v>
      </c>
      <c r="C241" s="61">
        <f>35897+(3*364-140)</f>
        <v>36849</v>
      </c>
      <c r="D241" s="62">
        <f t="shared" ca="1" si="3"/>
        <v>15</v>
      </c>
      <c r="E241" s="62" t="s">
        <v>24</v>
      </c>
      <c r="F241" s="63">
        <v>61542</v>
      </c>
      <c r="G241" s="64"/>
    </row>
    <row r="242" spans="1:7" x14ac:dyDescent="0.25">
      <c r="A242" s="60">
        <v>802700229</v>
      </c>
      <c r="B242" s="10" t="s">
        <v>48</v>
      </c>
      <c r="C242" s="61">
        <f>34582+(3*364-140)</f>
        <v>35534</v>
      </c>
      <c r="D242" s="62">
        <f t="shared" ca="1" si="3"/>
        <v>18</v>
      </c>
      <c r="E242" s="62" t="s">
        <v>28</v>
      </c>
      <c r="F242" s="63">
        <v>114374</v>
      </c>
      <c r="G242" s="64"/>
    </row>
    <row r="243" spans="1:7" x14ac:dyDescent="0.25">
      <c r="A243" s="60">
        <v>313128501</v>
      </c>
      <c r="B243" s="10" t="s">
        <v>44</v>
      </c>
      <c r="C243" s="61">
        <f>36168+(3*364-140)</f>
        <v>37120</v>
      </c>
      <c r="D243" s="62">
        <f t="shared" ca="1" si="3"/>
        <v>14</v>
      </c>
      <c r="E243" s="62"/>
      <c r="F243" s="63">
        <v>29214</v>
      </c>
      <c r="G243" s="64"/>
    </row>
    <row r="244" spans="1:7" x14ac:dyDescent="0.25">
      <c r="A244" s="60">
        <v>180095803</v>
      </c>
      <c r="B244" s="10" t="s">
        <v>44</v>
      </c>
      <c r="C244" s="61">
        <f>40650+(3*364-140)</f>
        <v>41602</v>
      </c>
      <c r="D244" s="62">
        <f t="shared" ca="1" si="3"/>
        <v>2</v>
      </c>
      <c r="E244" s="62" t="s">
        <v>24</v>
      </c>
      <c r="F244" s="63">
        <v>101621</v>
      </c>
      <c r="G244" s="64"/>
    </row>
    <row r="245" spans="1:7" x14ac:dyDescent="0.25">
      <c r="A245" s="60">
        <v>671823263</v>
      </c>
      <c r="B245" s="10" t="s">
        <v>54</v>
      </c>
      <c r="C245" s="61">
        <f>41315+(3*364-140)</f>
        <v>42267</v>
      </c>
      <c r="D245" s="62">
        <f t="shared" ca="1" si="3"/>
        <v>0</v>
      </c>
      <c r="E245" s="62" t="s">
        <v>24</v>
      </c>
      <c r="F245" s="63">
        <v>112632</v>
      </c>
      <c r="G245" s="64"/>
    </row>
    <row r="246" spans="1:7" x14ac:dyDescent="0.25">
      <c r="A246" s="60">
        <v>148899089</v>
      </c>
      <c r="B246" s="10" t="s">
        <v>37</v>
      </c>
      <c r="C246" s="61">
        <f>34844+(3*364-140)</f>
        <v>35796</v>
      </c>
      <c r="D246" s="62">
        <f t="shared" ca="1" si="3"/>
        <v>17</v>
      </c>
      <c r="E246" s="62" t="s">
        <v>24</v>
      </c>
      <c r="F246" s="63">
        <v>34957</v>
      </c>
      <c r="G246" s="64"/>
    </row>
    <row r="247" spans="1:7" x14ac:dyDescent="0.25">
      <c r="A247" s="60">
        <v>542653222</v>
      </c>
      <c r="B247" s="10" t="s">
        <v>44</v>
      </c>
      <c r="C247" s="61">
        <f>36675+(3*364-140)</f>
        <v>37627</v>
      </c>
      <c r="D247" s="62">
        <f t="shared" ca="1" si="3"/>
        <v>12</v>
      </c>
      <c r="E247" s="62"/>
      <c r="F247" s="63">
        <v>94276</v>
      </c>
      <c r="G247" s="64"/>
    </row>
    <row r="248" spans="1:7" x14ac:dyDescent="0.25">
      <c r="A248" s="60">
        <v>443238477</v>
      </c>
      <c r="B248" s="10" t="s">
        <v>50</v>
      </c>
      <c r="C248" s="61">
        <f>40356+(3*364-140)</f>
        <v>41308</v>
      </c>
      <c r="D248" s="62">
        <f t="shared" ca="1" si="3"/>
        <v>2</v>
      </c>
      <c r="E248" s="62" t="s">
        <v>33</v>
      </c>
      <c r="F248" s="63">
        <v>104117</v>
      </c>
      <c r="G248" s="64"/>
    </row>
    <row r="249" spans="1:7" x14ac:dyDescent="0.25">
      <c r="A249" s="60">
        <v>219740602</v>
      </c>
      <c r="B249" s="10" t="s">
        <v>51</v>
      </c>
      <c r="C249" s="61">
        <f>34027+(3*364-140)</f>
        <v>34979</v>
      </c>
      <c r="D249" s="62">
        <f t="shared" ca="1" si="3"/>
        <v>20</v>
      </c>
      <c r="E249" s="62" t="s">
        <v>34</v>
      </c>
      <c r="F249" s="63">
        <v>20820</v>
      </c>
      <c r="G249" s="64"/>
    </row>
    <row r="250" spans="1:7" x14ac:dyDescent="0.25">
      <c r="A250" s="60">
        <v>319449613</v>
      </c>
      <c r="B250" s="10" t="s">
        <v>44</v>
      </c>
      <c r="C250" s="61">
        <f>37010+(3*364-140)</f>
        <v>37962</v>
      </c>
      <c r="D250" s="62">
        <f t="shared" ca="1" si="3"/>
        <v>12</v>
      </c>
      <c r="E250" s="62" t="s">
        <v>26</v>
      </c>
      <c r="F250" s="63">
        <v>49088</v>
      </c>
      <c r="G250" s="64"/>
    </row>
    <row r="251" spans="1:7" x14ac:dyDescent="0.25">
      <c r="A251" s="60">
        <v>970466937</v>
      </c>
      <c r="B251" s="10" t="s">
        <v>54</v>
      </c>
      <c r="C251" s="61">
        <f>34173+(3*364-140)</f>
        <v>35125</v>
      </c>
      <c r="D251" s="62">
        <f t="shared" ca="1" si="3"/>
        <v>19</v>
      </c>
      <c r="E251" s="62"/>
      <c r="F251" s="63">
        <v>81224</v>
      </c>
      <c r="G251" s="64"/>
    </row>
    <row r="252" spans="1:7" x14ac:dyDescent="0.25">
      <c r="A252" s="60">
        <v>820244290</v>
      </c>
      <c r="B252" s="10" t="s">
        <v>44</v>
      </c>
      <c r="C252" s="61">
        <f>34657+(3*364-140)</f>
        <v>35609</v>
      </c>
      <c r="D252" s="62">
        <f t="shared" ca="1" si="3"/>
        <v>18</v>
      </c>
      <c r="E252" s="62"/>
      <c r="F252" s="63">
        <v>96187</v>
      </c>
      <c r="G252" s="64"/>
    </row>
    <row r="253" spans="1:7" x14ac:dyDescent="0.25">
      <c r="A253" s="60">
        <v>635767088</v>
      </c>
      <c r="B253" s="10" t="s">
        <v>44</v>
      </c>
      <c r="C253" s="61">
        <f>37655+(3*364-140)</f>
        <v>38607</v>
      </c>
      <c r="D253" s="62">
        <f t="shared" ca="1" si="3"/>
        <v>10</v>
      </c>
      <c r="E253" s="62"/>
      <c r="F253" s="63">
        <v>89063</v>
      </c>
      <c r="G253" s="64"/>
    </row>
    <row r="254" spans="1:7" x14ac:dyDescent="0.25">
      <c r="A254" s="60">
        <v>925049144</v>
      </c>
      <c r="B254" s="10" t="s">
        <v>39</v>
      </c>
      <c r="C254" s="61">
        <f>36927+(3*364-140)</f>
        <v>37879</v>
      </c>
      <c r="D254" s="62">
        <f t="shared" ca="1" si="3"/>
        <v>12</v>
      </c>
      <c r="E254" s="62" t="s">
        <v>24</v>
      </c>
      <c r="F254" s="63">
        <v>64818</v>
      </c>
      <c r="G254" s="64"/>
    </row>
    <row r="255" spans="1:7" x14ac:dyDescent="0.25">
      <c r="A255" s="60">
        <v>618535019</v>
      </c>
      <c r="B255" s="10" t="s">
        <v>44</v>
      </c>
      <c r="C255" s="61">
        <f>36610+(3*364-140)</f>
        <v>37562</v>
      </c>
      <c r="D255" s="62">
        <f t="shared" ca="1" si="3"/>
        <v>13</v>
      </c>
      <c r="E255" s="62" t="s">
        <v>33</v>
      </c>
      <c r="F255" s="63">
        <v>116662</v>
      </c>
      <c r="G255" s="64"/>
    </row>
    <row r="256" spans="1:7" x14ac:dyDescent="0.25">
      <c r="A256" s="60">
        <v>470935648</v>
      </c>
      <c r="B256" s="10" t="s">
        <v>44</v>
      </c>
      <c r="C256" s="61">
        <f>39215+(3*364-140)</f>
        <v>40167</v>
      </c>
      <c r="D256" s="62">
        <f t="shared" ca="1" si="3"/>
        <v>5</v>
      </c>
      <c r="E256" s="62"/>
      <c r="F256" s="63">
        <v>51584</v>
      </c>
      <c r="G256" s="64"/>
    </row>
    <row r="257" spans="1:7" x14ac:dyDescent="0.25">
      <c r="A257" s="60">
        <v>459522265</v>
      </c>
      <c r="B257" s="10" t="s">
        <v>37</v>
      </c>
      <c r="C257" s="61">
        <f>34253+(3*364-140)</f>
        <v>35205</v>
      </c>
      <c r="D257" s="62">
        <f t="shared" ca="1" si="3"/>
        <v>19</v>
      </c>
      <c r="E257" s="62" t="s">
        <v>28</v>
      </c>
      <c r="F257" s="63">
        <v>79820</v>
      </c>
      <c r="G257" s="64"/>
    </row>
    <row r="258" spans="1:7" x14ac:dyDescent="0.25">
      <c r="A258" s="60">
        <v>881242432</v>
      </c>
      <c r="B258" s="10" t="s">
        <v>50</v>
      </c>
      <c r="C258" s="61">
        <f>34606+(3*364-140)</f>
        <v>35558</v>
      </c>
      <c r="D258" s="62">
        <f t="shared" ref="D258:D321" ca="1" si="4">DATEDIF(C258,TODAY(),"Y")</f>
        <v>18</v>
      </c>
      <c r="E258" s="62" t="s">
        <v>28</v>
      </c>
      <c r="F258" s="63">
        <v>88413</v>
      </c>
      <c r="G258" s="64"/>
    </row>
    <row r="259" spans="1:7" x14ac:dyDescent="0.25">
      <c r="A259" s="60">
        <v>695198896</v>
      </c>
      <c r="B259" s="10" t="s">
        <v>54</v>
      </c>
      <c r="C259" s="61">
        <f>36504+(3*364-140)</f>
        <v>37456</v>
      </c>
      <c r="D259" s="62">
        <f t="shared" ca="1" si="4"/>
        <v>13</v>
      </c>
      <c r="E259" s="62"/>
      <c r="F259" s="63">
        <v>58539</v>
      </c>
      <c r="G259" s="64"/>
    </row>
    <row r="260" spans="1:7" x14ac:dyDescent="0.25">
      <c r="A260" s="60">
        <v>768681542</v>
      </c>
      <c r="B260" s="10" t="s">
        <v>31</v>
      </c>
      <c r="C260" s="61">
        <f>36142+(3*364-140)</f>
        <v>37094</v>
      </c>
      <c r="D260" s="62">
        <f t="shared" ca="1" si="4"/>
        <v>14</v>
      </c>
      <c r="E260" s="62" t="s">
        <v>24</v>
      </c>
      <c r="F260" s="63">
        <v>79079</v>
      </c>
      <c r="G260" s="64"/>
    </row>
    <row r="261" spans="1:7" x14ac:dyDescent="0.25">
      <c r="A261" s="60">
        <v>264960848</v>
      </c>
      <c r="B261" s="10" t="s">
        <v>51</v>
      </c>
      <c r="C261" s="61">
        <f>33964+(3*364-140)</f>
        <v>34916</v>
      </c>
      <c r="D261" s="62">
        <f t="shared" ca="1" si="4"/>
        <v>20</v>
      </c>
      <c r="E261" s="62"/>
      <c r="F261" s="63">
        <v>63791</v>
      </c>
      <c r="G261" s="64"/>
    </row>
    <row r="262" spans="1:7" x14ac:dyDescent="0.25">
      <c r="A262" s="60">
        <v>914041569</v>
      </c>
      <c r="B262" s="10" t="s">
        <v>41</v>
      </c>
      <c r="C262" s="61">
        <f>41078+(3*364-140)</f>
        <v>42030</v>
      </c>
      <c r="D262" s="62">
        <f t="shared" ca="1" si="4"/>
        <v>0</v>
      </c>
      <c r="E262" s="62" t="s">
        <v>33</v>
      </c>
      <c r="F262" s="63">
        <v>102895</v>
      </c>
      <c r="G262" s="64"/>
    </row>
    <row r="263" spans="1:7" x14ac:dyDescent="0.25">
      <c r="A263" s="60">
        <v>503036433</v>
      </c>
      <c r="B263" s="10" t="s">
        <v>52</v>
      </c>
      <c r="C263" s="61">
        <f>34138+(3*364-140)</f>
        <v>35090</v>
      </c>
      <c r="D263" s="62">
        <f t="shared" ca="1" si="4"/>
        <v>19</v>
      </c>
      <c r="E263" s="62" t="s">
        <v>26</v>
      </c>
      <c r="F263" s="63">
        <v>101062</v>
      </c>
      <c r="G263" s="64"/>
    </row>
    <row r="264" spans="1:7" x14ac:dyDescent="0.25">
      <c r="A264" s="60">
        <v>596641549</v>
      </c>
      <c r="B264" s="10" t="s">
        <v>44</v>
      </c>
      <c r="C264" s="61">
        <f>37028+(3*364-140)</f>
        <v>37980</v>
      </c>
      <c r="D264" s="62">
        <f t="shared" ca="1" si="4"/>
        <v>11</v>
      </c>
      <c r="E264" s="62"/>
      <c r="F264" s="63">
        <v>35594</v>
      </c>
      <c r="G264" s="64"/>
    </row>
    <row r="265" spans="1:7" x14ac:dyDescent="0.25">
      <c r="A265" s="60">
        <v>638495756</v>
      </c>
      <c r="B265" s="10" t="s">
        <v>52</v>
      </c>
      <c r="C265" s="61">
        <f>34627+(3*364-140)</f>
        <v>35579</v>
      </c>
      <c r="D265" s="62">
        <f t="shared" ca="1" si="4"/>
        <v>18</v>
      </c>
      <c r="E265" s="62"/>
      <c r="F265" s="63">
        <v>58136</v>
      </c>
      <c r="G265" s="64"/>
    </row>
    <row r="266" spans="1:7" x14ac:dyDescent="0.25">
      <c r="A266" s="60">
        <v>311883362</v>
      </c>
      <c r="B266" s="10" t="s">
        <v>44</v>
      </c>
      <c r="C266" s="61">
        <f>38004+(3*364-140)</f>
        <v>38956</v>
      </c>
      <c r="D266" s="62">
        <f t="shared" ca="1" si="4"/>
        <v>9</v>
      </c>
      <c r="E266" s="62"/>
      <c r="F266" s="63">
        <v>68601</v>
      </c>
      <c r="G266" s="64"/>
    </row>
    <row r="267" spans="1:7" x14ac:dyDescent="0.25">
      <c r="A267" s="60">
        <v>924942231</v>
      </c>
      <c r="B267" s="10" t="s">
        <v>52</v>
      </c>
      <c r="C267" s="61">
        <f>40844+(3*364-140)</f>
        <v>41796</v>
      </c>
      <c r="D267" s="62">
        <f t="shared" ca="1" si="4"/>
        <v>1</v>
      </c>
      <c r="E267" s="62" t="s">
        <v>34</v>
      </c>
      <c r="F267" s="63">
        <v>32819</v>
      </c>
      <c r="G267" s="64"/>
    </row>
    <row r="268" spans="1:7" x14ac:dyDescent="0.25">
      <c r="A268" s="60">
        <v>711445298</v>
      </c>
      <c r="B268" s="10" t="s">
        <v>50</v>
      </c>
      <c r="C268" s="61">
        <f>41298+(3*364-140)</f>
        <v>42250</v>
      </c>
      <c r="D268" s="62">
        <f t="shared" ca="1" si="4"/>
        <v>0</v>
      </c>
      <c r="E268" s="62"/>
      <c r="F268" s="63">
        <v>109590</v>
      </c>
      <c r="G268" s="64"/>
    </row>
    <row r="269" spans="1:7" x14ac:dyDescent="0.25">
      <c r="A269" s="60">
        <v>876082195</v>
      </c>
      <c r="B269" s="10" t="s">
        <v>54</v>
      </c>
      <c r="C269" s="61">
        <f>37008+(3*364-140)</f>
        <v>37960</v>
      </c>
      <c r="D269" s="62">
        <f t="shared" ca="1" si="4"/>
        <v>12</v>
      </c>
      <c r="E269" s="62" t="s">
        <v>34</v>
      </c>
      <c r="F269" s="63">
        <v>80405</v>
      </c>
      <c r="G269" s="64"/>
    </row>
    <row r="270" spans="1:7" x14ac:dyDescent="0.25">
      <c r="A270" s="60">
        <v>775217609</v>
      </c>
      <c r="B270" s="10" t="s">
        <v>44</v>
      </c>
      <c r="C270" s="61">
        <f>35082+(3*364-140)</f>
        <v>36034</v>
      </c>
      <c r="D270" s="62">
        <f t="shared" ca="1" si="4"/>
        <v>17</v>
      </c>
      <c r="E270" s="62" t="s">
        <v>33</v>
      </c>
      <c r="F270" s="63">
        <v>32123</v>
      </c>
      <c r="G270" s="64"/>
    </row>
    <row r="271" spans="1:7" x14ac:dyDescent="0.25">
      <c r="A271" s="60">
        <v>914428485</v>
      </c>
      <c r="B271" s="10" t="s">
        <v>22</v>
      </c>
      <c r="C271" s="61">
        <f>33968+(3*364-140)</f>
        <v>34920</v>
      </c>
      <c r="D271" s="62">
        <f t="shared" ca="1" si="4"/>
        <v>20</v>
      </c>
      <c r="E271" s="62" t="s">
        <v>28</v>
      </c>
      <c r="F271" s="63">
        <v>34834</v>
      </c>
      <c r="G271" s="64"/>
    </row>
    <row r="272" spans="1:7" x14ac:dyDescent="0.25">
      <c r="A272" s="60">
        <v>964255290</v>
      </c>
      <c r="B272" s="10" t="s">
        <v>54</v>
      </c>
      <c r="C272" s="61">
        <f>40696+(3*364-140)</f>
        <v>41648</v>
      </c>
      <c r="D272" s="62">
        <f t="shared" ca="1" si="4"/>
        <v>1</v>
      </c>
      <c r="E272" s="62" t="s">
        <v>33</v>
      </c>
      <c r="F272" s="63">
        <v>45487</v>
      </c>
      <c r="G272" s="64"/>
    </row>
    <row r="273" spans="1:7" x14ac:dyDescent="0.25">
      <c r="A273" s="60">
        <v>167646549</v>
      </c>
      <c r="B273" s="10" t="s">
        <v>48</v>
      </c>
      <c r="C273" s="61">
        <f>38481+(3*364-140)</f>
        <v>39433</v>
      </c>
      <c r="D273" s="62">
        <f t="shared" ca="1" si="4"/>
        <v>7</v>
      </c>
      <c r="E273" s="62"/>
      <c r="F273" s="63">
        <v>101530</v>
      </c>
      <c r="G273" s="64"/>
    </row>
    <row r="274" spans="1:7" x14ac:dyDescent="0.25">
      <c r="A274" s="60">
        <v>668708287</v>
      </c>
      <c r="B274" s="10" t="s">
        <v>53</v>
      </c>
      <c r="C274" s="61">
        <f>36484+(3*364-140)</f>
        <v>37436</v>
      </c>
      <c r="D274" s="62">
        <f t="shared" ca="1" si="4"/>
        <v>13</v>
      </c>
      <c r="E274" s="62"/>
      <c r="F274" s="63">
        <v>111930</v>
      </c>
      <c r="G274" s="64"/>
    </row>
    <row r="275" spans="1:7" x14ac:dyDescent="0.25">
      <c r="A275" s="60">
        <v>945160038</v>
      </c>
      <c r="B275" s="10" t="s">
        <v>52</v>
      </c>
      <c r="C275" s="61">
        <f>38379+(3*364-140)</f>
        <v>39331</v>
      </c>
      <c r="D275" s="62">
        <f t="shared" ca="1" si="4"/>
        <v>8</v>
      </c>
      <c r="E275" s="62" t="s">
        <v>28</v>
      </c>
      <c r="F275" s="63">
        <v>30628</v>
      </c>
      <c r="G275" s="64"/>
    </row>
    <row r="276" spans="1:7" x14ac:dyDescent="0.25">
      <c r="A276" s="60">
        <v>135633006</v>
      </c>
      <c r="B276" s="10" t="s">
        <v>53</v>
      </c>
      <c r="C276" s="61">
        <f>37157+(3*364-140)</f>
        <v>38109</v>
      </c>
      <c r="D276" s="62">
        <f t="shared" ca="1" si="4"/>
        <v>11</v>
      </c>
      <c r="E276" s="62"/>
      <c r="F276" s="63">
        <v>71292</v>
      </c>
      <c r="G276" s="64"/>
    </row>
    <row r="277" spans="1:7" x14ac:dyDescent="0.25">
      <c r="A277" s="60">
        <v>589649495</v>
      </c>
      <c r="B277" s="10" t="s">
        <v>44</v>
      </c>
      <c r="C277" s="61">
        <f>37385+(3*364-140)</f>
        <v>38337</v>
      </c>
      <c r="D277" s="62">
        <f t="shared" ca="1" si="4"/>
        <v>10</v>
      </c>
      <c r="E277" s="62" t="s">
        <v>34</v>
      </c>
      <c r="F277" s="63">
        <v>50531</v>
      </c>
      <c r="G277" s="64"/>
    </row>
    <row r="278" spans="1:7" x14ac:dyDescent="0.25">
      <c r="A278" s="60">
        <v>365499498</v>
      </c>
      <c r="B278" s="10" t="s">
        <v>50</v>
      </c>
      <c r="C278" s="61">
        <f>39485+(3*364-140)</f>
        <v>40437</v>
      </c>
      <c r="D278" s="62">
        <f t="shared" ca="1" si="4"/>
        <v>5</v>
      </c>
      <c r="E278" s="62" t="s">
        <v>24</v>
      </c>
      <c r="F278" s="63">
        <v>61178</v>
      </c>
      <c r="G278" s="64"/>
    </row>
    <row r="279" spans="1:7" x14ac:dyDescent="0.25">
      <c r="A279" s="60">
        <v>425598783</v>
      </c>
      <c r="B279" s="10" t="s">
        <v>42</v>
      </c>
      <c r="C279" s="61">
        <f>35748+(3*364-140)</f>
        <v>36700</v>
      </c>
      <c r="D279" s="62">
        <f t="shared" ca="1" si="4"/>
        <v>15</v>
      </c>
      <c r="E279" s="62" t="s">
        <v>34</v>
      </c>
      <c r="F279" s="63">
        <v>27586</v>
      </c>
      <c r="G279" s="64"/>
    </row>
    <row r="280" spans="1:7" x14ac:dyDescent="0.25">
      <c r="A280" s="60">
        <v>330879921</v>
      </c>
      <c r="B280" s="10" t="s">
        <v>52</v>
      </c>
      <c r="C280" s="61">
        <f>36766+(3*364-140)</f>
        <v>37718</v>
      </c>
      <c r="D280" s="62">
        <f t="shared" ca="1" si="4"/>
        <v>12</v>
      </c>
      <c r="E280" s="62" t="s">
        <v>26</v>
      </c>
      <c r="F280" s="63">
        <v>70954</v>
      </c>
      <c r="G280" s="64"/>
    </row>
    <row r="281" spans="1:7" x14ac:dyDescent="0.25">
      <c r="A281" s="60">
        <v>644862142</v>
      </c>
      <c r="B281" s="10" t="s">
        <v>37</v>
      </c>
      <c r="C281" s="61">
        <f>35329+(3*364-140)</f>
        <v>36281</v>
      </c>
      <c r="D281" s="62">
        <f t="shared" ca="1" si="4"/>
        <v>16</v>
      </c>
      <c r="E281" s="62"/>
      <c r="F281" s="63">
        <v>60671</v>
      </c>
      <c r="G281" s="64"/>
    </row>
    <row r="282" spans="1:7" x14ac:dyDescent="0.25">
      <c r="A282" s="60">
        <v>370608224</v>
      </c>
      <c r="B282" s="10" t="s">
        <v>46</v>
      </c>
      <c r="C282" s="61">
        <f>38085+(3*364-140)</f>
        <v>39037</v>
      </c>
      <c r="D282" s="62">
        <f t="shared" ca="1" si="4"/>
        <v>9</v>
      </c>
      <c r="E282" s="62" t="s">
        <v>24</v>
      </c>
      <c r="F282" s="63">
        <v>76882</v>
      </c>
      <c r="G282" s="64"/>
    </row>
    <row r="283" spans="1:7" x14ac:dyDescent="0.25">
      <c r="A283" s="60">
        <v>275102740</v>
      </c>
      <c r="B283" s="10" t="s">
        <v>47</v>
      </c>
      <c r="C283" s="61">
        <f>34373+(3*364-140)</f>
        <v>35325</v>
      </c>
      <c r="D283" s="62">
        <f t="shared" ca="1" si="4"/>
        <v>19</v>
      </c>
      <c r="E283" s="62" t="s">
        <v>28</v>
      </c>
      <c r="F283" s="63">
        <v>78728</v>
      </c>
      <c r="G283" s="64"/>
    </row>
    <row r="284" spans="1:7" x14ac:dyDescent="0.25">
      <c r="A284" s="60">
        <v>487810878</v>
      </c>
      <c r="B284" s="10" t="s">
        <v>44</v>
      </c>
      <c r="C284" s="61">
        <f>34746+(3*364-140)</f>
        <v>35698</v>
      </c>
      <c r="D284" s="62">
        <f t="shared" ca="1" si="4"/>
        <v>18</v>
      </c>
      <c r="E284" s="62" t="s">
        <v>33</v>
      </c>
      <c r="F284" s="63">
        <v>30329</v>
      </c>
      <c r="G284" s="64"/>
    </row>
    <row r="285" spans="1:7" x14ac:dyDescent="0.25">
      <c r="A285" s="60">
        <v>959568761</v>
      </c>
      <c r="B285" s="10" t="s">
        <v>50</v>
      </c>
      <c r="C285" s="61">
        <f>34135+(3*364-140)</f>
        <v>35087</v>
      </c>
      <c r="D285" s="62">
        <f t="shared" ca="1" si="4"/>
        <v>19</v>
      </c>
      <c r="E285" s="62" t="s">
        <v>26</v>
      </c>
      <c r="F285" s="63">
        <v>79911</v>
      </c>
      <c r="G285" s="64"/>
    </row>
    <row r="286" spans="1:7" x14ac:dyDescent="0.25">
      <c r="A286" s="60">
        <v>617795992</v>
      </c>
      <c r="B286" s="10" t="s">
        <v>50</v>
      </c>
      <c r="C286" s="61">
        <f>34256+(3*364-140)</f>
        <v>35208</v>
      </c>
      <c r="D286" s="62">
        <f t="shared" ca="1" si="4"/>
        <v>19</v>
      </c>
      <c r="E286" s="62" t="s">
        <v>24</v>
      </c>
      <c r="F286" s="63">
        <v>56654</v>
      </c>
      <c r="G286" s="64"/>
    </row>
    <row r="287" spans="1:7" x14ac:dyDescent="0.25">
      <c r="A287" s="60">
        <v>597641409</v>
      </c>
      <c r="B287" s="10" t="s">
        <v>47</v>
      </c>
      <c r="C287" s="61">
        <f>36535+(3*364-140)</f>
        <v>37487</v>
      </c>
      <c r="D287" s="62">
        <f t="shared" ca="1" si="4"/>
        <v>13</v>
      </c>
      <c r="E287" s="62" t="s">
        <v>33</v>
      </c>
      <c r="F287" s="63">
        <v>106743</v>
      </c>
      <c r="G287" s="64"/>
    </row>
    <row r="288" spans="1:7" x14ac:dyDescent="0.25">
      <c r="A288" s="60">
        <v>150132247</v>
      </c>
      <c r="B288" s="10" t="s">
        <v>50</v>
      </c>
      <c r="C288" s="61">
        <f>34559+(3*364-140)</f>
        <v>35511</v>
      </c>
      <c r="D288" s="62">
        <f t="shared" ca="1" si="4"/>
        <v>18</v>
      </c>
      <c r="E288" s="62" t="s">
        <v>34</v>
      </c>
      <c r="F288" s="63">
        <v>60983</v>
      </c>
      <c r="G288" s="64"/>
    </row>
    <row r="289" spans="1:7" x14ac:dyDescent="0.25">
      <c r="A289" s="60">
        <v>232896341</v>
      </c>
      <c r="B289" s="10" t="s">
        <v>42</v>
      </c>
      <c r="C289" s="61">
        <f>40914+(3*364-140)</f>
        <v>41866</v>
      </c>
      <c r="D289" s="62">
        <f t="shared" ca="1" si="4"/>
        <v>1</v>
      </c>
      <c r="E289" s="62"/>
      <c r="F289" s="63">
        <v>59579</v>
      </c>
      <c r="G289" s="64"/>
    </row>
    <row r="290" spans="1:7" x14ac:dyDescent="0.25">
      <c r="A290" s="60">
        <v>765836666</v>
      </c>
      <c r="B290" s="10" t="s">
        <v>53</v>
      </c>
      <c r="C290" s="61">
        <f>39831+(3*364-140)</f>
        <v>40783</v>
      </c>
      <c r="D290" s="62">
        <f t="shared" ca="1" si="4"/>
        <v>4</v>
      </c>
      <c r="E290" s="62" t="s">
        <v>33</v>
      </c>
      <c r="F290" s="63">
        <v>56680</v>
      </c>
      <c r="G290" s="64"/>
    </row>
    <row r="291" spans="1:7" x14ac:dyDescent="0.25">
      <c r="A291" s="60">
        <v>180832423</v>
      </c>
      <c r="B291" s="10" t="s">
        <v>53</v>
      </c>
      <c r="C291" s="61">
        <f>36756+(3*364-140)</f>
        <v>37708</v>
      </c>
      <c r="D291" s="62">
        <f t="shared" ca="1" si="4"/>
        <v>12</v>
      </c>
      <c r="E291" s="62" t="s">
        <v>34</v>
      </c>
      <c r="F291" s="63">
        <v>103493</v>
      </c>
      <c r="G291" s="64"/>
    </row>
    <row r="292" spans="1:7" x14ac:dyDescent="0.25">
      <c r="A292" s="60">
        <v>787156286</v>
      </c>
      <c r="B292" s="10" t="s">
        <v>37</v>
      </c>
      <c r="C292" s="61">
        <f>34026+(3*364-140)</f>
        <v>34978</v>
      </c>
      <c r="D292" s="62">
        <f t="shared" ca="1" si="4"/>
        <v>20</v>
      </c>
      <c r="E292" s="62" t="s">
        <v>34</v>
      </c>
      <c r="F292" s="63">
        <v>64753</v>
      </c>
      <c r="G292" s="64"/>
    </row>
    <row r="293" spans="1:7" x14ac:dyDescent="0.25">
      <c r="A293" s="60">
        <v>772163640</v>
      </c>
      <c r="B293" s="10" t="s">
        <v>44</v>
      </c>
      <c r="C293" s="61">
        <f>37122+(3*364-140)</f>
        <v>38074</v>
      </c>
      <c r="D293" s="62">
        <f t="shared" ca="1" si="4"/>
        <v>11</v>
      </c>
      <c r="E293" s="62" t="s">
        <v>24</v>
      </c>
      <c r="F293" s="63">
        <v>87464</v>
      </c>
      <c r="G293" s="64"/>
    </row>
    <row r="294" spans="1:7" x14ac:dyDescent="0.25">
      <c r="A294" s="60">
        <v>114005397</v>
      </c>
      <c r="B294" s="10" t="s">
        <v>44</v>
      </c>
      <c r="C294" s="61">
        <f>39867+(3*364-140)</f>
        <v>40819</v>
      </c>
      <c r="D294" s="62">
        <f t="shared" ca="1" si="4"/>
        <v>4</v>
      </c>
      <c r="E294" s="62"/>
      <c r="F294" s="63">
        <v>83005</v>
      </c>
      <c r="G294" s="64"/>
    </row>
    <row r="295" spans="1:7" x14ac:dyDescent="0.25">
      <c r="A295" s="60">
        <v>416394493</v>
      </c>
      <c r="B295" s="10" t="s">
        <v>44</v>
      </c>
      <c r="C295" s="61">
        <f>36616+(3*364-140)</f>
        <v>37568</v>
      </c>
      <c r="D295" s="62">
        <f t="shared" ca="1" si="4"/>
        <v>13</v>
      </c>
      <c r="E295" s="62" t="s">
        <v>26</v>
      </c>
      <c r="F295" s="63">
        <v>72085</v>
      </c>
      <c r="G295" s="64"/>
    </row>
    <row r="296" spans="1:7" x14ac:dyDescent="0.25">
      <c r="A296" s="60">
        <v>984570981</v>
      </c>
      <c r="B296" s="10" t="s">
        <v>44</v>
      </c>
      <c r="C296" s="61">
        <f>36947+(3*364-140)</f>
        <v>37899</v>
      </c>
      <c r="D296" s="62">
        <f t="shared" ca="1" si="4"/>
        <v>12</v>
      </c>
      <c r="E296" s="62" t="s">
        <v>33</v>
      </c>
      <c r="F296" s="63">
        <v>62647</v>
      </c>
      <c r="G296" s="64"/>
    </row>
    <row r="297" spans="1:7" x14ac:dyDescent="0.25">
      <c r="A297" s="60">
        <v>859204644</v>
      </c>
      <c r="B297" s="10" t="s">
        <v>48</v>
      </c>
      <c r="C297" s="61">
        <f>36402+(3*364-140)</f>
        <v>37354</v>
      </c>
      <c r="D297" s="62">
        <f t="shared" ca="1" si="4"/>
        <v>13</v>
      </c>
      <c r="E297" s="62"/>
      <c r="F297" s="63">
        <v>112411</v>
      </c>
      <c r="G297" s="64"/>
    </row>
    <row r="298" spans="1:7" x14ac:dyDescent="0.25">
      <c r="A298" s="60">
        <v>504735443</v>
      </c>
      <c r="B298" s="10" t="s">
        <v>37</v>
      </c>
      <c r="C298" s="61">
        <f>36580+(3*364-140)</f>
        <v>37532</v>
      </c>
      <c r="D298" s="62">
        <f t="shared" ca="1" si="4"/>
        <v>13</v>
      </c>
      <c r="E298" s="62"/>
      <c r="F298" s="63">
        <v>82342</v>
      </c>
      <c r="G298" s="64"/>
    </row>
    <row r="299" spans="1:7" x14ac:dyDescent="0.25">
      <c r="A299" s="60">
        <v>827277063</v>
      </c>
      <c r="B299" s="10" t="s">
        <v>56</v>
      </c>
      <c r="C299" s="61">
        <f>41221+(3*364-140)</f>
        <v>42173</v>
      </c>
      <c r="D299" s="62">
        <f t="shared" ca="1" si="4"/>
        <v>0</v>
      </c>
      <c r="E299" s="62"/>
      <c r="F299" s="63">
        <v>24757</v>
      </c>
      <c r="G299" s="64"/>
    </row>
    <row r="300" spans="1:7" x14ac:dyDescent="0.25">
      <c r="A300" s="60">
        <v>738946277</v>
      </c>
      <c r="B300" s="10" t="s">
        <v>47</v>
      </c>
      <c r="C300" s="61">
        <f>33901+(3*364-140)</f>
        <v>34853</v>
      </c>
      <c r="D300" s="62">
        <f t="shared" ca="1" si="4"/>
        <v>20</v>
      </c>
      <c r="E300" s="62" t="s">
        <v>28</v>
      </c>
      <c r="F300" s="63">
        <v>40638</v>
      </c>
      <c r="G300" s="64"/>
    </row>
    <row r="301" spans="1:7" x14ac:dyDescent="0.25">
      <c r="A301" s="60">
        <v>525699951</v>
      </c>
      <c r="B301" s="10" t="s">
        <v>52</v>
      </c>
      <c r="C301" s="61">
        <f>36624+(3*364-140)</f>
        <v>37576</v>
      </c>
      <c r="D301" s="62">
        <f t="shared" ca="1" si="4"/>
        <v>13</v>
      </c>
      <c r="E301" s="62"/>
      <c r="F301" s="63">
        <v>37264</v>
      </c>
      <c r="G301" s="64"/>
    </row>
    <row r="302" spans="1:7" x14ac:dyDescent="0.25">
      <c r="A302" s="60">
        <v>265993407</v>
      </c>
      <c r="B302" s="10" t="s">
        <v>53</v>
      </c>
      <c r="C302" s="61">
        <f>33960+(3*364-140)</f>
        <v>34912</v>
      </c>
      <c r="D302" s="62">
        <f t="shared" ca="1" si="4"/>
        <v>20</v>
      </c>
      <c r="E302" s="62"/>
      <c r="F302" s="63">
        <v>116285</v>
      </c>
      <c r="G302" s="64"/>
    </row>
    <row r="303" spans="1:7" x14ac:dyDescent="0.25">
      <c r="A303" s="60">
        <v>930282755</v>
      </c>
      <c r="B303" s="10" t="s">
        <v>44</v>
      </c>
      <c r="C303" s="61">
        <f>35867+(3*364-140)</f>
        <v>36819</v>
      </c>
      <c r="D303" s="62">
        <f t="shared" ca="1" si="4"/>
        <v>15</v>
      </c>
      <c r="E303" s="62" t="s">
        <v>24</v>
      </c>
      <c r="F303" s="63">
        <v>60171</v>
      </c>
      <c r="G303" s="64"/>
    </row>
    <row r="304" spans="1:7" x14ac:dyDescent="0.25">
      <c r="A304" s="60">
        <v>554029540</v>
      </c>
      <c r="B304" s="10" t="s">
        <v>52</v>
      </c>
      <c r="C304" s="61">
        <f>33912+(3*364-140)</f>
        <v>34864</v>
      </c>
      <c r="D304" s="62">
        <f t="shared" ca="1" si="4"/>
        <v>20</v>
      </c>
      <c r="E304" s="62"/>
      <c r="F304" s="63">
        <v>76245</v>
      </c>
      <c r="G304" s="64"/>
    </row>
    <row r="305" spans="1:7" x14ac:dyDescent="0.25">
      <c r="A305" s="60">
        <v>529609767</v>
      </c>
      <c r="B305" s="10" t="s">
        <v>36</v>
      </c>
      <c r="C305" s="61">
        <f>36073+(3*364-140)</f>
        <v>37025</v>
      </c>
      <c r="D305" s="62">
        <f t="shared" ca="1" si="4"/>
        <v>14</v>
      </c>
      <c r="E305" s="62"/>
      <c r="F305" s="63">
        <v>75569</v>
      </c>
      <c r="G305" s="64"/>
    </row>
    <row r="306" spans="1:7" x14ac:dyDescent="0.25">
      <c r="A306" s="60">
        <v>364404060</v>
      </c>
      <c r="B306" s="10" t="s">
        <v>47</v>
      </c>
      <c r="C306" s="61">
        <f>39040+(3*364-140)</f>
        <v>39992</v>
      </c>
      <c r="D306" s="62">
        <f t="shared" ca="1" si="4"/>
        <v>6</v>
      </c>
      <c r="E306" s="62" t="s">
        <v>24</v>
      </c>
      <c r="F306" s="63">
        <v>40632</v>
      </c>
      <c r="G306" s="64"/>
    </row>
    <row r="307" spans="1:7" x14ac:dyDescent="0.25">
      <c r="A307" s="60">
        <v>836953739</v>
      </c>
      <c r="B307" s="10" t="s">
        <v>53</v>
      </c>
      <c r="C307" s="61">
        <f>37209+(3*364-140)</f>
        <v>38161</v>
      </c>
      <c r="D307" s="62">
        <f t="shared" ca="1" si="4"/>
        <v>11</v>
      </c>
      <c r="E307" s="62" t="s">
        <v>26</v>
      </c>
      <c r="F307" s="63">
        <v>27287</v>
      </c>
      <c r="G307" s="64"/>
    </row>
    <row r="308" spans="1:7" x14ac:dyDescent="0.25">
      <c r="A308" s="60">
        <v>106966222</v>
      </c>
      <c r="B308" s="10" t="s">
        <v>38</v>
      </c>
      <c r="C308" s="61">
        <f>40207+(3*364-140)</f>
        <v>41159</v>
      </c>
      <c r="D308" s="62">
        <f t="shared" ca="1" si="4"/>
        <v>3</v>
      </c>
      <c r="E308" s="62"/>
      <c r="F308" s="63">
        <v>46306</v>
      </c>
      <c r="G308" s="64"/>
    </row>
    <row r="309" spans="1:7" x14ac:dyDescent="0.25">
      <c r="A309" s="60">
        <v>468053610</v>
      </c>
      <c r="B309" s="10" t="s">
        <v>44</v>
      </c>
      <c r="C309" s="61">
        <f>38187+(3*364-140)</f>
        <v>39139</v>
      </c>
      <c r="D309" s="62">
        <f t="shared" ca="1" si="4"/>
        <v>8</v>
      </c>
      <c r="E309" s="62" t="s">
        <v>33</v>
      </c>
      <c r="F309" s="63">
        <v>89804</v>
      </c>
      <c r="G309" s="64"/>
    </row>
    <row r="310" spans="1:7" x14ac:dyDescent="0.25">
      <c r="A310" s="60">
        <v>113252240</v>
      </c>
      <c r="B310" s="10" t="s">
        <v>52</v>
      </c>
      <c r="C310" s="61">
        <f>37214+(3*364-140)</f>
        <v>38166</v>
      </c>
      <c r="D310" s="62">
        <f t="shared" ca="1" si="4"/>
        <v>11</v>
      </c>
      <c r="E310" s="62" t="s">
        <v>24</v>
      </c>
      <c r="F310" s="63">
        <v>81120</v>
      </c>
      <c r="G310" s="64"/>
    </row>
    <row r="311" spans="1:7" x14ac:dyDescent="0.25">
      <c r="A311" s="60">
        <v>249929042</v>
      </c>
      <c r="B311" s="10" t="s">
        <v>44</v>
      </c>
      <c r="C311" s="61">
        <f>39342+(3*364-140)</f>
        <v>40294</v>
      </c>
      <c r="D311" s="62">
        <f t="shared" ca="1" si="4"/>
        <v>5</v>
      </c>
      <c r="E311" s="62" t="s">
        <v>24</v>
      </c>
      <c r="F311" s="63">
        <v>79378</v>
      </c>
      <c r="G311" s="64"/>
    </row>
    <row r="312" spans="1:7" x14ac:dyDescent="0.25">
      <c r="A312" s="60">
        <v>297806507</v>
      </c>
      <c r="B312" s="10" t="s">
        <v>50</v>
      </c>
      <c r="C312" s="61">
        <f>35418+(3*364-140)</f>
        <v>36370</v>
      </c>
      <c r="D312" s="62">
        <f t="shared" ca="1" si="4"/>
        <v>16</v>
      </c>
      <c r="E312" s="62" t="s">
        <v>26</v>
      </c>
      <c r="F312" s="63">
        <v>101192</v>
      </c>
      <c r="G312" s="64"/>
    </row>
    <row r="313" spans="1:7" x14ac:dyDescent="0.25">
      <c r="A313" s="60">
        <v>676534152</v>
      </c>
      <c r="B313" s="10" t="s">
        <v>37</v>
      </c>
      <c r="C313" s="61">
        <f>40970+(3*364-140)</f>
        <v>41922</v>
      </c>
      <c r="D313" s="62">
        <f t="shared" ca="1" si="4"/>
        <v>1</v>
      </c>
      <c r="E313" s="62" t="s">
        <v>24</v>
      </c>
      <c r="F313" s="63">
        <v>30264</v>
      </c>
      <c r="G313" s="64"/>
    </row>
    <row r="314" spans="1:7" x14ac:dyDescent="0.25">
      <c r="A314" s="60">
        <v>659929807</v>
      </c>
      <c r="B314" s="10" t="s">
        <v>42</v>
      </c>
      <c r="C314" s="61">
        <f>39431+(3*364-140)</f>
        <v>40383</v>
      </c>
      <c r="D314" s="62">
        <f t="shared" ca="1" si="4"/>
        <v>5</v>
      </c>
      <c r="E314" s="62" t="s">
        <v>24</v>
      </c>
      <c r="F314" s="63">
        <v>29133</v>
      </c>
      <c r="G314" s="64"/>
    </row>
    <row r="315" spans="1:7" x14ac:dyDescent="0.25">
      <c r="A315" s="60">
        <v>938508346</v>
      </c>
      <c r="B315" s="10" t="s">
        <v>40</v>
      </c>
      <c r="C315" s="61">
        <f>33923+(3*364-140)</f>
        <v>34875</v>
      </c>
      <c r="D315" s="62">
        <f t="shared" ca="1" si="4"/>
        <v>20</v>
      </c>
      <c r="E315" s="62"/>
      <c r="F315" s="63">
        <v>104065</v>
      </c>
      <c r="G315" s="64"/>
    </row>
    <row r="316" spans="1:7" x14ac:dyDescent="0.25">
      <c r="A316" s="60">
        <v>468234190</v>
      </c>
      <c r="B316" s="10" t="s">
        <v>52</v>
      </c>
      <c r="C316" s="61">
        <f>35847+(3*364-140)</f>
        <v>36799</v>
      </c>
      <c r="D316" s="62">
        <f t="shared" ca="1" si="4"/>
        <v>15</v>
      </c>
      <c r="E316" s="62" t="s">
        <v>34</v>
      </c>
      <c r="F316" s="63">
        <v>94432</v>
      </c>
      <c r="G316" s="64"/>
    </row>
    <row r="317" spans="1:7" x14ac:dyDescent="0.25">
      <c r="A317" s="60">
        <v>601942708</v>
      </c>
      <c r="B317" s="10" t="s">
        <v>36</v>
      </c>
      <c r="C317" s="61">
        <f>40830+(3*364-140)</f>
        <v>41782</v>
      </c>
      <c r="D317" s="62">
        <f t="shared" ca="1" si="4"/>
        <v>1</v>
      </c>
      <c r="E317" s="62" t="s">
        <v>33</v>
      </c>
      <c r="F317" s="63">
        <v>37284</v>
      </c>
      <c r="G317" s="64"/>
    </row>
    <row r="318" spans="1:7" x14ac:dyDescent="0.25">
      <c r="A318" s="60">
        <v>627494412</v>
      </c>
      <c r="B318" s="10" t="s">
        <v>54</v>
      </c>
      <c r="C318" s="61">
        <f>35954+(3*364-140)</f>
        <v>36906</v>
      </c>
      <c r="D318" s="62">
        <f t="shared" ca="1" si="4"/>
        <v>14</v>
      </c>
      <c r="E318" s="62" t="s">
        <v>24</v>
      </c>
      <c r="F318" s="63">
        <v>75881</v>
      </c>
      <c r="G318" s="64"/>
    </row>
    <row r="319" spans="1:7" x14ac:dyDescent="0.25">
      <c r="A319" s="60">
        <v>891224981</v>
      </c>
      <c r="B319" s="10" t="s">
        <v>54</v>
      </c>
      <c r="C319" s="61">
        <f>34818+(3*364-140)</f>
        <v>35770</v>
      </c>
      <c r="D319" s="62">
        <f t="shared" ca="1" si="4"/>
        <v>18</v>
      </c>
      <c r="E319" s="62" t="s">
        <v>34</v>
      </c>
      <c r="F319" s="63">
        <v>43797</v>
      </c>
      <c r="G319" s="64"/>
    </row>
    <row r="320" spans="1:7" x14ac:dyDescent="0.25">
      <c r="A320" s="60">
        <v>725737456</v>
      </c>
      <c r="B320" s="10" t="s">
        <v>44</v>
      </c>
      <c r="C320" s="61">
        <f>39552+(3*364-140)</f>
        <v>40504</v>
      </c>
      <c r="D320" s="62">
        <f t="shared" ca="1" si="4"/>
        <v>5</v>
      </c>
      <c r="E320" s="62"/>
      <c r="F320" s="63">
        <v>77129</v>
      </c>
      <c r="G320" s="64"/>
    </row>
    <row r="321" spans="1:7" x14ac:dyDescent="0.25">
      <c r="A321" s="60">
        <v>209846975</v>
      </c>
      <c r="B321" s="10" t="s">
        <v>52</v>
      </c>
      <c r="C321" s="61">
        <f>37927+(3*364-140)</f>
        <v>38879</v>
      </c>
      <c r="D321" s="62">
        <f t="shared" ca="1" si="4"/>
        <v>9</v>
      </c>
      <c r="E321" s="62" t="s">
        <v>34</v>
      </c>
      <c r="F321" s="63">
        <v>48927</v>
      </c>
      <c r="G321" s="64"/>
    </row>
    <row r="322" spans="1:7" x14ac:dyDescent="0.25">
      <c r="A322" s="60">
        <v>930314379</v>
      </c>
      <c r="B322" s="10" t="s">
        <v>44</v>
      </c>
      <c r="C322" s="61">
        <f>40068+(3*364-140)</f>
        <v>41020</v>
      </c>
      <c r="D322" s="62">
        <f t="shared" ref="D322:D385" ca="1" si="5">DATEDIF(C322,TODAY(),"Y")</f>
        <v>3</v>
      </c>
      <c r="E322" s="62" t="s">
        <v>26</v>
      </c>
      <c r="F322" s="63">
        <v>92937</v>
      </c>
      <c r="G322" s="64"/>
    </row>
    <row r="323" spans="1:7" x14ac:dyDescent="0.25">
      <c r="A323" s="60">
        <v>177324163</v>
      </c>
      <c r="B323" s="10" t="s">
        <v>54</v>
      </c>
      <c r="C323" s="61">
        <f>38488+(3*364-140)</f>
        <v>39440</v>
      </c>
      <c r="D323" s="62">
        <f t="shared" ca="1" si="5"/>
        <v>7</v>
      </c>
      <c r="E323" s="62" t="s">
        <v>33</v>
      </c>
      <c r="F323" s="63">
        <v>62413</v>
      </c>
      <c r="G323" s="64"/>
    </row>
    <row r="324" spans="1:7" x14ac:dyDescent="0.25">
      <c r="A324" s="60">
        <v>317749924</v>
      </c>
      <c r="B324" s="10" t="s">
        <v>54</v>
      </c>
      <c r="C324" s="61">
        <f>34655+(3*364-140)</f>
        <v>35607</v>
      </c>
      <c r="D324" s="62">
        <f t="shared" ca="1" si="5"/>
        <v>18</v>
      </c>
      <c r="E324" s="62"/>
      <c r="F324" s="63">
        <v>82277</v>
      </c>
      <c r="G324" s="64"/>
    </row>
    <row r="325" spans="1:7" x14ac:dyDescent="0.25">
      <c r="A325" s="60">
        <v>736688620</v>
      </c>
      <c r="B325" s="10" t="s">
        <v>42</v>
      </c>
      <c r="C325" s="61">
        <f>40446+(3*364-140)</f>
        <v>41398</v>
      </c>
      <c r="D325" s="62">
        <f t="shared" ca="1" si="5"/>
        <v>2</v>
      </c>
      <c r="E325" s="62" t="s">
        <v>24</v>
      </c>
      <c r="F325" s="63">
        <v>51370</v>
      </c>
      <c r="G325" s="64"/>
    </row>
    <row r="326" spans="1:7" x14ac:dyDescent="0.25">
      <c r="A326" s="60">
        <v>198564686</v>
      </c>
      <c r="B326" s="10" t="s">
        <v>51</v>
      </c>
      <c r="C326" s="61">
        <f>33924+(3*364-140)</f>
        <v>34876</v>
      </c>
      <c r="D326" s="62">
        <f t="shared" ca="1" si="5"/>
        <v>20</v>
      </c>
      <c r="E326" s="62" t="s">
        <v>24</v>
      </c>
      <c r="F326" s="63">
        <v>93249</v>
      </c>
      <c r="G326" s="64"/>
    </row>
    <row r="327" spans="1:7" x14ac:dyDescent="0.25">
      <c r="A327" s="60">
        <v>665773893</v>
      </c>
      <c r="B327" s="10" t="s">
        <v>44</v>
      </c>
      <c r="C327" s="61">
        <f>41252+(3*364-140)</f>
        <v>42204</v>
      </c>
      <c r="D327" s="62">
        <f t="shared" ca="1" si="5"/>
        <v>0</v>
      </c>
      <c r="E327" s="62"/>
      <c r="F327" s="63">
        <v>36951</v>
      </c>
      <c r="G327" s="64"/>
    </row>
    <row r="328" spans="1:7" x14ac:dyDescent="0.25">
      <c r="A328" s="60">
        <v>759350847</v>
      </c>
      <c r="B328" s="10" t="s">
        <v>38</v>
      </c>
      <c r="C328" s="61">
        <f>39075+(3*364-140)</f>
        <v>40027</v>
      </c>
      <c r="D328" s="62">
        <f t="shared" ca="1" si="5"/>
        <v>6</v>
      </c>
      <c r="E328" s="62" t="s">
        <v>24</v>
      </c>
      <c r="F328" s="63">
        <v>47619</v>
      </c>
      <c r="G328" s="64"/>
    </row>
    <row r="329" spans="1:7" x14ac:dyDescent="0.25">
      <c r="A329" s="60">
        <v>733413074</v>
      </c>
      <c r="B329" s="10" t="s">
        <v>37</v>
      </c>
      <c r="C329" s="61">
        <f>39648+(3*364-140)</f>
        <v>40600</v>
      </c>
      <c r="D329" s="62">
        <f t="shared" ca="1" si="5"/>
        <v>4</v>
      </c>
      <c r="E329" s="62"/>
      <c r="F329" s="63">
        <v>107991</v>
      </c>
      <c r="G329" s="64"/>
    </row>
    <row r="330" spans="1:7" x14ac:dyDescent="0.25">
      <c r="A330" s="60">
        <v>682500261</v>
      </c>
      <c r="B330" s="10" t="s">
        <v>44</v>
      </c>
      <c r="C330" s="61">
        <f>35559+(3*364-140)</f>
        <v>36511</v>
      </c>
      <c r="D330" s="62">
        <f t="shared" ca="1" si="5"/>
        <v>15</v>
      </c>
      <c r="E330" s="62" t="s">
        <v>28</v>
      </c>
      <c r="F330" s="63">
        <v>81991</v>
      </c>
      <c r="G330" s="64"/>
    </row>
    <row r="331" spans="1:7" x14ac:dyDescent="0.25">
      <c r="A331" s="60">
        <v>124203063</v>
      </c>
      <c r="B331" s="10" t="s">
        <v>39</v>
      </c>
      <c r="C331" s="61">
        <f>41250+(3*364-140)</f>
        <v>42202</v>
      </c>
      <c r="D331" s="62">
        <f t="shared" ca="1" si="5"/>
        <v>0</v>
      </c>
      <c r="E331" s="62" t="s">
        <v>33</v>
      </c>
      <c r="F331" s="63">
        <v>41028</v>
      </c>
      <c r="G331" s="64"/>
    </row>
    <row r="332" spans="1:7" x14ac:dyDescent="0.25">
      <c r="A332" s="60">
        <v>559376297</v>
      </c>
      <c r="B332" s="10" t="s">
        <v>44</v>
      </c>
      <c r="C332" s="61">
        <f>37109+(3*364-140)</f>
        <v>38061</v>
      </c>
      <c r="D332" s="62">
        <f t="shared" ca="1" si="5"/>
        <v>11</v>
      </c>
      <c r="E332" s="62" t="s">
        <v>24</v>
      </c>
      <c r="F332" s="63">
        <v>46566</v>
      </c>
      <c r="G332" s="64"/>
    </row>
    <row r="333" spans="1:7" x14ac:dyDescent="0.25">
      <c r="A333" s="60">
        <v>217968415</v>
      </c>
      <c r="B333" s="10" t="s">
        <v>52</v>
      </c>
      <c r="C333" s="61">
        <f>36499+(3*364-140)</f>
        <v>37451</v>
      </c>
      <c r="D333" s="62">
        <f t="shared" ca="1" si="5"/>
        <v>13</v>
      </c>
      <c r="E333" s="62" t="s">
        <v>26</v>
      </c>
      <c r="F333" s="63">
        <v>29731</v>
      </c>
      <c r="G333" s="64"/>
    </row>
    <row r="334" spans="1:7" x14ac:dyDescent="0.25">
      <c r="A334" s="60">
        <v>936730279</v>
      </c>
      <c r="B334" s="10" t="s">
        <v>37</v>
      </c>
      <c r="C334" s="61">
        <f>36195+(3*364-140)</f>
        <v>37147</v>
      </c>
      <c r="D334" s="62">
        <f t="shared" ca="1" si="5"/>
        <v>14</v>
      </c>
      <c r="E334" s="62" t="s">
        <v>26</v>
      </c>
      <c r="F334" s="63">
        <v>62940</v>
      </c>
      <c r="G334" s="64"/>
    </row>
    <row r="335" spans="1:7" x14ac:dyDescent="0.25">
      <c r="A335" s="60">
        <v>375875723</v>
      </c>
      <c r="B335" s="10" t="s">
        <v>54</v>
      </c>
      <c r="C335" s="61">
        <f>35401+(3*364-140)</f>
        <v>36353</v>
      </c>
      <c r="D335" s="62">
        <f t="shared" ca="1" si="5"/>
        <v>16</v>
      </c>
      <c r="E335" s="62"/>
      <c r="F335" s="63">
        <v>83542</v>
      </c>
      <c r="G335" s="64"/>
    </row>
    <row r="336" spans="1:7" x14ac:dyDescent="0.25">
      <c r="A336" s="60">
        <v>280304785</v>
      </c>
      <c r="B336" s="10" t="s">
        <v>44</v>
      </c>
      <c r="C336" s="61">
        <f>36674+(3*364-140)</f>
        <v>37626</v>
      </c>
      <c r="D336" s="62">
        <f t="shared" ca="1" si="5"/>
        <v>12</v>
      </c>
      <c r="E336" s="62" t="s">
        <v>24</v>
      </c>
      <c r="F336" s="63">
        <v>52442</v>
      </c>
      <c r="G336" s="64"/>
    </row>
    <row r="337" spans="1:7" x14ac:dyDescent="0.25">
      <c r="A337" s="60">
        <v>843875501</v>
      </c>
      <c r="B337" s="10" t="s">
        <v>40</v>
      </c>
      <c r="C337" s="61">
        <f>36854+(3*364-140)</f>
        <v>37806</v>
      </c>
      <c r="D337" s="62">
        <f t="shared" ca="1" si="5"/>
        <v>12</v>
      </c>
      <c r="E337" s="62"/>
      <c r="F337" s="63">
        <v>42822</v>
      </c>
      <c r="G337" s="64"/>
    </row>
    <row r="338" spans="1:7" x14ac:dyDescent="0.25">
      <c r="A338" s="60">
        <v>626501093</v>
      </c>
      <c r="B338" s="10" t="s">
        <v>53</v>
      </c>
      <c r="C338" s="61">
        <f>38705+(3*364-140)</f>
        <v>39657</v>
      </c>
      <c r="D338" s="62">
        <f t="shared" ca="1" si="5"/>
        <v>7</v>
      </c>
      <c r="E338" s="62"/>
      <c r="F338" s="63">
        <v>83967</v>
      </c>
      <c r="G338" s="64"/>
    </row>
    <row r="339" spans="1:7" x14ac:dyDescent="0.25">
      <c r="A339" s="60">
        <v>638271383</v>
      </c>
      <c r="B339" s="10" t="s">
        <v>31</v>
      </c>
      <c r="C339" s="61">
        <f>38820+(3*364-140)</f>
        <v>39772</v>
      </c>
      <c r="D339" s="62">
        <f t="shared" ca="1" si="5"/>
        <v>7</v>
      </c>
      <c r="E339" s="62" t="s">
        <v>24</v>
      </c>
      <c r="F339" s="63">
        <v>64155</v>
      </c>
      <c r="G339" s="64"/>
    </row>
    <row r="340" spans="1:7" x14ac:dyDescent="0.25">
      <c r="A340" s="60">
        <v>132016163</v>
      </c>
      <c r="B340" s="10" t="s">
        <v>47</v>
      </c>
      <c r="C340" s="61">
        <f>40549+(3*364-140)</f>
        <v>41501</v>
      </c>
      <c r="D340" s="62">
        <f t="shared" ca="1" si="5"/>
        <v>2</v>
      </c>
      <c r="E340" s="62" t="s">
        <v>26</v>
      </c>
      <c r="F340" s="63">
        <v>50148</v>
      </c>
      <c r="G340" s="64"/>
    </row>
    <row r="341" spans="1:7" x14ac:dyDescent="0.25">
      <c r="A341" s="60">
        <v>886332647</v>
      </c>
      <c r="B341" s="10" t="s">
        <v>52</v>
      </c>
      <c r="C341" s="61">
        <f>38526+(3*364-140)</f>
        <v>39478</v>
      </c>
      <c r="D341" s="62">
        <f t="shared" ca="1" si="5"/>
        <v>7</v>
      </c>
      <c r="E341" s="62" t="s">
        <v>28</v>
      </c>
      <c r="F341" s="63">
        <v>99983</v>
      </c>
      <c r="G341" s="64"/>
    </row>
    <row r="342" spans="1:7" x14ac:dyDescent="0.25">
      <c r="A342" s="60">
        <v>765512793</v>
      </c>
      <c r="B342" s="10" t="s">
        <v>52</v>
      </c>
      <c r="C342" s="61">
        <f>40542+(3*364-140)</f>
        <v>41494</v>
      </c>
      <c r="D342" s="62">
        <f t="shared" ca="1" si="5"/>
        <v>2</v>
      </c>
      <c r="E342" s="62" t="s">
        <v>24</v>
      </c>
      <c r="F342" s="63">
        <v>83616</v>
      </c>
      <c r="G342" s="64"/>
    </row>
    <row r="343" spans="1:7" x14ac:dyDescent="0.25">
      <c r="A343" s="60">
        <v>113699123</v>
      </c>
      <c r="B343" s="10" t="s">
        <v>42</v>
      </c>
      <c r="C343" s="61">
        <f>33795+(3*364-140)</f>
        <v>34747</v>
      </c>
      <c r="D343" s="62">
        <f t="shared" ca="1" si="5"/>
        <v>20</v>
      </c>
      <c r="E343" s="62" t="s">
        <v>26</v>
      </c>
      <c r="F343" s="63">
        <v>45968</v>
      </c>
      <c r="G343" s="64"/>
    </row>
    <row r="344" spans="1:7" x14ac:dyDescent="0.25">
      <c r="A344" s="60">
        <v>569882669</v>
      </c>
      <c r="B344" s="10" t="s">
        <v>52</v>
      </c>
      <c r="C344" s="61">
        <f>38246+(3*364-140)</f>
        <v>39198</v>
      </c>
      <c r="D344" s="62">
        <f t="shared" ca="1" si="5"/>
        <v>8</v>
      </c>
      <c r="E344" s="62" t="s">
        <v>28</v>
      </c>
      <c r="F344" s="63">
        <v>58630</v>
      </c>
      <c r="G344" s="64"/>
    </row>
    <row r="345" spans="1:7" x14ac:dyDescent="0.25">
      <c r="A345" s="60">
        <v>717503282</v>
      </c>
      <c r="B345" s="10" t="s">
        <v>54</v>
      </c>
      <c r="C345" s="61">
        <f>41201+(3*364-140)</f>
        <v>42153</v>
      </c>
      <c r="D345" s="62">
        <f t="shared" ca="1" si="5"/>
        <v>0</v>
      </c>
      <c r="E345" s="62"/>
      <c r="F345" s="63">
        <v>60541</v>
      </c>
      <c r="G345" s="64"/>
    </row>
    <row r="346" spans="1:7" x14ac:dyDescent="0.25">
      <c r="A346" s="60">
        <v>100679868</v>
      </c>
      <c r="B346" s="10" t="s">
        <v>44</v>
      </c>
      <c r="C346" s="61">
        <f>36485+(3*364-140)</f>
        <v>37437</v>
      </c>
      <c r="D346" s="62">
        <f t="shared" ca="1" si="5"/>
        <v>13</v>
      </c>
      <c r="E346" s="62" t="s">
        <v>24</v>
      </c>
      <c r="F346" s="63">
        <v>63486</v>
      </c>
      <c r="G346" s="64"/>
    </row>
    <row r="347" spans="1:7" x14ac:dyDescent="0.25">
      <c r="A347" s="60">
        <v>843064707</v>
      </c>
      <c r="B347" s="10" t="s">
        <v>44</v>
      </c>
      <c r="C347" s="61">
        <f>41358+(3*364-140)</f>
        <v>42310</v>
      </c>
      <c r="D347" s="62">
        <f t="shared" ca="1" si="5"/>
        <v>0</v>
      </c>
      <c r="E347" s="62"/>
      <c r="F347" s="63">
        <v>74243</v>
      </c>
      <c r="G347" s="64"/>
    </row>
    <row r="348" spans="1:7" x14ac:dyDescent="0.25">
      <c r="A348" s="60">
        <v>960967007</v>
      </c>
      <c r="B348" s="10" t="s">
        <v>50</v>
      </c>
      <c r="C348" s="61">
        <f>37301+(3*364-140)</f>
        <v>38253</v>
      </c>
      <c r="D348" s="62">
        <f t="shared" ca="1" si="5"/>
        <v>11</v>
      </c>
      <c r="E348" s="62"/>
      <c r="F348" s="63">
        <v>39390</v>
      </c>
      <c r="G348" s="64"/>
    </row>
    <row r="349" spans="1:7" x14ac:dyDescent="0.25">
      <c r="A349" s="60">
        <v>393393249</v>
      </c>
      <c r="B349" s="10" t="s">
        <v>37</v>
      </c>
      <c r="C349" s="61">
        <f>37148+(3*364-140)</f>
        <v>38100</v>
      </c>
      <c r="D349" s="62">
        <f t="shared" ca="1" si="5"/>
        <v>11</v>
      </c>
      <c r="E349" s="62"/>
      <c r="F349" s="63">
        <v>30628</v>
      </c>
      <c r="G349" s="64"/>
    </row>
    <row r="350" spans="1:7" x14ac:dyDescent="0.25">
      <c r="A350" s="60">
        <v>102159909</v>
      </c>
      <c r="B350" s="10" t="s">
        <v>53</v>
      </c>
      <c r="C350" s="61">
        <f>35023+(3*364-140)</f>
        <v>35975</v>
      </c>
      <c r="D350" s="62">
        <f t="shared" ca="1" si="5"/>
        <v>17</v>
      </c>
      <c r="E350" s="62"/>
      <c r="F350" s="63">
        <v>47824</v>
      </c>
      <c r="G350" s="64"/>
    </row>
    <row r="351" spans="1:7" x14ac:dyDescent="0.25">
      <c r="A351" s="60">
        <v>505966230</v>
      </c>
      <c r="B351" s="10" t="s">
        <v>44</v>
      </c>
      <c r="C351" s="61">
        <f>34671+(3*364-140)</f>
        <v>35623</v>
      </c>
      <c r="D351" s="62">
        <f t="shared" ca="1" si="5"/>
        <v>18</v>
      </c>
      <c r="E351" s="62" t="s">
        <v>33</v>
      </c>
      <c r="F351" s="63">
        <v>59150</v>
      </c>
      <c r="G351" s="64"/>
    </row>
    <row r="352" spans="1:7" x14ac:dyDescent="0.25">
      <c r="A352" s="60">
        <v>877574472</v>
      </c>
      <c r="B352" s="10" t="s">
        <v>54</v>
      </c>
      <c r="C352" s="61">
        <f>34079+(3*364-140)</f>
        <v>35031</v>
      </c>
      <c r="D352" s="62">
        <f t="shared" ca="1" si="5"/>
        <v>20</v>
      </c>
      <c r="E352" s="62"/>
      <c r="F352" s="63">
        <v>45084</v>
      </c>
      <c r="G352" s="64"/>
    </row>
    <row r="353" spans="1:7" x14ac:dyDescent="0.25">
      <c r="A353" s="60">
        <v>626648632</v>
      </c>
      <c r="B353" s="10" t="s">
        <v>54</v>
      </c>
      <c r="C353" s="61">
        <f>38131+(3*364-140)</f>
        <v>39083</v>
      </c>
      <c r="D353" s="62">
        <f t="shared" ca="1" si="5"/>
        <v>8</v>
      </c>
      <c r="E353" s="62"/>
      <c r="F353" s="63">
        <v>63817</v>
      </c>
      <c r="G353" s="64"/>
    </row>
    <row r="354" spans="1:7" x14ac:dyDescent="0.25">
      <c r="A354" s="60">
        <v>600458368</v>
      </c>
      <c r="B354" s="10" t="s">
        <v>37</v>
      </c>
      <c r="C354" s="61">
        <f>40480+(3*364-140)</f>
        <v>41432</v>
      </c>
      <c r="D354" s="62">
        <f t="shared" ca="1" si="5"/>
        <v>2</v>
      </c>
      <c r="E354" s="62" t="s">
        <v>34</v>
      </c>
      <c r="F354" s="63">
        <v>29296</v>
      </c>
      <c r="G354" s="64"/>
    </row>
    <row r="355" spans="1:7" x14ac:dyDescent="0.25">
      <c r="A355" s="60">
        <v>917714039</v>
      </c>
      <c r="B355" s="10" t="s">
        <v>47</v>
      </c>
      <c r="C355" s="61">
        <f>35898+(3*364-140)</f>
        <v>36850</v>
      </c>
      <c r="D355" s="62">
        <f t="shared" ca="1" si="5"/>
        <v>15</v>
      </c>
      <c r="E355" s="62" t="s">
        <v>26</v>
      </c>
      <c r="F355" s="63">
        <v>91624</v>
      </c>
      <c r="G355" s="64"/>
    </row>
    <row r="356" spans="1:7" x14ac:dyDescent="0.25">
      <c r="A356" s="60">
        <v>699053064</v>
      </c>
      <c r="B356" s="10" t="s">
        <v>41</v>
      </c>
      <c r="C356" s="61">
        <f>39205+(3*364-140)</f>
        <v>40157</v>
      </c>
      <c r="D356" s="62">
        <f t="shared" ca="1" si="5"/>
        <v>6</v>
      </c>
      <c r="E356" s="62"/>
      <c r="F356" s="63">
        <v>78078</v>
      </c>
      <c r="G356" s="64"/>
    </row>
    <row r="357" spans="1:7" x14ac:dyDescent="0.25">
      <c r="A357" s="60">
        <v>889210902</v>
      </c>
      <c r="B357" s="10" t="s">
        <v>53</v>
      </c>
      <c r="C357" s="61">
        <f>37192+(3*364-140)</f>
        <v>38144</v>
      </c>
      <c r="D357" s="62">
        <f t="shared" ca="1" si="5"/>
        <v>11</v>
      </c>
      <c r="E357" s="62" t="s">
        <v>33</v>
      </c>
      <c r="F357" s="63">
        <v>62725</v>
      </c>
      <c r="G357" s="64"/>
    </row>
    <row r="358" spans="1:7" x14ac:dyDescent="0.25">
      <c r="A358" s="60">
        <v>291798311</v>
      </c>
      <c r="B358" s="10" t="s">
        <v>40</v>
      </c>
      <c r="C358" s="61">
        <f>36165+(3*364-140)</f>
        <v>37117</v>
      </c>
      <c r="D358" s="62">
        <f t="shared" ca="1" si="5"/>
        <v>14</v>
      </c>
      <c r="E358" s="62" t="s">
        <v>24</v>
      </c>
      <c r="F358" s="63">
        <v>104156</v>
      </c>
      <c r="G358" s="64"/>
    </row>
    <row r="359" spans="1:7" x14ac:dyDescent="0.25">
      <c r="A359" s="60">
        <v>259573806</v>
      </c>
      <c r="B359" s="10" t="s">
        <v>44</v>
      </c>
      <c r="C359" s="61">
        <f>34326+(3*364-140)</f>
        <v>35278</v>
      </c>
      <c r="D359" s="62">
        <f t="shared" ca="1" si="5"/>
        <v>19</v>
      </c>
      <c r="E359" s="62" t="s">
        <v>34</v>
      </c>
      <c r="F359" s="63">
        <v>78494</v>
      </c>
      <c r="G359" s="64"/>
    </row>
    <row r="360" spans="1:7" x14ac:dyDescent="0.25">
      <c r="A360" s="60">
        <v>482927373</v>
      </c>
      <c r="B360" s="10" t="s">
        <v>44</v>
      </c>
      <c r="C360" s="61">
        <f>36204+(3*364-140)</f>
        <v>37156</v>
      </c>
      <c r="D360" s="62">
        <f t="shared" ca="1" si="5"/>
        <v>14</v>
      </c>
      <c r="E360" s="62" t="s">
        <v>33</v>
      </c>
      <c r="F360" s="63">
        <v>42107</v>
      </c>
      <c r="G360" s="64"/>
    </row>
    <row r="361" spans="1:7" x14ac:dyDescent="0.25">
      <c r="A361" s="60">
        <v>337943008</v>
      </c>
      <c r="B361" s="10" t="s">
        <v>44</v>
      </c>
      <c r="C361" s="61">
        <f>38072+(3*364-140)</f>
        <v>39024</v>
      </c>
      <c r="D361" s="62">
        <f t="shared" ca="1" si="5"/>
        <v>9</v>
      </c>
      <c r="E361" s="62" t="s">
        <v>24</v>
      </c>
      <c r="F361" s="63">
        <v>37661</v>
      </c>
      <c r="G361" s="64"/>
    </row>
    <row r="362" spans="1:7" x14ac:dyDescent="0.25">
      <c r="A362" s="60">
        <v>531654742</v>
      </c>
      <c r="B362" s="10" t="s">
        <v>53</v>
      </c>
      <c r="C362" s="61">
        <f>38471+(3*364-140)</f>
        <v>39423</v>
      </c>
      <c r="D362" s="62">
        <f t="shared" ca="1" si="5"/>
        <v>8</v>
      </c>
      <c r="E362" s="62" t="s">
        <v>24</v>
      </c>
      <c r="F362" s="63">
        <v>37973</v>
      </c>
      <c r="G362" s="64"/>
    </row>
    <row r="363" spans="1:7" x14ac:dyDescent="0.25">
      <c r="A363" s="60">
        <v>351003584</v>
      </c>
      <c r="B363" s="10" t="s">
        <v>53</v>
      </c>
      <c r="C363" s="61">
        <f>36892+(3*364-140)</f>
        <v>37844</v>
      </c>
      <c r="D363" s="62">
        <f t="shared" ca="1" si="5"/>
        <v>12</v>
      </c>
      <c r="E363" s="62"/>
      <c r="F363" s="63">
        <v>69303</v>
      </c>
      <c r="G363" s="64"/>
    </row>
    <row r="364" spans="1:7" x14ac:dyDescent="0.25">
      <c r="A364" s="60">
        <v>761337848</v>
      </c>
      <c r="B364" s="10" t="s">
        <v>50</v>
      </c>
      <c r="C364" s="61">
        <f>35180+(3*364-140)</f>
        <v>36132</v>
      </c>
      <c r="D364" s="62">
        <f t="shared" ca="1" si="5"/>
        <v>17</v>
      </c>
      <c r="E364" s="62"/>
      <c r="F364" s="63">
        <v>86723</v>
      </c>
      <c r="G364" s="64"/>
    </row>
    <row r="365" spans="1:7" x14ac:dyDescent="0.25">
      <c r="A365" s="60">
        <v>914326052</v>
      </c>
      <c r="B365" s="10" t="s">
        <v>44</v>
      </c>
      <c r="C365" s="61">
        <f>37213+(3*364-140)</f>
        <v>38165</v>
      </c>
      <c r="D365" s="62">
        <f t="shared" ca="1" si="5"/>
        <v>11</v>
      </c>
      <c r="E365" s="62" t="s">
        <v>24</v>
      </c>
      <c r="F365" s="63">
        <v>99050</v>
      </c>
      <c r="G365" s="64"/>
    </row>
    <row r="366" spans="1:7" x14ac:dyDescent="0.25">
      <c r="A366" s="60">
        <v>683222853</v>
      </c>
      <c r="B366" s="10" t="s">
        <v>37</v>
      </c>
      <c r="C366" s="61">
        <f>40600+(3*364-140)</f>
        <v>41552</v>
      </c>
      <c r="D366" s="62">
        <f t="shared" ca="1" si="5"/>
        <v>2</v>
      </c>
      <c r="E366" s="62"/>
      <c r="F366" s="63">
        <v>33527</v>
      </c>
      <c r="G366" s="64"/>
    </row>
    <row r="367" spans="1:7" x14ac:dyDescent="0.25">
      <c r="A367" s="60">
        <v>710460589</v>
      </c>
      <c r="B367" s="10" t="s">
        <v>51</v>
      </c>
      <c r="C367" s="61">
        <f>33857+(3*364-140)</f>
        <v>34809</v>
      </c>
      <c r="D367" s="62">
        <f t="shared" ca="1" si="5"/>
        <v>20</v>
      </c>
      <c r="E367" s="62" t="s">
        <v>33</v>
      </c>
      <c r="F367" s="63">
        <v>56043</v>
      </c>
      <c r="G367" s="64"/>
    </row>
    <row r="368" spans="1:7" x14ac:dyDescent="0.25">
      <c r="A368" s="60">
        <v>781913936</v>
      </c>
      <c r="B368" s="10" t="s">
        <v>468</v>
      </c>
      <c r="C368" s="61">
        <f>38460+(3*364-140)</f>
        <v>39412</v>
      </c>
      <c r="D368" s="62">
        <f t="shared" ca="1" si="5"/>
        <v>8</v>
      </c>
      <c r="E368" s="62" t="s">
        <v>34</v>
      </c>
      <c r="F368" s="63">
        <v>23056</v>
      </c>
      <c r="G368" s="64"/>
    </row>
    <row r="369" spans="1:7" x14ac:dyDescent="0.25">
      <c r="A369" s="60">
        <v>662974752</v>
      </c>
      <c r="B369" s="10" t="s">
        <v>47</v>
      </c>
      <c r="C369" s="61">
        <f>37070+(3*364-140)</f>
        <v>38022</v>
      </c>
      <c r="D369" s="62">
        <f t="shared" ca="1" si="5"/>
        <v>11</v>
      </c>
      <c r="E369" s="62" t="s">
        <v>33</v>
      </c>
      <c r="F369" s="63">
        <v>66833</v>
      </c>
      <c r="G369" s="64"/>
    </row>
    <row r="370" spans="1:7" x14ac:dyDescent="0.25">
      <c r="A370" s="60">
        <v>565952209</v>
      </c>
      <c r="B370" s="10" t="s">
        <v>44</v>
      </c>
      <c r="C370" s="61">
        <f>35649+(3*364-140)</f>
        <v>36601</v>
      </c>
      <c r="D370" s="62">
        <f t="shared" ca="1" si="5"/>
        <v>15</v>
      </c>
      <c r="E370" s="62" t="s">
        <v>33</v>
      </c>
      <c r="F370" s="63">
        <v>87165</v>
      </c>
      <c r="G370" s="64"/>
    </row>
    <row r="371" spans="1:7" x14ac:dyDescent="0.25">
      <c r="A371" s="60">
        <v>475517002</v>
      </c>
      <c r="B371" s="10" t="s">
        <v>44</v>
      </c>
      <c r="C371" s="61">
        <f>36996+(3*364-140)</f>
        <v>37948</v>
      </c>
      <c r="D371" s="62">
        <f t="shared" ca="1" si="5"/>
        <v>12</v>
      </c>
      <c r="E371" s="62" t="s">
        <v>33</v>
      </c>
      <c r="F371" s="63">
        <v>89375</v>
      </c>
      <c r="G371" s="64"/>
    </row>
    <row r="372" spans="1:7" x14ac:dyDescent="0.25">
      <c r="A372" s="60">
        <v>699386024</v>
      </c>
      <c r="B372" s="10" t="s">
        <v>52</v>
      </c>
      <c r="C372" s="61">
        <f>36706+(3*364-140)</f>
        <v>37658</v>
      </c>
      <c r="D372" s="62">
        <f t="shared" ca="1" si="5"/>
        <v>12</v>
      </c>
      <c r="E372" s="62"/>
      <c r="F372" s="63">
        <v>21694</v>
      </c>
      <c r="G372" s="64"/>
    </row>
    <row r="373" spans="1:7" x14ac:dyDescent="0.25">
      <c r="A373" s="60">
        <v>122440839</v>
      </c>
      <c r="B373" s="10" t="s">
        <v>48</v>
      </c>
      <c r="C373" s="61">
        <f>36639+(3*364-140)</f>
        <v>37591</v>
      </c>
      <c r="D373" s="62">
        <f t="shared" ca="1" si="5"/>
        <v>13</v>
      </c>
      <c r="E373" s="62" t="s">
        <v>24</v>
      </c>
      <c r="F373" s="63">
        <v>26650</v>
      </c>
      <c r="G373" s="64"/>
    </row>
    <row r="374" spans="1:7" x14ac:dyDescent="0.25">
      <c r="A374" s="60">
        <v>920265140</v>
      </c>
      <c r="B374" s="10" t="s">
        <v>52</v>
      </c>
      <c r="C374" s="61">
        <f>39468+(3*364-140)</f>
        <v>40420</v>
      </c>
      <c r="D374" s="62">
        <f t="shared" ca="1" si="5"/>
        <v>5</v>
      </c>
      <c r="E374" s="62" t="s">
        <v>28</v>
      </c>
      <c r="F374" s="63">
        <v>81494</v>
      </c>
      <c r="G374" s="64"/>
    </row>
    <row r="375" spans="1:7" x14ac:dyDescent="0.25">
      <c r="A375" s="60">
        <v>394876677</v>
      </c>
      <c r="B375" s="10" t="s">
        <v>52</v>
      </c>
      <c r="C375" s="61">
        <f>36294+(3*364-140)</f>
        <v>37246</v>
      </c>
      <c r="D375" s="62">
        <f t="shared" ca="1" si="5"/>
        <v>13</v>
      </c>
      <c r="E375" s="62" t="s">
        <v>33</v>
      </c>
      <c r="F375" s="63">
        <v>44278</v>
      </c>
      <c r="G375" s="64"/>
    </row>
    <row r="376" spans="1:7" x14ac:dyDescent="0.25">
      <c r="A376" s="60">
        <v>978154935</v>
      </c>
      <c r="B376" s="10" t="s">
        <v>52</v>
      </c>
      <c r="C376" s="61">
        <f>36873+(3*364-140)</f>
        <v>37825</v>
      </c>
      <c r="D376" s="62">
        <f t="shared" ca="1" si="5"/>
        <v>12</v>
      </c>
      <c r="E376" s="62" t="s">
        <v>26</v>
      </c>
      <c r="F376" s="63">
        <v>60268</v>
      </c>
      <c r="G376" s="64"/>
    </row>
    <row r="377" spans="1:7" x14ac:dyDescent="0.25">
      <c r="A377" s="60">
        <v>379340654</v>
      </c>
      <c r="B377" s="10" t="s">
        <v>52</v>
      </c>
      <c r="C377" s="61">
        <f>36668+(3*364-140)</f>
        <v>37620</v>
      </c>
      <c r="D377" s="62">
        <f t="shared" ca="1" si="5"/>
        <v>12</v>
      </c>
      <c r="E377" s="62" t="s">
        <v>34</v>
      </c>
      <c r="F377" s="63">
        <v>47957</v>
      </c>
      <c r="G377" s="64"/>
    </row>
    <row r="378" spans="1:7" x14ac:dyDescent="0.25">
      <c r="A378" s="60">
        <v>115404531</v>
      </c>
      <c r="B378" s="10" t="s">
        <v>52</v>
      </c>
      <c r="C378" s="61">
        <f>38851+(3*364-140)</f>
        <v>39803</v>
      </c>
      <c r="D378" s="62">
        <f t="shared" ca="1" si="5"/>
        <v>6</v>
      </c>
      <c r="E378" s="62" t="s">
        <v>33</v>
      </c>
      <c r="F378" s="63">
        <v>42770</v>
      </c>
      <c r="G378" s="64"/>
    </row>
    <row r="379" spans="1:7" x14ac:dyDescent="0.25">
      <c r="A379" s="60">
        <v>183135788</v>
      </c>
      <c r="B379" s="10" t="s">
        <v>56</v>
      </c>
      <c r="C379" s="61">
        <f>34681+(3*364-140)</f>
        <v>35633</v>
      </c>
      <c r="D379" s="62">
        <f t="shared" ca="1" si="5"/>
        <v>18</v>
      </c>
      <c r="E379" s="62"/>
      <c r="F379" s="63">
        <v>78988</v>
      </c>
      <c r="G379" s="64"/>
    </row>
    <row r="380" spans="1:7" x14ac:dyDescent="0.25">
      <c r="A380" s="60">
        <v>877122222</v>
      </c>
      <c r="B380" s="10" t="s">
        <v>37</v>
      </c>
      <c r="C380" s="61">
        <f>41253+(3*364-140)</f>
        <v>42205</v>
      </c>
      <c r="D380" s="62">
        <f t="shared" ca="1" si="5"/>
        <v>0</v>
      </c>
      <c r="E380" s="62" t="s">
        <v>34</v>
      </c>
      <c r="F380" s="63">
        <v>97123</v>
      </c>
      <c r="G380" s="64"/>
    </row>
    <row r="381" spans="1:7" x14ac:dyDescent="0.25">
      <c r="A381" s="60">
        <v>357568979</v>
      </c>
      <c r="B381" s="10" t="s">
        <v>53</v>
      </c>
      <c r="C381" s="61">
        <f>38453+(3*364-140)</f>
        <v>39405</v>
      </c>
      <c r="D381" s="62">
        <f t="shared" ca="1" si="5"/>
        <v>8</v>
      </c>
      <c r="E381" s="62" t="s">
        <v>28</v>
      </c>
      <c r="F381" s="63">
        <v>37083</v>
      </c>
      <c r="G381" s="64"/>
    </row>
    <row r="382" spans="1:7" x14ac:dyDescent="0.25">
      <c r="A382" s="60">
        <v>420739404</v>
      </c>
      <c r="B382" s="10" t="s">
        <v>53</v>
      </c>
      <c r="C382" s="61">
        <f>33947+(3*364-140)</f>
        <v>34899</v>
      </c>
      <c r="D382" s="62">
        <f t="shared" ca="1" si="5"/>
        <v>20</v>
      </c>
      <c r="E382" s="62" t="s">
        <v>33</v>
      </c>
      <c r="F382" s="63">
        <v>32292</v>
      </c>
      <c r="G382" s="64"/>
    </row>
    <row r="383" spans="1:7" x14ac:dyDescent="0.25">
      <c r="A383" s="60">
        <v>667745362</v>
      </c>
      <c r="B383" s="10" t="s">
        <v>54</v>
      </c>
      <c r="C383" s="61">
        <f>40406+(3*364-140)</f>
        <v>41358</v>
      </c>
      <c r="D383" s="62">
        <f t="shared" ca="1" si="5"/>
        <v>2</v>
      </c>
      <c r="E383" s="62"/>
      <c r="F383" s="63">
        <v>111852</v>
      </c>
      <c r="G383" s="64"/>
    </row>
    <row r="384" spans="1:7" x14ac:dyDescent="0.25">
      <c r="A384" s="60">
        <v>975603308</v>
      </c>
      <c r="B384" s="10" t="s">
        <v>31</v>
      </c>
      <c r="C384" s="61">
        <f>38082+(3*364-140)</f>
        <v>39034</v>
      </c>
      <c r="D384" s="62">
        <f t="shared" ca="1" si="5"/>
        <v>9</v>
      </c>
      <c r="E384" s="62" t="s">
        <v>24</v>
      </c>
      <c r="F384" s="63">
        <v>40014</v>
      </c>
      <c r="G384" s="64"/>
    </row>
    <row r="385" spans="1:7" x14ac:dyDescent="0.25">
      <c r="A385" s="60">
        <v>759471070</v>
      </c>
      <c r="B385" s="10" t="s">
        <v>54</v>
      </c>
      <c r="C385" s="61">
        <f>37687+(3*364-140)</f>
        <v>38639</v>
      </c>
      <c r="D385" s="62">
        <f t="shared" ca="1" si="5"/>
        <v>10</v>
      </c>
      <c r="E385" s="62" t="s">
        <v>33</v>
      </c>
      <c r="F385" s="63">
        <v>102323</v>
      </c>
      <c r="G385" s="64"/>
    </row>
    <row r="386" spans="1:7" x14ac:dyDescent="0.25">
      <c r="A386" s="60">
        <v>393973492</v>
      </c>
      <c r="B386" s="10" t="s">
        <v>53</v>
      </c>
      <c r="C386" s="61">
        <f>37101+(3*364-140)</f>
        <v>38053</v>
      </c>
      <c r="D386" s="62">
        <f t="shared" ref="D386:D449" ca="1" si="6">DATEDIF(C386,TODAY(),"Y")</f>
        <v>11</v>
      </c>
      <c r="E386" s="62" t="s">
        <v>34</v>
      </c>
      <c r="F386" s="63">
        <v>61555</v>
      </c>
      <c r="G386" s="64"/>
    </row>
    <row r="387" spans="1:7" x14ac:dyDescent="0.25">
      <c r="A387" s="60">
        <v>302170290</v>
      </c>
      <c r="B387" s="10" t="s">
        <v>52</v>
      </c>
      <c r="C387" s="61">
        <f>36206+(3*364-140)</f>
        <v>37158</v>
      </c>
      <c r="D387" s="62">
        <f t="shared" ca="1" si="6"/>
        <v>14</v>
      </c>
      <c r="E387" s="62" t="s">
        <v>24</v>
      </c>
      <c r="F387" s="63">
        <v>82251</v>
      </c>
      <c r="G387" s="64"/>
    </row>
    <row r="388" spans="1:7" x14ac:dyDescent="0.25">
      <c r="A388" s="60">
        <v>130619578</v>
      </c>
      <c r="B388" s="10" t="s">
        <v>44</v>
      </c>
      <c r="C388" s="61">
        <f>37396+(3*364-140)</f>
        <v>38348</v>
      </c>
      <c r="D388" s="62">
        <f t="shared" ca="1" si="6"/>
        <v>10</v>
      </c>
      <c r="E388" s="62"/>
      <c r="F388" s="63">
        <v>116376</v>
      </c>
      <c r="G388" s="64"/>
    </row>
    <row r="389" spans="1:7" x14ac:dyDescent="0.25">
      <c r="A389" s="60">
        <v>120361975</v>
      </c>
      <c r="B389" s="10" t="s">
        <v>54</v>
      </c>
      <c r="C389" s="61">
        <f>38173+(3*364-140)</f>
        <v>39125</v>
      </c>
      <c r="D389" s="62">
        <f t="shared" ca="1" si="6"/>
        <v>8</v>
      </c>
      <c r="E389" s="62" t="s">
        <v>34</v>
      </c>
      <c r="F389" s="63">
        <v>78390</v>
      </c>
      <c r="G389" s="64"/>
    </row>
    <row r="390" spans="1:7" x14ac:dyDescent="0.25">
      <c r="A390" s="60">
        <v>265323292</v>
      </c>
      <c r="B390" s="10" t="s">
        <v>52</v>
      </c>
      <c r="C390" s="61">
        <f>36814+(3*364-140)</f>
        <v>37766</v>
      </c>
      <c r="D390" s="62">
        <f t="shared" ca="1" si="6"/>
        <v>12</v>
      </c>
      <c r="E390" s="62" t="s">
        <v>33</v>
      </c>
      <c r="F390" s="63">
        <v>58500</v>
      </c>
      <c r="G390" s="64"/>
    </row>
    <row r="391" spans="1:7" x14ac:dyDescent="0.25">
      <c r="A391" s="60">
        <v>147724014</v>
      </c>
      <c r="B391" s="10" t="s">
        <v>44</v>
      </c>
      <c r="C391" s="61">
        <f>35866+(3*364-140)</f>
        <v>36818</v>
      </c>
      <c r="D391" s="62">
        <f t="shared" ca="1" si="6"/>
        <v>15</v>
      </c>
      <c r="E391" s="62" t="s">
        <v>33</v>
      </c>
      <c r="F391" s="63">
        <v>57551</v>
      </c>
      <c r="G391" s="64"/>
    </row>
    <row r="392" spans="1:7" x14ac:dyDescent="0.25">
      <c r="A392" s="60">
        <v>462650472</v>
      </c>
      <c r="B392" s="10" t="s">
        <v>52</v>
      </c>
      <c r="C392" s="61">
        <f>34080+(3*364-140)</f>
        <v>35032</v>
      </c>
      <c r="D392" s="62">
        <f t="shared" ca="1" si="6"/>
        <v>20</v>
      </c>
      <c r="E392" s="62"/>
      <c r="F392" s="63">
        <v>103194</v>
      </c>
      <c r="G392" s="64"/>
    </row>
    <row r="393" spans="1:7" x14ac:dyDescent="0.25">
      <c r="A393" s="60">
        <v>856215418</v>
      </c>
      <c r="B393" s="10" t="s">
        <v>37</v>
      </c>
      <c r="C393" s="61">
        <f>37280+(3*364-140)</f>
        <v>38232</v>
      </c>
      <c r="D393" s="62">
        <f t="shared" ca="1" si="6"/>
        <v>11</v>
      </c>
      <c r="E393" s="62"/>
      <c r="F393" s="63">
        <v>39104</v>
      </c>
      <c r="G393" s="64"/>
    </row>
    <row r="394" spans="1:7" x14ac:dyDescent="0.25">
      <c r="A394" s="60">
        <v>296641985</v>
      </c>
      <c r="B394" s="10" t="s">
        <v>54</v>
      </c>
      <c r="C394" s="61">
        <f>36305+(3*364-140)</f>
        <v>37257</v>
      </c>
      <c r="D394" s="62">
        <f t="shared" ca="1" si="6"/>
        <v>13</v>
      </c>
      <c r="E394" s="62" t="s">
        <v>33</v>
      </c>
      <c r="F394" s="63">
        <v>53794</v>
      </c>
      <c r="G394" s="64"/>
    </row>
    <row r="395" spans="1:7" x14ac:dyDescent="0.25">
      <c r="A395" s="60">
        <v>243350742</v>
      </c>
      <c r="B395" s="10" t="s">
        <v>35</v>
      </c>
      <c r="C395" s="61">
        <f>36352+(3*364-140)</f>
        <v>37304</v>
      </c>
      <c r="D395" s="62">
        <f t="shared" ca="1" si="6"/>
        <v>13</v>
      </c>
      <c r="E395" s="62"/>
      <c r="F395" s="63">
        <v>26036</v>
      </c>
      <c r="G395" s="64"/>
    </row>
    <row r="396" spans="1:7" x14ac:dyDescent="0.25">
      <c r="A396" s="60">
        <v>483483618</v>
      </c>
      <c r="B396" s="10" t="s">
        <v>54</v>
      </c>
      <c r="C396" s="61">
        <f>35815+(3*364-140)</f>
        <v>36767</v>
      </c>
      <c r="D396" s="62">
        <f t="shared" ca="1" si="6"/>
        <v>15</v>
      </c>
      <c r="E396" s="62" t="s">
        <v>33</v>
      </c>
      <c r="F396" s="63">
        <v>43667</v>
      </c>
      <c r="G396" s="64"/>
    </row>
    <row r="397" spans="1:7" x14ac:dyDescent="0.25">
      <c r="A397" s="60">
        <v>708082156</v>
      </c>
      <c r="B397" s="10" t="s">
        <v>53</v>
      </c>
      <c r="C397" s="61">
        <f>36990+(3*364-140)</f>
        <v>37942</v>
      </c>
      <c r="D397" s="62">
        <f t="shared" ca="1" si="6"/>
        <v>12</v>
      </c>
      <c r="E397" s="62" t="s">
        <v>24</v>
      </c>
      <c r="F397" s="63">
        <v>89960</v>
      </c>
      <c r="G397" s="64"/>
    </row>
    <row r="398" spans="1:7" x14ac:dyDescent="0.25">
      <c r="A398" s="60">
        <v>354619285</v>
      </c>
      <c r="B398" s="10" t="s">
        <v>44</v>
      </c>
      <c r="C398" s="61">
        <f>36800+(3*364-140)</f>
        <v>37752</v>
      </c>
      <c r="D398" s="62">
        <f t="shared" ca="1" si="6"/>
        <v>12</v>
      </c>
      <c r="E398" s="62" t="s">
        <v>28</v>
      </c>
      <c r="F398" s="63">
        <v>29458</v>
      </c>
      <c r="G398" s="64"/>
    </row>
    <row r="399" spans="1:7" x14ac:dyDescent="0.25">
      <c r="A399" s="60">
        <v>903618594</v>
      </c>
      <c r="B399" s="10" t="s">
        <v>44</v>
      </c>
      <c r="C399" s="61">
        <f>38544+(3*364-140)</f>
        <v>39496</v>
      </c>
      <c r="D399" s="62">
        <f t="shared" ca="1" si="6"/>
        <v>7</v>
      </c>
      <c r="E399" s="62" t="s">
        <v>28</v>
      </c>
      <c r="F399" s="63">
        <v>70499</v>
      </c>
      <c r="G399" s="64"/>
    </row>
    <row r="400" spans="1:7" x14ac:dyDescent="0.25">
      <c r="A400" s="60">
        <v>741258203</v>
      </c>
      <c r="B400" s="10" t="s">
        <v>54</v>
      </c>
      <c r="C400" s="61">
        <f>34467+(3*364-140)</f>
        <v>35419</v>
      </c>
      <c r="D400" s="62">
        <f t="shared" ca="1" si="6"/>
        <v>18</v>
      </c>
      <c r="E400" s="62"/>
      <c r="F400" s="63">
        <v>76866</v>
      </c>
      <c r="G400" s="64"/>
    </row>
    <row r="401" spans="1:7" x14ac:dyDescent="0.25">
      <c r="A401" s="60">
        <v>842774592</v>
      </c>
      <c r="B401" s="10" t="s">
        <v>50</v>
      </c>
      <c r="C401" s="61">
        <f>38822+(3*364-140)</f>
        <v>39774</v>
      </c>
      <c r="D401" s="62">
        <f t="shared" ca="1" si="6"/>
        <v>7</v>
      </c>
      <c r="E401" s="62"/>
      <c r="F401" s="63">
        <v>43566</v>
      </c>
      <c r="G401" s="64"/>
    </row>
    <row r="402" spans="1:7" x14ac:dyDescent="0.25">
      <c r="A402" s="60">
        <v>145495793</v>
      </c>
      <c r="B402" s="10" t="s">
        <v>54</v>
      </c>
      <c r="C402" s="61">
        <f>35638+(3*364-140)</f>
        <v>36590</v>
      </c>
      <c r="D402" s="62">
        <f t="shared" ca="1" si="6"/>
        <v>15</v>
      </c>
      <c r="E402" s="62" t="s">
        <v>34</v>
      </c>
      <c r="F402" s="63">
        <v>29900</v>
      </c>
      <c r="G402" s="64"/>
    </row>
    <row r="403" spans="1:7" x14ac:dyDescent="0.25">
      <c r="A403" s="60">
        <v>478004556</v>
      </c>
      <c r="B403" s="10" t="s">
        <v>48</v>
      </c>
      <c r="C403" s="61">
        <f>41211+(3*364-140)</f>
        <v>42163</v>
      </c>
      <c r="D403" s="62">
        <f t="shared" ca="1" si="6"/>
        <v>0</v>
      </c>
      <c r="E403" s="62" t="s">
        <v>34</v>
      </c>
      <c r="F403" s="63">
        <v>80834</v>
      </c>
      <c r="G403" s="64"/>
    </row>
    <row r="404" spans="1:7" x14ac:dyDescent="0.25">
      <c r="A404" s="60">
        <v>333947685</v>
      </c>
      <c r="B404" s="10" t="s">
        <v>37</v>
      </c>
      <c r="C404" s="61">
        <f>38026+(3*364-140)</f>
        <v>38978</v>
      </c>
      <c r="D404" s="62">
        <f t="shared" ca="1" si="6"/>
        <v>9</v>
      </c>
      <c r="E404" s="62" t="s">
        <v>28</v>
      </c>
      <c r="F404" s="63">
        <v>111644</v>
      </c>
      <c r="G404" s="64"/>
    </row>
    <row r="405" spans="1:7" x14ac:dyDescent="0.25">
      <c r="A405" s="60">
        <v>285295419</v>
      </c>
      <c r="B405" s="10" t="s">
        <v>51</v>
      </c>
      <c r="C405" s="61">
        <f>33836+(3*364-140)</f>
        <v>34788</v>
      </c>
      <c r="D405" s="62">
        <f t="shared" ca="1" si="6"/>
        <v>20</v>
      </c>
      <c r="E405" s="62"/>
      <c r="F405" s="63">
        <v>43202</v>
      </c>
      <c r="G405" s="64"/>
    </row>
    <row r="406" spans="1:7" x14ac:dyDescent="0.25">
      <c r="A406" s="60">
        <v>623823805</v>
      </c>
      <c r="B406" s="10" t="s">
        <v>50</v>
      </c>
      <c r="C406" s="61">
        <f>41081+(3*364-140)</f>
        <v>42033</v>
      </c>
      <c r="D406" s="62">
        <f t="shared" ca="1" si="6"/>
        <v>0</v>
      </c>
      <c r="E406" s="62"/>
      <c r="F406" s="63">
        <v>39146</v>
      </c>
      <c r="G406" s="64"/>
    </row>
    <row r="407" spans="1:7" x14ac:dyDescent="0.25">
      <c r="A407" s="60">
        <v>751878224</v>
      </c>
      <c r="B407" s="10" t="s">
        <v>47</v>
      </c>
      <c r="C407" s="61">
        <f>34284+(3*364-140)</f>
        <v>35236</v>
      </c>
      <c r="D407" s="62">
        <f t="shared" ca="1" si="6"/>
        <v>19</v>
      </c>
      <c r="E407" s="62" t="s">
        <v>28</v>
      </c>
      <c r="F407" s="63">
        <v>113256</v>
      </c>
      <c r="G407" s="64"/>
    </row>
    <row r="408" spans="1:7" x14ac:dyDescent="0.25">
      <c r="A408" s="60">
        <v>110547055</v>
      </c>
      <c r="B408" s="10" t="s">
        <v>44</v>
      </c>
      <c r="C408" s="61">
        <f>37038+(3*364-140)</f>
        <v>37990</v>
      </c>
      <c r="D408" s="62">
        <f t="shared" ca="1" si="6"/>
        <v>11</v>
      </c>
      <c r="E408" s="62" t="s">
        <v>33</v>
      </c>
      <c r="F408" s="63">
        <v>43155</v>
      </c>
      <c r="G408" s="64"/>
    </row>
    <row r="409" spans="1:7" x14ac:dyDescent="0.25">
      <c r="A409" s="60">
        <v>870106287</v>
      </c>
      <c r="B409" s="10" t="s">
        <v>37</v>
      </c>
      <c r="C409" s="61">
        <f>35226+(3*364-140)</f>
        <v>36178</v>
      </c>
      <c r="D409" s="62">
        <f t="shared" ca="1" si="6"/>
        <v>16</v>
      </c>
      <c r="E409" s="62" t="s">
        <v>34</v>
      </c>
      <c r="F409" s="63">
        <v>50596</v>
      </c>
      <c r="G409" s="64"/>
    </row>
    <row r="410" spans="1:7" x14ac:dyDescent="0.25">
      <c r="A410" s="60">
        <v>666194498</v>
      </c>
      <c r="B410" s="10" t="s">
        <v>53</v>
      </c>
      <c r="C410" s="61">
        <f>39031+(3*364-140)</f>
        <v>39983</v>
      </c>
      <c r="D410" s="62">
        <f t="shared" ca="1" si="6"/>
        <v>6</v>
      </c>
      <c r="E410" s="62" t="s">
        <v>33</v>
      </c>
      <c r="F410" s="63">
        <v>108823</v>
      </c>
      <c r="G410" s="64"/>
    </row>
    <row r="411" spans="1:7" x14ac:dyDescent="0.25">
      <c r="A411" s="60">
        <v>944793994</v>
      </c>
      <c r="B411" s="10" t="s">
        <v>44</v>
      </c>
      <c r="C411" s="61">
        <f>35463+(3*364-140)</f>
        <v>36415</v>
      </c>
      <c r="D411" s="62">
        <f t="shared" ca="1" si="6"/>
        <v>16</v>
      </c>
      <c r="E411" s="62" t="s">
        <v>24</v>
      </c>
      <c r="F411" s="63">
        <v>31590</v>
      </c>
      <c r="G411" s="64"/>
    </row>
    <row r="412" spans="1:7" x14ac:dyDescent="0.25">
      <c r="A412" s="60">
        <v>311309049</v>
      </c>
      <c r="B412" s="10" t="s">
        <v>54</v>
      </c>
      <c r="C412" s="61">
        <f>36921+(3*364-140)</f>
        <v>37873</v>
      </c>
      <c r="D412" s="62">
        <f t="shared" ca="1" si="6"/>
        <v>12</v>
      </c>
      <c r="E412" s="62" t="s">
        <v>34</v>
      </c>
      <c r="F412" s="63">
        <v>100984</v>
      </c>
      <c r="G412" s="64"/>
    </row>
    <row r="413" spans="1:7" x14ac:dyDescent="0.25">
      <c r="A413" s="60">
        <v>742946482</v>
      </c>
      <c r="B413" s="10" t="s">
        <v>46</v>
      </c>
      <c r="C413" s="61">
        <f>34510+(3*364-140)</f>
        <v>35462</v>
      </c>
      <c r="D413" s="62">
        <f t="shared" ca="1" si="6"/>
        <v>18</v>
      </c>
      <c r="E413" s="62" t="s">
        <v>24</v>
      </c>
      <c r="F413" s="63">
        <v>50908</v>
      </c>
      <c r="G413" s="64"/>
    </row>
    <row r="414" spans="1:7" x14ac:dyDescent="0.25">
      <c r="A414" s="60">
        <v>111616346</v>
      </c>
      <c r="B414" s="10" t="s">
        <v>54</v>
      </c>
      <c r="C414" s="61">
        <f>34184+(3*364-140)</f>
        <v>35136</v>
      </c>
      <c r="D414" s="62">
        <f t="shared" ca="1" si="6"/>
        <v>19</v>
      </c>
      <c r="E414" s="62"/>
      <c r="F414" s="63">
        <v>79474</v>
      </c>
      <c r="G414" s="64"/>
    </row>
    <row r="415" spans="1:7" x14ac:dyDescent="0.25">
      <c r="A415" s="60">
        <v>515543972</v>
      </c>
      <c r="B415" s="10" t="s">
        <v>35</v>
      </c>
      <c r="C415" s="61">
        <f>37297+(3*364-140)</f>
        <v>38249</v>
      </c>
      <c r="D415" s="62">
        <f t="shared" ca="1" si="6"/>
        <v>11</v>
      </c>
      <c r="E415" s="62" t="s">
        <v>26</v>
      </c>
      <c r="F415" s="63">
        <v>73372</v>
      </c>
      <c r="G415" s="64"/>
    </row>
    <row r="416" spans="1:7" x14ac:dyDescent="0.25">
      <c r="A416" s="60">
        <v>251824309</v>
      </c>
      <c r="B416" s="10" t="s">
        <v>44</v>
      </c>
      <c r="C416" s="61">
        <f>37407+(3*364-140)</f>
        <v>38359</v>
      </c>
      <c r="D416" s="62">
        <f t="shared" ca="1" si="6"/>
        <v>10</v>
      </c>
      <c r="E416" s="62"/>
      <c r="F416" s="63">
        <v>59046</v>
      </c>
      <c r="G416" s="64"/>
    </row>
    <row r="417" spans="1:7" x14ac:dyDescent="0.25">
      <c r="A417" s="60">
        <v>647131956</v>
      </c>
      <c r="B417" s="10" t="s">
        <v>53</v>
      </c>
      <c r="C417" s="61">
        <f>39580+(3*364-140)</f>
        <v>40532</v>
      </c>
      <c r="D417" s="62">
        <f t="shared" ca="1" si="6"/>
        <v>4</v>
      </c>
      <c r="E417" s="62" t="s">
        <v>24</v>
      </c>
      <c r="F417" s="63">
        <v>95628</v>
      </c>
      <c r="G417" s="64"/>
    </row>
    <row r="418" spans="1:7" x14ac:dyDescent="0.25">
      <c r="A418" s="60">
        <v>620336005</v>
      </c>
      <c r="B418" s="10" t="s">
        <v>44</v>
      </c>
      <c r="C418" s="61">
        <f>39055+(3*364-140)</f>
        <v>40007</v>
      </c>
      <c r="D418" s="62">
        <f t="shared" ca="1" si="6"/>
        <v>6</v>
      </c>
      <c r="E418" s="62" t="s">
        <v>24</v>
      </c>
      <c r="F418" s="63">
        <v>53378</v>
      </c>
      <c r="G418" s="64"/>
    </row>
    <row r="419" spans="1:7" x14ac:dyDescent="0.25">
      <c r="A419" s="60">
        <v>378281658</v>
      </c>
      <c r="B419" s="10" t="s">
        <v>44</v>
      </c>
      <c r="C419" s="61">
        <f>38751+(3*364-140)</f>
        <v>39703</v>
      </c>
      <c r="D419" s="62">
        <f t="shared" ca="1" si="6"/>
        <v>7</v>
      </c>
      <c r="E419" s="62"/>
      <c r="F419" s="63">
        <v>51090</v>
      </c>
      <c r="G419" s="64"/>
    </row>
    <row r="420" spans="1:7" x14ac:dyDescent="0.25">
      <c r="A420" s="60">
        <v>536516131</v>
      </c>
      <c r="B420" s="10" t="s">
        <v>42</v>
      </c>
      <c r="C420" s="61">
        <f>41148+(3*364-140)</f>
        <v>42100</v>
      </c>
      <c r="D420" s="62">
        <f t="shared" ca="1" si="6"/>
        <v>0</v>
      </c>
      <c r="E420" s="62" t="s">
        <v>33</v>
      </c>
      <c r="F420" s="63">
        <v>55406</v>
      </c>
      <c r="G420" s="64"/>
    </row>
    <row r="421" spans="1:7" x14ac:dyDescent="0.25">
      <c r="A421" s="60">
        <v>197789466</v>
      </c>
      <c r="B421" s="10" t="s">
        <v>40</v>
      </c>
      <c r="C421" s="61">
        <f>36415+(3*364-140)</f>
        <v>37367</v>
      </c>
      <c r="D421" s="62">
        <f t="shared" ca="1" si="6"/>
        <v>13</v>
      </c>
      <c r="E421" s="62"/>
      <c r="F421" s="63">
        <v>98826</v>
      </c>
      <c r="G421" s="64"/>
    </row>
    <row r="422" spans="1:7" x14ac:dyDescent="0.25">
      <c r="A422" s="60">
        <v>425943144</v>
      </c>
      <c r="B422" s="10" t="s">
        <v>49</v>
      </c>
      <c r="C422" s="61">
        <f>35086+(3*364-140)</f>
        <v>36038</v>
      </c>
      <c r="D422" s="62">
        <f t="shared" ca="1" si="6"/>
        <v>17</v>
      </c>
      <c r="E422" s="62"/>
      <c r="F422" s="63">
        <v>93210</v>
      </c>
      <c r="G422" s="64"/>
    </row>
    <row r="423" spans="1:7" x14ac:dyDescent="0.25">
      <c r="A423" s="60">
        <v>144722757</v>
      </c>
      <c r="B423" s="10" t="s">
        <v>54</v>
      </c>
      <c r="C423" s="61">
        <f>34240+(3*364-140)</f>
        <v>35192</v>
      </c>
      <c r="D423" s="62">
        <f t="shared" ca="1" si="6"/>
        <v>19</v>
      </c>
      <c r="E423" s="62"/>
      <c r="F423" s="63">
        <v>74750</v>
      </c>
      <c r="G423" s="64"/>
    </row>
    <row r="424" spans="1:7" x14ac:dyDescent="0.25">
      <c r="A424" s="60">
        <v>356110882</v>
      </c>
      <c r="B424" s="10" t="s">
        <v>31</v>
      </c>
      <c r="C424" s="61">
        <f>36895+(3*364-140)</f>
        <v>37847</v>
      </c>
      <c r="D424" s="62">
        <f t="shared" ca="1" si="6"/>
        <v>12</v>
      </c>
      <c r="E424" s="62" t="s">
        <v>24</v>
      </c>
      <c r="F424" s="63">
        <v>39624</v>
      </c>
      <c r="G424" s="64"/>
    </row>
    <row r="425" spans="1:7" x14ac:dyDescent="0.25">
      <c r="A425" s="60">
        <v>962553692</v>
      </c>
      <c r="B425" s="10" t="s">
        <v>44</v>
      </c>
      <c r="C425" s="61">
        <f>35834+(3*364-140)</f>
        <v>36786</v>
      </c>
      <c r="D425" s="62">
        <f t="shared" ca="1" si="6"/>
        <v>15</v>
      </c>
      <c r="E425" s="62" t="s">
        <v>33</v>
      </c>
      <c r="F425" s="63">
        <v>112138</v>
      </c>
      <c r="G425" s="64"/>
    </row>
    <row r="426" spans="1:7" x14ac:dyDescent="0.25">
      <c r="A426" s="60">
        <v>868364739</v>
      </c>
      <c r="B426" s="10" t="s">
        <v>52</v>
      </c>
      <c r="C426" s="61">
        <f>40971+(3*364-140)</f>
        <v>41923</v>
      </c>
      <c r="D426" s="62">
        <f t="shared" ca="1" si="6"/>
        <v>1</v>
      </c>
      <c r="E426" s="62" t="s">
        <v>24</v>
      </c>
      <c r="F426" s="63">
        <v>46059</v>
      </c>
      <c r="G426" s="64"/>
    </row>
    <row r="427" spans="1:7" x14ac:dyDescent="0.25">
      <c r="A427" s="60">
        <v>948252103</v>
      </c>
      <c r="B427" s="10" t="s">
        <v>50</v>
      </c>
      <c r="C427" s="61">
        <f>37007+(3*364-140)</f>
        <v>37959</v>
      </c>
      <c r="D427" s="62">
        <f t="shared" ca="1" si="6"/>
        <v>12</v>
      </c>
      <c r="E427" s="62"/>
      <c r="F427" s="63">
        <v>51693</v>
      </c>
      <c r="G427" s="64"/>
    </row>
    <row r="428" spans="1:7" x14ac:dyDescent="0.25">
      <c r="A428" s="60">
        <v>705186668</v>
      </c>
      <c r="B428" s="10" t="s">
        <v>53</v>
      </c>
      <c r="C428" s="61">
        <f>34858+(3*364-140)</f>
        <v>35810</v>
      </c>
      <c r="D428" s="62">
        <f t="shared" ca="1" si="6"/>
        <v>17</v>
      </c>
      <c r="E428" s="62"/>
      <c r="F428" s="63">
        <v>34429</v>
      </c>
      <c r="G428" s="64"/>
    </row>
    <row r="429" spans="1:7" x14ac:dyDescent="0.25">
      <c r="A429" s="60">
        <v>380343690</v>
      </c>
      <c r="B429" s="10" t="s">
        <v>46</v>
      </c>
      <c r="C429" s="61">
        <f>40970+(3*364-140)</f>
        <v>41922</v>
      </c>
      <c r="D429" s="62">
        <f t="shared" ca="1" si="6"/>
        <v>1</v>
      </c>
      <c r="E429" s="62"/>
      <c r="F429" s="63">
        <v>80457</v>
      </c>
      <c r="G429" s="64"/>
    </row>
    <row r="430" spans="1:7" x14ac:dyDescent="0.25">
      <c r="A430" s="60">
        <v>191359642</v>
      </c>
      <c r="B430" s="10" t="s">
        <v>52</v>
      </c>
      <c r="C430" s="61">
        <f>34039+(3*364-140)</f>
        <v>34991</v>
      </c>
      <c r="D430" s="62">
        <f t="shared" ca="1" si="6"/>
        <v>20</v>
      </c>
      <c r="E430" s="62" t="s">
        <v>24</v>
      </c>
      <c r="F430" s="63">
        <v>31317</v>
      </c>
      <c r="G430" s="64"/>
    </row>
    <row r="431" spans="1:7" x14ac:dyDescent="0.25">
      <c r="A431" s="60">
        <v>467030396</v>
      </c>
      <c r="B431" s="10" t="s">
        <v>44</v>
      </c>
      <c r="C431" s="61">
        <f>34398+(3*364-140)</f>
        <v>35350</v>
      </c>
      <c r="D431" s="62">
        <f t="shared" ca="1" si="6"/>
        <v>19</v>
      </c>
      <c r="E431" s="62" t="s">
        <v>33</v>
      </c>
      <c r="F431" s="63">
        <v>76583</v>
      </c>
      <c r="G431" s="64"/>
    </row>
    <row r="432" spans="1:7" x14ac:dyDescent="0.25">
      <c r="A432" s="60">
        <v>291803431</v>
      </c>
      <c r="B432" s="10" t="s">
        <v>50</v>
      </c>
      <c r="C432" s="61">
        <f>40461+(3*364-140)</f>
        <v>41413</v>
      </c>
      <c r="D432" s="62">
        <f t="shared" ca="1" si="6"/>
        <v>2</v>
      </c>
      <c r="E432" s="62"/>
      <c r="F432" s="63">
        <v>70200</v>
      </c>
      <c r="G432" s="64"/>
    </row>
    <row r="433" spans="1:7" x14ac:dyDescent="0.25">
      <c r="A433" s="60">
        <v>643984096</v>
      </c>
      <c r="B433" s="10" t="s">
        <v>54</v>
      </c>
      <c r="C433" s="61">
        <f>34091+(3*364-140)</f>
        <v>35043</v>
      </c>
      <c r="D433" s="62">
        <f t="shared" ca="1" si="6"/>
        <v>20</v>
      </c>
      <c r="E433" s="62"/>
      <c r="F433" s="63">
        <v>33826</v>
      </c>
      <c r="G433" s="64"/>
    </row>
    <row r="434" spans="1:7" x14ac:dyDescent="0.25">
      <c r="A434" s="60">
        <v>276873359</v>
      </c>
      <c r="B434" s="10" t="s">
        <v>54</v>
      </c>
      <c r="C434" s="61">
        <f>39849+(3*364-140)</f>
        <v>40801</v>
      </c>
      <c r="D434" s="62">
        <f t="shared" ca="1" si="6"/>
        <v>4</v>
      </c>
      <c r="E434" s="62" t="s">
        <v>26</v>
      </c>
      <c r="F434" s="63">
        <v>33397</v>
      </c>
      <c r="G434" s="64"/>
    </row>
    <row r="435" spans="1:7" x14ac:dyDescent="0.25">
      <c r="A435" s="60">
        <v>953109212</v>
      </c>
      <c r="B435" s="10" t="s">
        <v>52</v>
      </c>
      <c r="C435" s="61">
        <f>41116+(3*364-140)</f>
        <v>42068</v>
      </c>
      <c r="D435" s="62">
        <f t="shared" ca="1" si="6"/>
        <v>0</v>
      </c>
      <c r="E435" s="62" t="s">
        <v>26</v>
      </c>
      <c r="F435" s="63">
        <v>76895</v>
      </c>
      <c r="G435" s="64"/>
    </row>
    <row r="436" spans="1:7" x14ac:dyDescent="0.25">
      <c r="A436" s="60">
        <v>972791650</v>
      </c>
      <c r="B436" s="10" t="s">
        <v>50</v>
      </c>
      <c r="C436" s="61">
        <f>38148+(3*364-140)</f>
        <v>39100</v>
      </c>
      <c r="D436" s="62">
        <f t="shared" ca="1" si="6"/>
        <v>8</v>
      </c>
      <c r="E436" s="62" t="s">
        <v>24</v>
      </c>
      <c r="F436" s="63">
        <v>43953</v>
      </c>
      <c r="G436" s="64"/>
    </row>
    <row r="437" spans="1:7" x14ac:dyDescent="0.25">
      <c r="A437" s="60">
        <v>661397587</v>
      </c>
      <c r="B437" s="10" t="s">
        <v>42</v>
      </c>
      <c r="C437" s="61">
        <f>35590+(3*364-140)</f>
        <v>36542</v>
      </c>
      <c r="D437" s="62">
        <f t="shared" ca="1" si="6"/>
        <v>15</v>
      </c>
      <c r="E437" s="62"/>
      <c r="F437" s="63">
        <v>52728</v>
      </c>
      <c r="G437" s="64"/>
    </row>
    <row r="438" spans="1:7" x14ac:dyDescent="0.25">
      <c r="A438" s="60">
        <v>993383806</v>
      </c>
      <c r="B438" s="10" t="s">
        <v>44</v>
      </c>
      <c r="C438" s="61">
        <f>36745+(3*364-140)</f>
        <v>37697</v>
      </c>
      <c r="D438" s="62">
        <f t="shared" ca="1" si="6"/>
        <v>12</v>
      </c>
      <c r="E438" s="62"/>
      <c r="F438" s="63">
        <v>48896</v>
      </c>
      <c r="G438" s="64"/>
    </row>
    <row r="439" spans="1:7" x14ac:dyDescent="0.25">
      <c r="A439" s="60">
        <v>999789446</v>
      </c>
      <c r="B439" s="10" t="s">
        <v>41</v>
      </c>
      <c r="C439" s="61">
        <f>36007+(3*364-140)</f>
        <v>36959</v>
      </c>
      <c r="D439" s="62">
        <f t="shared" ca="1" si="6"/>
        <v>14</v>
      </c>
      <c r="E439" s="62" t="s">
        <v>24</v>
      </c>
      <c r="F439" s="63">
        <v>86762</v>
      </c>
      <c r="G439" s="64"/>
    </row>
    <row r="440" spans="1:7" x14ac:dyDescent="0.25">
      <c r="A440" s="60">
        <v>378189642</v>
      </c>
      <c r="B440" s="10" t="s">
        <v>44</v>
      </c>
      <c r="C440" s="61">
        <f>38577+(3*364-140)</f>
        <v>39529</v>
      </c>
      <c r="D440" s="62">
        <f t="shared" ca="1" si="6"/>
        <v>7</v>
      </c>
      <c r="E440" s="62"/>
      <c r="F440" s="63">
        <v>83486</v>
      </c>
      <c r="G440" s="64"/>
    </row>
    <row r="441" spans="1:7" x14ac:dyDescent="0.25">
      <c r="A441" s="60">
        <v>434927073</v>
      </c>
      <c r="B441" s="10" t="s">
        <v>40</v>
      </c>
      <c r="C441" s="61">
        <f>38290+(3*364-140)</f>
        <v>39242</v>
      </c>
      <c r="D441" s="62">
        <f t="shared" ca="1" si="6"/>
        <v>8</v>
      </c>
      <c r="E441" s="62" t="s">
        <v>26</v>
      </c>
      <c r="F441" s="63">
        <v>51662</v>
      </c>
      <c r="G441" s="64"/>
    </row>
    <row r="442" spans="1:7" x14ac:dyDescent="0.25">
      <c r="A442" s="60">
        <v>932553359</v>
      </c>
      <c r="B442" s="10" t="s">
        <v>53</v>
      </c>
      <c r="C442" s="61">
        <f>40398+(3*364-140)</f>
        <v>41350</v>
      </c>
      <c r="D442" s="62">
        <f t="shared" ca="1" si="6"/>
        <v>2</v>
      </c>
      <c r="E442" s="62"/>
      <c r="F442" s="63">
        <v>56316</v>
      </c>
      <c r="G442" s="64"/>
    </row>
    <row r="443" spans="1:7" x14ac:dyDescent="0.25">
      <c r="A443" s="60">
        <v>458734969</v>
      </c>
      <c r="B443" s="10" t="s">
        <v>54</v>
      </c>
      <c r="C443" s="61">
        <f>40406+(3*364-140)</f>
        <v>41358</v>
      </c>
      <c r="D443" s="62">
        <f t="shared" ca="1" si="6"/>
        <v>2</v>
      </c>
      <c r="E443" s="62" t="s">
        <v>24</v>
      </c>
      <c r="F443" s="63">
        <v>107081</v>
      </c>
      <c r="G443" s="64"/>
    </row>
    <row r="444" spans="1:7" x14ac:dyDescent="0.25">
      <c r="A444" s="60">
        <v>552528553</v>
      </c>
      <c r="B444" s="10" t="s">
        <v>52</v>
      </c>
      <c r="C444" s="61">
        <f>37018+(3*364-140)</f>
        <v>37970</v>
      </c>
      <c r="D444" s="62">
        <f t="shared" ca="1" si="6"/>
        <v>11</v>
      </c>
      <c r="E444" s="62"/>
      <c r="F444" s="63">
        <v>48121</v>
      </c>
      <c r="G444" s="64"/>
    </row>
    <row r="445" spans="1:7" x14ac:dyDescent="0.25">
      <c r="A445" s="60">
        <v>620072502</v>
      </c>
      <c r="B445" s="10" t="s">
        <v>46</v>
      </c>
      <c r="C445" s="61">
        <f>39716+(3*364-140)</f>
        <v>40668</v>
      </c>
      <c r="D445" s="62">
        <f t="shared" ca="1" si="6"/>
        <v>4</v>
      </c>
      <c r="E445" s="62" t="s">
        <v>34</v>
      </c>
      <c r="F445" s="63">
        <v>92820</v>
      </c>
      <c r="G445" s="64"/>
    </row>
    <row r="446" spans="1:7" x14ac:dyDescent="0.25">
      <c r="A446" s="60">
        <v>829216164</v>
      </c>
      <c r="B446" s="10" t="s">
        <v>44</v>
      </c>
      <c r="C446" s="61">
        <f>40223+(3*364-140)</f>
        <v>41175</v>
      </c>
      <c r="D446" s="62">
        <f t="shared" ca="1" si="6"/>
        <v>3</v>
      </c>
      <c r="E446" s="62"/>
      <c r="F446" s="63">
        <v>109421</v>
      </c>
      <c r="G446" s="64"/>
    </row>
    <row r="447" spans="1:7" x14ac:dyDescent="0.25">
      <c r="A447" s="60">
        <v>120479503</v>
      </c>
      <c r="B447" s="10" t="s">
        <v>50</v>
      </c>
      <c r="C447" s="61">
        <f>39977+(3*364-140)</f>
        <v>40929</v>
      </c>
      <c r="D447" s="62">
        <f t="shared" ca="1" si="6"/>
        <v>3</v>
      </c>
      <c r="E447" s="62" t="s">
        <v>34</v>
      </c>
      <c r="F447" s="63">
        <v>62088</v>
      </c>
      <c r="G447" s="64"/>
    </row>
    <row r="448" spans="1:7" x14ac:dyDescent="0.25">
      <c r="A448" s="60">
        <v>278431222</v>
      </c>
      <c r="B448" s="10" t="s">
        <v>35</v>
      </c>
      <c r="C448" s="61">
        <f>37571+(3*364-140)</f>
        <v>38523</v>
      </c>
      <c r="D448" s="62">
        <f t="shared" ca="1" si="6"/>
        <v>10</v>
      </c>
      <c r="E448" s="62" t="s">
        <v>33</v>
      </c>
      <c r="F448" s="63">
        <v>43732</v>
      </c>
      <c r="G448" s="64"/>
    </row>
    <row r="449" spans="1:7" x14ac:dyDescent="0.25">
      <c r="A449" s="60">
        <v>768215237</v>
      </c>
      <c r="B449" s="10" t="s">
        <v>37</v>
      </c>
      <c r="C449" s="61">
        <f>34150+(3*364-140)</f>
        <v>35102</v>
      </c>
      <c r="D449" s="62">
        <f t="shared" ca="1" si="6"/>
        <v>19</v>
      </c>
      <c r="E449" s="62" t="s">
        <v>28</v>
      </c>
      <c r="F449" s="63">
        <v>53820</v>
      </c>
      <c r="G449" s="64"/>
    </row>
    <row r="450" spans="1:7" x14ac:dyDescent="0.25">
      <c r="A450" s="60">
        <v>723930767</v>
      </c>
      <c r="B450" s="10" t="s">
        <v>46</v>
      </c>
      <c r="C450" s="61">
        <f>40991+(3*364-140)</f>
        <v>41943</v>
      </c>
      <c r="D450" s="62">
        <f t="shared" ref="D450:D513" ca="1" si="7">DATEDIF(C450,TODAY(),"Y")</f>
        <v>1</v>
      </c>
      <c r="E450" s="62" t="s">
        <v>33</v>
      </c>
      <c r="F450" s="63">
        <v>35425</v>
      </c>
      <c r="G450" s="64"/>
    </row>
    <row r="451" spans="1:7" x14ac:dyDescent="0.25">
      <c r="A451" s="60">
        <v>639314672</v>
      </c>
      <c r="B451" s="10" t="s">
        <v>37</v>
      </c>
      <c r="C451" s="61">
        <f>36520+(3*364-140)</f>
        <v>37472</v>
      </c>
      <c r="D451" s="62">
        <f t="shared" ca="1" si="7"/>
        <v>13</v>
      </c>
      <c r="E451" s="62" t="s">
        <v>34</v>
      </c>
      <c r="F451" s="63">
        <v>30394</v>
      </c>
      <c r="G451" s="64"/>
    </row>
    <row r="452" spans="1:7" x14ac:dyDescent="0.25">
      <c r="A452" s="60">
        <v>302854692</v>
      </c>
      <c r="B452" s="10" t="s">
        <v>50</v>
      </c>
      <c r="C452" s="61">
        <f>35295+(3*364-140)</f>
        <v>36247</v>
      </c>
      <c r="D452" s="62">
        <f t="shared" ca="1" si="7"/>
        <v>16</v>
      </c>
      <c r="E452" s="62" t="s">
        <v>24</v>
      </c>
      <c r="F452" s="63">
        <v>52398</v>
      </c>
      <c r="G452" s="64"/>
    </row>
    <row r="453" spans="1:7" x14ac:dyDescent="0.25">
      <c r="A453" s="60">
        <v>437460422</v>
      </c>
      <c r="B453" s="10" t="s">
        <v>52</v>
      </c>
      <c r="C453" s="61">
        <f>39401+(3*364-140)</f>
        <v>40353</v>
      </c>
      <c r="D453" s="62">
        <f t="shared" ca="1" si="7"/>
        <v>5</v>
      </c>
      <c r="E453" s="62" t="s">
        <v>33</v>
      </c>
      <c r="F453" s="63">
        <v>41457</v>
      </c>
      <c r="G453" s="64"/>
    </row>
    <row r="454" spans="1:7" x14ac:dyDescent="0.25">
      <c r="A454" s="60">
        <v>634954970</v>
      </c>
      <c r="B454" s="10" t="s">
        <v>47</v>
      </c>
      <c r="C454" s="61">
        <f>35960+(3*364-140)</f>
        <v>36912</v>
      </c>
      <c r="D454" s="62">
        <f t="shared" ca="1" si="7"/>
        <v>14</v>
      </c>
      <c r="E454" s="62" t="s">
        <v>24</v>
      </c>
      <c r="F454" s="63">
        <v>74828</v>
      </c>
      <c r="G454" s="64"/>
    </row>
    <row r="455" spans="1:7" x14ac:dyDescent="0.25">
      <c r="A455" s="60">
        <v>352371400</v>
      </c>
      <c r="B455" s="10" t="s">
        <v>53</v>
      </c>
      <c r="C455" s="61">
        <f>33934+(3*364-140)</f>
        <v>34886</v>
      </c>
      <c r="D455" s="62">
        <f t="shared" ca="1" si="7"/>
        <v>20</v>
      </c>
      <c r="E455" s="62"/>
      <c r="F455" s="63">
        <v>39608</v>
      </c>
      <c r="G455" s="64"/>
    </row>
    <row r="456" spans="1:7" x14ac:dyDescent="0.25">
      <c r="A456" s="60">
        <v>349174221</v>
      </c>
      <c r="B456" s="10" t="s">
        <v>52</v>
      </c>
      <c r="C456" s="61">
        <f>36762+(3*364-140)</f>
        <v>37714</v>
      </c>
      <c r="D456" s="62">
        <f t="shared" ca="1" si="7"/>
        <v>12</v>
      </c>
      <c r="E456" s="62" t="s">
        <v>28</v>
      </c>
      <c r="F456" s="63">
        <v>59475</v>
      </c>
      <c r="G456" s="64"/>
    </row>
    <row r="457" spans="1:7" x14ac:dyDescent="0.25">
      <c r="A457" s="60">
        <v>843632637</v>
      </c>
      <c r="B457" s="10" t="s">
        <v>53</v>
      </c>
      <c r="C457" s="61">
        <f>36539+(3*364-140)</f>
        <v>37491</v>
      </c>
      <c r="D457" s="62">
        <f t="shared" ca="1" si="7"/>
        <v>13</v>
      </c>
      <c r="E457" s="62"/>
      <c r="F457" s="63">
        <v>50061</v>
      </c>
      <c r="G457" s="64"/>
    </row>
    <row r="458" spans="1:7" x14ac:dyDescent="0.25">
      <c r="A458" s="60">
        <v>610340294</v>
      </c>
      <c r="B458" s="10" t="s">
        <v>54</v>
      </c>
      <c r="C458" s="61">
        <f>34498+(3*364-140)</f>
        <v>35450</v>
      </c>
      <c r="D458" s="62">
        <f t="shared" ca="1" si="7"/>
        <v>18</v>
      </c>
      <c r="E458" s="62"/>
      <c r="F458" s="63">
        <v>91390</v>
      </c>
      <c r="G458" s="64"/>
    </row>
    <row r="459" spans="1:7" x14ac:dyDescent="0.25">
      <c r="A459" s="60">
        <v>510700395</v>
      </c>
      <c r="B459" s="10" t="s">
        <v>55</v>
      </c>
      <c r="C459" s="61">
        <f>37669+(3*364-140)</f>
        <v>38621</v>
      </c>
      <c r="D459" s="62">
        <f t="shared" ca="1" si="7"/>
        <v>10</v>
      </c>
      <c r="E459" s="62" t="s">
        <v>24</v>
      </c>
      <c r="F459" s="63">
        <v>82771</v>
      </c>
      <c r="G459" s="64"/>
    </row>
    <row r="460" spans="1:7" x14ac:dyDescent="0.25">
      <c r="A460" s="60">
        <v>345817459</v>
      </c>
      <c r="B460" s="10" t="s">
        <v>47</v>
      </c>
      <c r="C460" s="61">
        <f>36877+(3*364-140)</f>
        <v>37829</v>
      </c>
      <c r="D460" s="62">
        <f t="shared" ca="1" si="7"/>
        <v>12</v>
      </c>
      <c r="E460" s="62"/>
      <c r="F460" s="63">
        <v>40651</v>
      </c>
      <c r="G460" s="64"/>
    </row>
    <row r="461" spans="1:7" x14ac:dyDescent="0.25">
      <c r="A461" s="60">
        <v>151532569</v>
      </c>
      <c r="B461" s="10" t="s">
        <v>54</v>
      </c>
      <c r="C461" s="61">
        <f>41241+(3*364-140)</f>
        <v>42193</v>
      </c>
      <c r="D461" s="62">
        <f t="shared" ca="1" si="7"/>
        <v>0</v>
      </c>
      <c r="E461" s="62"/>
      <c r="F461" s="63">
        <v>72163</v>
      </c>
      <c r="G461" s="64"/>
    </row>
    <row r="462" spans="1:7" x14ac:dyDescent="0.25">
      <c r="A462" s="60">
        <v>415299442</v>
      </c>
      <c r="B462" s="10" t="s">
        <v>44</v>
      </c>
      <c r="C462" s="61">
        <f>40374+(3*364-140)</f>
        <v>41326</v>
      </c>
      <c r="D462" s="62">
        <f t="shared" ca="1" si="7"/>
        <v>2</v>
      </c>
      <c r="E462" s="62" t="s">
        <v>24</v>
      </c>
      <c r="F462" s="63">
        <v>90116</v>
      </c>
      <c r="G462" s="64"/>
    </row>
    <row r="463" spans="1:7" x14ac:dyDescent="0.25">
      <c r="A463" s="60">
        <v>154984918</v>
      </c>
      <c r="B463" s="10" t="s">
        <v>47</v>
      </c>
      <c r="C463" s="61">
        <f>34085+(3*364-140)</f>
        <v>35037</v>
      </c>
      <c r="D463" s="62">
        <f t="shared" ca="1" si="7"/>
        <v>20</v>
      </c>
      <c r="E463" s="62" t="s">
        <v>24</v>
      </c>
      <c r="F463" s="63">
        <v>29770</v>
      </c>
      <c r="G463" s="64"/>
    </row>
    <row r="464" spans="1:7" x14ac:dyDescent="0.25">
      <c r="A464" s="60">
        <v>313651312</v>
      </c>
      <c r="B464" s="10" t="s">
        <v>39</v>
      </c>
      <c r="C464" s="61">
        <f>36860+(3*364-140)</f>
        <v>37812</v>
      </c>
      <c r="D464" s="62">
        <f t="shared" ca="1" si="7"/>
        <v>12</v>
      </c>
      <c r="E464" s="62" t="s">
        <v>33</v>
      </c>
      <c r="F464" s="63">
        <v>88790</v>
      </c>
      <c r="G464" s="64"/>
    </row>
    <row r="465" spans="1:7" x14ac:dyDescent="0.25">
      <c r="A465" s="60">
        <v>195772503</v>
      </c>
      <c r="B465" s="10" t="s">
        <v>53</v>
      </c>
      <c r="C465" s="61">
        <f>34592+(3*364-140)</f>
        <v>35544</v>
      </c>
      <c r="D465" s="62">
        <f t="shared" ca="1" si="7"/>
        <v>18</v>
      </c>
      <c r="E465" s="62"/>
      <c r="F465" s="63">
        <v>72397</v>
      </c>
      <c r="G465" s="64"/>
    </row>
    <row r="466" spans="1:7" x14ac:dyDescent="0.25">
      <c r="A466" s="60">
        <v>725801036</v>
      </c>
      <c r="B466" s="10" t="s">
        <v>44</v>
      </c>
      <c r="C466" s="61">
        <f>36650+(3*364-140)</f>
        <v>37602</v>
      </c>
      <c r="D466" s="62">
        <f t="shared" ca="1" si="7"/>
        <v>12</v>
      </c>
      <c r="E466" s="62"/>
      <c r="F466" s="63">
        <v>93223</v>
      </c>
      <c r="G466" s="64"/>
    </row>
    <row r="467" spans="1:7" x14ac:dyDescent="0.25">
      <c r="A467" s="60">
        <v>317193890</v>
      </c>
      <c r="B467" s="10" t="s">
        <v>52</v>
      </c>
      <c r="C467" s="61">
        <f>34847+(3*364-140)</f>
        <v>35799</v>
      </c>
      <c r="D467" s="62">
        <f t="shared" ca="1" si="7"/>
        <v>17</v>
      </c>
      <c r="E467" s="62" t="s">
        <v>26</v>
      </c>
      <c r="F467" s="63">
        <v>90246</v>
      </c>
      <c r="G467" s="64"/>
    </row>
    <row r="468" spans="1:7" x14ac:dyDescent="0.25">
      <c r="A468" s="60">
        <v>616055292</v>
      </c>
      <c r="B468" s="10" t="s">
        <v>54</v>
      </c>
      <c r="C468" s="61">
        <f>34599+(3*364-140)</f>
        <v>35551</v>
      </c>
      <c r="D468" s="62">
        <f t="shared" ca="1" si="7"/>
        <v>18</v>
      </c>
      <c r="E468" s="62" t="s">
        <v>26</v>
      </c>
      <c r="F468" s="63">
        <v>41808</v>
      </c>
      <c r="G468" s="64"/>
    </row>
    <row r="469" spans="1:7" x14ac:dyDescent="0.25">
      <c r="A469" s="60">
        <v>649292883</v>
      </c>
      <c r="B469" s="10" t="s">
        <v>53</v>
      </c>
      <c r="C469" s="61">
        <f>38915+(3*364-140)</f>
        <v>39867</v>
      </c>
      <c r="D469" s="62">
        <f t="shared" ca="1" si="7"/>
        <v>6</v>
      </c>
      <c r="E469" s="62" t="s">
        <v>33</v>
      </c>
      <c r="F469" s="63">
        <v>41483</v>
      </c>
      <c r="G469" s="64"/>
    </row>
    <row r="470" spans="1:7" x14ac:dyDescent="0.25">
      <c r="A470" s="60">
        <v>292006053</v>
      </c>
      <c r="B470" s="10" t="s">
        <v>46</v>
      </c>
      <c r="C470" s="61">
        <f>37443+(3*364-140)</f>
        <v>38395</v>
      </c>
      <c r="D470" s="62">
        <f t="shared" ca="1" si="7"/>
        <v>10</v>
      </c>
      <c r="E470" s="62"/>
      <c r="F470" s="63">
        <v>96850</v>
      </c>
      <c r="G470" s="64"/>
    </row>
    <row r="471" spans="1:7" x14ac:dyDescent="0.25">
      <c r="A471" s="60">
        <v>956291859</v>
      </c>
      <c r="B471" s="10" t="s">
        <v>42</v>
      </c>
      <c r="C471" s="61">
        <f>40937+(3*364-140)</f>
        <v>41889</v>
      </c>
      <c r="D471" s="62">
        <f t="shared" ca="1" si="7"/>
        <v>1</v>
      </c>
      <c r="E471" s="62"/>
      <c r="F471" s="63">
        <v>59423</v>
      </c>
      <c r="G471" s="64"/>
    </row>
    <row r="472" spans="1:7" x14ac:dyDescent="0.25">
      <c r="A472" s="60">
        <v>481336564</v>
      </c>
      <c r="B472" s="10" t="s">
        <v>31</v>
      </c>
      <c r="C472" s="61">
        <f>36821+(3*364-140)</f>
        <v>37773</v>
      </c>
      <c r="D472" s="62">
        <f t="shared" ca="1" si="7"/>
        <v>12</v>
      </c>
      <c r="E472" s="62" t="s">
        <v>33</v>
      </c>
      <c r="F472" s="63">
        <v>93717</v>
      </c>
      <c r="G472" s="64"/>
    </row>
    <row r="473" spans="1:7" x14ac:dyDescent="0.25">
      <c r="A473" s="60">
        <v>506577536</v>
      </c>
      <c r="B473" s="10" t="s">
        <v>44</v>
      </c>
      <c r="C473" s="61">
        <f>36983+(3*364-140)</f>
        <v>37935</v>
      </c>
      <c r="D473" s="62">
        <f t="shared" ca="1" si="7"/>
        <v>12</v>
      </c>
      <c r="E473" s="62"/>
      <c r="F473" s="63">
        <v>36753</v>
      </c>
      <c r="G473" s="64"/>
    </row>
    <row r="474" spans="1:7" x14ac:dyDescent="0.25">
      <c r="A474" s="60">
        <v>875920441</v>
      </c>
      <c r="B474" s="10" t="s">
        <v>43</v>
      </c>
      <c r="C474" s="61">
        <f>38183+(3*364-140)</f>
        <v>39135</v>
      </c>
      <c r="D474" s="62">
        <f t="shared" ca="1" si="7"/>
        <v>8</v>
      </c>
      <c r="E474" s="62" t="s">
        <v>34</v>
      </c>
      <c r="F474" s="63">
        <v>67340</v>
      </c>
      <c r="G474" s="64"/>
    </row>
    <row r="475" spans="1:7" x14ac:dyDescent="0.25">
      <c r="A475" s="60">
        <v>343185481</v>
      </c>
      <c r="B475" s="10" t="s">
        <v>52</v>
      </c>
      <c r="C475" s="61">
        <f>36596+(3*364-140)</f>
        <v>37548</v>
      </c>
      <c r="D475" s="62">
        <f t="shared" ca="1" si="7"/>
        <v>13</v>
      </c>
      <c r="E475" s="62" t="s">
        <v>28</v>
      </c>
      <c r="F475" s="63">
        <v>95862</v>
      </c>
      <c r="G475" s="64"/>
    </row>
    <row r="476" spans="1:7" x14ac:dyDescent="0.25">
      <c r="A476" s="60">
        <v>387517948</v>
      </c>
      <c r="B476" s="10" t="s">
        <v>44</v>
      </c>
      <c r="C476" s="61">
        <f>41312+(3*364-140)</f>
        <v>42264</v>
      </c>
      <c r="D476" s="62">
        <f t="shared" ca="1" si="7"/>
        <v>0</v>
      </c>
      <c r="E476" s="62" t="s">
        <v>24</v>
      </c>
      <c r="F476" s="63">
        <v>61672</v>
      </c>
      <c r="G476" s="64"/>
    </row>
    <row r="477" spans="1:7" x14ac:dyDescent="0.25">
      <c r="A477" s="60">
        <v>640301378</v>
      </c>
      <c r="B477" s="10" t="s">
        <v>38</v>
      </c>
      <c r="C477" s="61">
        <f>41183+(3*364-140)</f>
        <v>42135</v>
      </c>
      <c r="D477" s="62">
        <f t="shared" ca="1" si="7"/>
        <v>0</v>
      </c>
      <c r="E477" s="62" t="s">
        <v>33</v>
      </c>
      <c r="F477" s="63">
        <v>60099</v>
      </c>
      <c r="G477" s="64"/>
    </row>
    <row r="478" spans="1:7" x14ac:dyDescent="0.25">
      <c r="A478" s="60">
        <v>904497673</v>
      </c>
      <c r="B478" s="10" t="s">
        <v>54</v>
      </c>
      <c r="C478" s="61">
        <f>33822+(3*364-140)</f>
        <v>34774</v>
      </c>
      <c r="D478" s="62">
        <f t="shared" ca="1" si="7"/>
        <v>20</v>
      </c>
      <c r="E478" s="62"/>
      <c r="F478" s="63">
        <v>30342</v>
      </c>
      <c r="G478" s="64"/>
    </row>
    <row r="479" spans="1:7" x14ac:dyDescent="0.25">
      <c r="A479" s="60">
        <v>841913875</v>
      </c>
      <c r="B479" s="10" t="s">
        <v>37</v>
      </c>
      <c r="C479" s="61">
        <f>35838+(3*364-140)</f>
        <v>36790</v>
      </c>
      <c r="D479" s="62">
        <f t="shared" ca="1" si="7"/>
        <v>15</v>
      </c>
      <c r="E479" s="62"/>
      <c r="F479" s="63">
        <v>65715</v>
      </c>
      <c r="G479" s="64"/>
    </row>
    <row r="480" spans="1:7" x14ac:dyDescent="0.25">
      <c r="A480" s="60">
        <v>331251341</v>
      </c>
      <c r="B480" s="10" t="s">
        <v>53</v>
      </c>
      <c r="C480" s="61">
        <f>36574+(3*364-140)</f>
        <v>37526</v>
      </c>
      <c r="D480" s="62">
        <f t="shared" ca="1" si="7"/>
        <v>13</v>
      </c>
      <c r="E480" s="62" t="s">
        <v>33</v>
      </c>
      <c r="F480" s="63">
        <v>91364</v>
      </c>
      <c r="G480" s="64"/>
    </row>
    <row r="481" spans="1:7" x14ac:dyDescent="0.25">
      <c r="A481" s="60">
        <v>106099892</v>
      </c>
      <c r="B481" s="10" t="s">
        <v>55</v>
      </c>
      <c r="C481" s="61">
        <f>41397+(3*364-140)</f>
        <v>42349</v>
      </c>
      <c r="D481" s="62" t="e">
        <f t="shared" ca="1" si="7"/>
        <v>#NUM!</v>
      </c>
      <c r="E481" s="62"/>
      <c r="F481" s="63">
        <v>85972</v>
      </c>
      <c r="G481" s="64"/>
    </row>
    <row r="482" spans="1:7" x14ac:dyDescent="0.25">
      <c r="A482" s="60">
        <v>806508287</v>
      </c>
      <c r="B482" s="10" t="s">
        <v>44</v>
      </c>
      <c r="C482" s="61">
        <f>34309+(3*364-140)</f>
        <v>35261</v>
      </c>
      <c r="D482" s="62">
        <f t="shared" ca="1" si="7"/>
        <v>19</v>
      </c>
      <c r="E482" s="62" t="s">
        <v>24</v>
      </c>
      <c r="F482" s="63">
        <v>68822</v>
      </c>
      <c r="G482" s="64"/>
    </row>
    <row r="483" spans="1:7" x14ac:dyDescent="0.25">
      <c r="A483" s="60">
        <v>252276921</v>
      </c>
      <c r="B483" s="10" t="s">
        <v>37</v>
      </c>
      <c r="C483" s="61">
        <f>38463+(3*364-140)</f>
        <v>39415</v>
      </c>
      <c r="D483" s="62">
        <f t="shared" ca="1" si="7"/>
        <v>8</v>
      </c>
      <c r="E483" s="62" t="s">
        <v>33</v>
      </c>
      <c r="F483" s="63">
        <v>113464</v>
      </c>
      <c r="G483" s="64"/>
    </row>
    <row r="484" spans="1:7" x14ac:dyDescent="0.25">
      <c r="A484" s="60">
        <v>755945415</v>
      </c>
      <c r="B484" s="10" t="s">
        <v>48</v>
      </c>
      <c r="C484" s="61">
        <f>41011+(3*364-140)</f>
        <v>41963</v>
      </c>
      <c r="D484" s="62">
        <f t="shared" ca="1" si="7"/>
        <v>1</v>
      </c>
      <c r="E484" s="62"/>
      <c r="F484" s="63">
        <v>96226</v>
      </c>
      <c r="G484" s="64"/>
    </row>
    <row r="485" spans="1:7" x14ac:dyDescent="0.25">
      <c r="A485" s="60">
        <v>561530671</v>
      </c>
      <c r="B485" s="10" t="s">
        <v>52</v>
      </c>
      <c r="C485" s="61">
        <f>34188+(3*364-140)</f>
        <v>35140</v>
      </c>
      <c r="D485" s="62">
        <f t="shared" ca="1" si="7"/>
        <v>19</v>
      </c>
      <c r="E485" s="62" t="s">
        <v>28</v>
      </c>
      <c r="F485" s="63">
        <v>70850</v>
      </c>
      <c r="G485" s="64"/>
    </row>
    <row r="486" spans="1:7" x14ac:dyDescent="0.25">
      <c r="A486" s="60">
        <v>399060898</v>
      </c>
      <c r="B486" s="10" t="s">
        <v>44</v>
      </c>
      <c r="C486" s="61">
        <f>38999+(3*364-140)</f>
        <v>39951</v>
      </c>
      <c r="D486" s="62">
        <f t="shared" ca="1" si="7"/>
        <v>6</v>
      </c>
      <c r="E486" s="62"/>
      <c r="F486" s="63">
        <v>49374</v>
      </c>
      <c r="G486" s="64"/>
    </row>
    <row r="487" spans="1:7" x14ac:dyDescent="0.25">
      <c r="A487" s="60">
        <v>117896630</v>
      </c>
      <c r="B487" s="10" t="s">
        <v>43</v>
      </c>
      <c r="C487" s="61">
        <f>40941+(3*364-140)</f>
        <v>41893</v>
      </c>
      <c r="D487" s="62">
        <f t="shared" ca="1" si="7"/>
        <v>1</v>
      </c>
      <c r="E487" s="62" t="s">
        <v>26</v>
      </c>
      <c r="F487" s="63">
        <v>92547</v>
      </c>
      <c r="G487" s="64"/>
    </row>
    <row r="488" spans="1:7" x14ac:dyDescent="0.25">
      <c r="A488" s="60">
        <v>475256935</v>
      </c>
      <c r="B488" s="10" t="s">
        <v>31</v>
      </c>
      <c r="C488" s="61">
        <f>36420+(3*364-140)</f>
        <v>37372</v>
      </c>
      <c r="D488" s="62">
        <f t="shared" ca="1" si="7"/>
        <v>13</v>
      </c>
      <c r="E488" s="62" t="s">
        <v>33</v>
      </c>
      <c r="F488" s="63">
        <v>110890</v>
      </c>
      <c r="G488" s="64"/>
    </row>
    <row r="489" spans="1:7" x14ac:dyDescent="0.25">
      <c r="A489" s="60">
        <v>426812736</v>
      </c>
      <c r="B489" s="10" t="s">
        <v>54</v>
      </c>
      <c r="C489" s="61">
        <f>34837+(3*364-140)</f>
        <v>35789</v>
      </c>
      <c r="D489" s="62">
        <f t="shared" ca="1" si="7"/>
        <v>17</v>
      </c>
      <c r="E489" s="62"/>
      <c r="F489" s="63">
        <v>45812</v>
      </c>
      <c r="G489" s="64"/>
    </row>
    <row r="490" spans="1:7" x14ac:dyDescent="0.25">
      <c r="A490" s="60">
        <v>653843221</v>
      </c>
      <c r="B490" s="10" t="s">
        <v>37</v>
      </c>
      <c r="C490" s="61">
        <f>40637+(3*364-140)</f>
        <v>41589</v>
      </c>
      <c r="D490" s="62">
        <f t="shared" ca="1" si="7"/>
        <v>2</v>
      </c>
      <c r="E490" s="62"/>
      <c r="F490" s="63">
        <v>103298</v>
      </c>
      <c r="G490" s="64"/>
    </row>
    <row r="491" spans="1:7" x14ac:dyDescent="0.25">
      <c r="A491" s="60">
        <v>506165137</v>
      </c>
      <c r="B491" s="10" t="s">
        <v>47</v>
      </c>
      <c r="C491" s="61">
        <f>40761+(3*364-140)</f>
        <v>41713</v>
      </c>
      <c r="D491" s="62">
        <f t="shared" ca="1" si="7"/>
        <v>1</v>
      </c>
      <c r="E491" s="62" t="s">
        <v>33</v>
      </c>
      <c r="F491" s="63">
        <v>57395</v>
      </c>
      <c r="G491" s="64"/>
    </row>
    <row r="492" spans="1:7" x14ac:dyDescent="0.25">
      <c r="A492" s="60">
        <v>694800128</v>
      </c>
      <c r="B492" s="10" t="s">
        <v>40</v>
      </c>
      <c r="C492" s="61">
        <f>36947+(3*364-140)</f>
        <v>37899</v>
      </c>
      <c r="D492" s="62">
        <f t="shared" ca="1" si="7"/>
        <v>12</v>
      </c>
      <c r="E492" s="62" t="s">
        <v>33</v>
      </c>
      <c r="F492" s="63">
        <v>79729</v>
      </c>
      <c r="G492" s="64"/>
    </row>
    <row r="493" spans="1:7" x14ac:dyDescent="0.25">
      <c r="A493" s="60">
        <v>643979374</v>
      </c>
      <c r="B493" s="10" t="s">
        <v>52</v>
      </c>
      <c r="C493" s="61">
        <f>36219+(3*364-140)</f>
        <v>37171</v>
      </c>
      <c r="D493" s="62">
        <f t="shared" ca="1" si="7"/>
        <v>14</v>
      </c>
      <c r="E493" s="62"/>
      <c r="F493" s="63">
        <v>64389</v>
      </c>
      <c r="G493" s="64"/>
    </row>
    <row r="494" spans="1:7" x14ac:dyDescent="0.25">
      <c r="A494" s="60">
        <v>661850671</v>
      </c>
      <c r="B494" s="10" t="s">
        <v>44</v>
      </c>
      <c r="C494" s="61">
        <f>36507+(3*364-140)</f>
        <v>37459</v>
      </c>
      <c r="D494" s="62">
        <f t="shared" ca="1" si="7"/>
        <v>13</v>
      </c>
      <c r="E494" s="62"/>
      <c r="F494" s="63">
        <v>37929</v>
      </c>
      <c r="G494" s="64"/>
    </row>
    <row r="495" spans="1:7" x14ac:dyDescent="0.25">
      <c r="A495" s="60">
        <v>619456809</v>
      </c>
      <c r="B495" s="10" t="s">
        <v>53</v>
      </c>
      <c r="C495" s="61">
        <f>36520+(3*364-140)</f>
        <v>37472</v>
      </c>
      <c r="D495" s="62">
        <f t="shared" ca="1" si="7"/>
        <v>13</v>
      </c>
      <c r="E495" s="62" t="s">
        <v>26</v>
      </c>
      <c r="F495" s="63">
        <v>51389</v>
      </c>
      <c r="G495" s="64"/>
    </row>
    <row r="496" spans="1:7" x14ac:dyDescent="0.25">
      <c r="A496" s="60">
        <v>422957475</v>
      </c>
      <c r="B496" s="10" t="s">
        <v>47</v>
      </c>
      <c r="C496" s="61">
        <f>34855+(3*364-140)</f>
        <v>35807</v>
      </c>
      <c r="D496" s="62">
        <f t="shared" ca="1" si="7"/>
        <v>17</v>
      </c>
      <c r="E496" s="62" t="s">
        <v>33</v>
      </c>
      <c r="F496" s="63">
        <v>84825</v>
      </c>
      <c r="G496" s="64"/>
    </row>
    <row r="497" spans="1:7" x14ac:dyDescent="0.25">
      <c r="A497" s="60">
        <v>839899522</v>
      </c>
      <c r="B497" s="10" t="s">
        <v>50</v>
      </c>
      <c r="C497" s="61">
        <f>36647+(3*364-140)</f>
        <v>37599</v>
      </c>
      <c r="D497" s="62">
        <f t="shared" ca="1" si="7"/>
        <v>13</v>
      </c>
      <c r="E497" s="62" t="s">
        <v>24</v>
      </c>
      <c r="F497" s="63">
        <v>96889</v>
      </c>
      <c r="G497" s="64"/>
    </row>
    <row r="498" spans="1:7" x14ac:dyDescent="0.25">
      <c r="A498" s="60">
        <v>422463024</v>
      </c>
      <c r="B498" s="10" t="s">
        <v>52</v>
      </c>
      <c r="C498" s="61">
        <f>35371+(3*364-140)</f>
        <v>36323</v>
      </c>
      <c r="D498" s="62">
        <f t="shared" ca="1" si="7"/>
        <v>16</v>
      </c>
      <c r="E498" s="62" t="s">
        <v>28</v>
      </c>
      <c r="F498" s="63">
        <v>115466</v>
      </c>
      <c r="G498" s="64"/>
    </row>
    <row r="499" spans="1:7" x14ac:dyDescent="0.25">
      <c r="A499" s="60">
        <v>776823797</v>
      </c>
      <c r="B499" s="10" t="s">
        <v>55</v>
      </c>
      <c r="C499" s="61">
        <f>34065+(3*364-140)</f>
        <v>35017</v>
      </c>
      <c r="D499" s="62">
        <f t="shared" ca="1" si="7"/>
        <v>20</v>
      </c>
      <c r="E499" s="62"/>
      <c r="F499" s="63">
        <v>111163</v>
      </c>
      <c r="G499" s="64"/>
    </row>
    <row r="500" spans="1:7" x14ac:dyDescent="0.25">
      <c r="A500" s="60">
        <v>917195248</v>
      </c>
      <c r="B500" s="10" t="s">
        <v>48</v>
      </c>
      <c r="C500" s="61">
        <f>38505+(3*364-140)</f>
        <v>39457</v>
      </c>
      <c r="D500" s="62">
        <f t="shared" ca="1" si="7"/>
        <v>7</v>
      </c>
      <c r="E500" s="62"/>
      <c r="F500" s="63">
        <v>43071</v>
      </c>
      <c r="G500" s="64"/>
    </row>
    <row r="501" spans="1:7" x14ac:dyDescent="0.25">
      <c r="A501" s="60">
        <v>449987941</v>
      </c>
      <c r="B501" s="10" t="s">
        <v>52</v>
      </c>
      <c r="C501" s="61">
        <f>41155+(3*364-140)</f>
        <v>42107</v>
      </c>
      <c r="D501" s="62">
        <f t="shared" ca="1" si="7"/>
        <v>0</v>
      </c>
      <c r="E501" s="62" t="s">
        <v>26</v>
      </c>
      <c r="F501" s="63">
        <v>82168</v>
      </c>
      <c r="G501" s="64"/>
    </row>
    <row r="502" spans="1:7" x14ac:dyDescent="0.25">
      <c r="A502" s="60">
        <v>260815239</v>
      </c>
      <c r="B502" s="10" t="s">
        <v>37</v>
      </c>
      <c r="C502" s="61">
        <f>34298+(3*364-140)</f>
        <v>35250</v>
      </c>
      <c r="D502" s="62">
        <f t="shared" ca="1" si="7"/>
        <v>19</v>
      </c>
      <c r="E502" s="62"/>
      <c r="F502" s="63">
        <v>37876</v>
      </c>
      <c r="G502" s="64"/>
    </row>
    <row r="503" spans="1:7" x14ac:dyDescent="0.25">
      <c r="A503" s="60">
        <v>313648228</v>
      </c>
      <c r="B503" s="10" t="s">
        <v>53</v>
      </c>
      <c r="C503" s="61">
        <f>38303+(3*364-140)</f>
        <v>39255</v>
      </c>
      <c r="D503" s="62">
        <f t="shared" ca="1" si="7"/>
        <v>8</v>
      </c>
      <c r="E503" s="62" t="s">
        <v>33</v>
      </c>
      <c r="F503" s="63">
        <v>107237</v>
      </c>
      <c r="G503" s="64"/>
    </row>
    <row r="504" spans="1:7" x14ac:dyDescent="0.25">
      <c r="A504" s="60">
        <v>281005046</v>
      </c>
      <c r="B504" s="10" t="s">
        <v>42</v>
      </c>
      <c r="C504" s="61">
        <f>40732+(3*364-140)</f>
        <v>41684</v>
      </c>
      <c r="D504" s="62">
        <f t="shared" ca="1" si="7"/>
        <v>1</v>
      </c>
      <c r="E504" s="62"/>
      <c r="F504" s="63">
        <v>73996</v>
      </c>
      <c r="G504" s="64"/>
    </row>
    <row r="505" spans="1:7" x14ac:dyDescent="0.25">
      <c r="A505" s="60">
        <v>771953685</v>
      </c>
      <c r="B505" s="10" t="s">
        <v>43</v>
      </c>
      <c r="C505" s="61">
        <f>38624+(3*364-140)</f>
        <v>39576</v>
      </c>
      <c r="D505" s="62">
        <f t="shared" ca="1" si="7"/>
        <v>7</v>
      </c>
      <c r="E505" s="62" t="s">
        <v>24</v>
      </c>
      <c r="F505" s="63">
        <v>110669</v>
      </c>
      <c r="G505" s="64"/>
    </row>
    <row r="506" spans="1:7" x14ac:dyDescent="0.25">
      <c r="A506" s="60">
        <v>651999482</v>
      </c>
      <c r="B506" s="10" t="s">
        <v>54</v>
      </c>
      <c r="C506" s="61">
        <f>40357+(3*364-140)</f>
        <v>41309</v>
      </c>
      <c r="D506" s="62">
        <f t="shared" ca="1" si="7"/>
        <v>2</v>
      </c>
      <c r="E506" s="62" t="s">
        <v>24</v>
      </c>
      <c r="F506" s="63">
        <v>29666</v>
      </c>
      <c r="G506" s="64"/>
    </row>
    <row r="507" spans="1:7" x14ac:dyDescent="0.25">
      <c r="A507" s="60">
        <v>518690148</v>
      </c>
      <c r="B507" s="10" t="s">
        <v>42</v>
      </c>
      <c r="C507" s="61">
        <f>41077+(3*364-140)</f>
        <v>42029</v>
      </c>
      <c r="D507" s="62">
        <f t="shared" ca="1" si="7"/>
        <v>0</v>
      </c>
      <c r="E507" s="62" t="s">
        <v>26</v>
      </c>
      <c r="F507" s="63">
        <v>42432</v>
      </c>
      <c r="G507" s="64"/>
    </row>
    <row r="508" spans="1:7" x14ac:dyDescent="0.25">
      <c r="A508" s="60">
        <v>612295735</v>
      </c>
      <c r="B508" s="10" t="s">
        <v>44</v>
      </c>
      <c r="C508" s="61">
        <f>36189+(3*364-140)</f>
        <v>37141</v>
      </c>
      <c r="D508" s="62">
        <f t="shared" ca="1" si="7"/>
        <v>14</v>
      </c>
      <c r="E508" s="62" t="s">
        <v>33</v>
      </c>
      <c r="F508" s="63">
        <v>95087</v>
      </c>
      <c r="G508" s="64"/>
    </row>
    <row r="509" spans="1:7" x14ac:dyDescent="0.25">
      <c r="A509" s="60">
        <v>983891302</v>
      </c>
      <c r="B509" s="10" t="s">
        <v>47</v>
      </c>
      <c r="C509" s="61">
        <f>36225+(3*364-140)</f>
        <v>37177</v>
      </c>
      <c r="D509" s="62">
        <f t="shared" ca="1" si="7"/>
        <v>14</v>
      </c>
      <c r="E509" s="62" t="s">
        <v>24</v>
      </c>
      <c r="F509" s="63">
        <v>106132</v>
      </c>
      <c r="G509" s="64"/>
    </row>
    <row r="510" spans="1:7" x14ac:dyDescent="0.25">
      <c r="A510" s="60">
        <v>749768847</v>
      </c>
      <c r="B510" s="10" t="s">
        <v>54</v>
      </c>
      <c r="C510" s="61">
        <f>35958+(3*364-140)</f>
        <v>36910</v>
      </c>
      <c r="D510" s="62">
        <f t="shared" ca="1" si="7"/>
        <v>14</v>
      </c>
      <c r="E510" s="62"/>
      <c r="F510" s="63">
        <v>54301</v>
      </c>
      <c r="G510" s="64"/>
    </row>
    <row r="511" spans="1:7" x14ac:dyDescent="0.25">
      <c r="A511" s="60">
        <v>816607187</v>
      </c>
      <c r="B511" s="10" t="s">
        <v>50</v>
      </c>
      <c r="C511" s="61">
        <f>41130+(3*364-140)</f>
        <v>42082</v>
      </c>
      <c r="D511" s="62">
        <f t="shared" ca="1" si="7"/>
        <v>0</v>
      </c>
      <c r="E511" s="62"/>
      <c r="F511" s="63">
        <v>35802</v>
      </c>
      <c r="G511" s="64"/>
    </row>
    <row r="512" spans="1:7" x14ac:dyDescent="0.25">
      <c r="A512" s="60">
        <v>145240921</v>
      </c>
      <c r="B512" s="10" t="s">
        <v>50</v>
      </c>
      <c r="C512" s="61">
        <f>40082+(3*364-140)</f>
        <v>41034</v>
      </c>
      <c r="D512" s="62">
        <f t="shared" ca="1" si="7"/>
        <v>3</v>
      </c>
      <c r="E512" s="62" t="s">
        <v>26</v>
      </c>
      <c r="F512" s="63">
        <v>66287</v>
      </c>
      <c r="G512" s="64"/>
    </row>
    <row r="513" spans="1:7" x14ac:dyDescent="0.25">
      <c r="A513" s="60">
        <v>826508763</v>
      </c>
      <c r="B513" s="10" t="s">
        <v>53</v>
      </c>
      <c r="C513" s="61">
        <f>40423+(3*364-140)</f>
        <v>41375</v>
      </c>
      <c r="D513" s="62">
        <f t="shared" ca="1" si="7"/>
        <v>2</v>
      </c>
      <c r="E513" s="62" t="s">
        <v>33</v>
      </c>
      <c r="F513" s="63">
        <v>38129</v>
      </c>
      <c r="G513" s="64"/>
    </row>
    <row r="514" spans="1:7" x14ac:dyDescent="0.25">
      <c r="A514" s="60">
        <v>698869555</v>
      </c>
      <c r="B514" s="10" t="s">
        <v>44</v>
      </c>
      <c r="C514" s="61">
        <f>37181+(3*364-140)</f>
        <v>38133</v>
      </c>
      <c r="D514" s="62">
        <f t="shared" ref="D514:D577" ca="1" si="8">DATEDIF(C514,TODAY(),"Y")</f>
        <v>11</v>
      </c>
      <c r="E514" s="62" t="s">
        <v>26</v>
      </c>
      <c r="F514" s="63">
        <v>54100</v>
      </c>
      <c r="G514" s="64"/>
    </row>
    <row r="515" spans="1:7" x14ac:dyDescent="0.25">
      <c r="A515" s="60">
        <v>404589373</v>
      </c>
      <c r="B515" s="10" t="s">
        <v>53</v>
      </c>
      <c r="C515" s="61">
        <f>34706+(3*364-140)</f>
        <v>35658</v>
      </c>
      <c r="D515" s="62">
        <f t="shared" ca="1" si="8"/>
        <v>18</v>
      </c>
      <c r="E515" s="62" t="s">
        <v>33</v>
      </c>
      <c r="F515" s="63">
        <v>86871</v>
      </c>
      <c r="G515" s="64"/>
    </row>
    <row r="516" spans="1:7" x14ac:dyDescent="0.25">
      <c r="A516" s="60">
        <v>361925033</v>
      </c>
      <c r="B516" s="10" t="s">
        <v>44</v>
      </c>
      <c r="C516" s="61">
        <f>38967+(3*364-140)</f>
        <v>39919</v>
      </c>
      <c r="D516" s="62">
        <f t="shared" ca="1" si="8"/>
        <v>6</v>
      </c>
      <c r="E516" s="62"/>
      <c r="F516" s="63">
        <v>93379</v>
      </c>
      <c r="G516" s="64"/>
    </row>
    <row r="517" spans="1:7" x14ac:dyDescent="0.25">
      <c r="A517" s="60">
        <v>429283827</v>
      </c>
      <c r="B517" s="10" t="s">
        <v>42</v>
      </c>
      <c r="C517" s="61">
        <f>37321+(3*364-140)</f>
        <v>38273</v>
      </c>
      <c r="D517" s="62">
        <f t="shared" ca="1" si="8"/>
        <v>11</v>
      </c>
      <c r="E517" s="62" t="s">
        <v>33</v>
      </c>
      <c r="F517" s="63">
        <v>92794</v>
      </c>
      <c r="G517" s="64"/>
    </row>
    <row r="518" spans="1:7" x14ac:dyDescent="0.25">
      <c r="A518" s="60">
        <v>456946966</v>
      </c>
      <c r="B518" s="10" t="s">
        <v>31</v>
      </c>
      <c r="C518" s="61">
        <f>37442+(3*364-140)</f>
        <v>38394</v>
      </c>
      <c r="D518" s="62">
        <f t="shared" ca="1" si="8"/>
        <v>10</v>
      </c>
      <c r="E518" s="62" t="s">
        <v>34</v>
      </c>
      <c r="F518" s="63">
        <v>97292</v>
      </c>
      <c r="G518" s="64"/>
    </row>
    <row r="519" spans="1:7" x14ac:dyDescent="0.25">
      <c r="A519" s="60">
        <v>991764142</v>
      </c>
      <c r="B519" s="10" t="s">
        <v>47</v>
      </c>
      <c r="C519" s="61">
        <f>35625+(3*364-140)</f>
        <v>36577</v>
      </c>
      <c r="D519" s="62">
        <f t="shared" ca="1" si="8"/>
        <v>15</v>
      </c>
      <c r="E519" s="62"/>
      <c r="F519" s="63">
        <v>106509</v>
      </c>
      <c r="G519" s="64"/>
    </row>
    <row r="520" spans="1:7" x14ac:dyDescent="0.25">
      <c r="A520" s="60">
        <v>826450563</v>
      </c>
      <c r="B520" s="10" t="s">
        <v>44</v>
      </c>
      <c r="C520" s="61">
        <f>37382+(3*364-140)</f>
        <v>38334</v>
      </c>
      <c r="D520" s="62">
        <f t="shared" ca="1" si="8"/>
        <v>10</v>
      </c>
      <c r="E520" s="62"/>
      <c r="F520" s="63">
        <v>75088</v>
      </c>
      <c r="G520" s="64"/>
    </row>
    <row r="521" spans="1:7" x14ac:dyDescent="0.25">
      <c r="A521" s="60">
        <v>216607562</v>
      </c>
      <c r="B521" s="10" t="s">
        <v>35</v>
      </c>
      <c r="C521" s="61">
        <f>36137+(3*364-140)</f>
        <v>37089</v>
      </c>
      <c r="D521" s="62">
        <f t="shared" ca="1" si="8"/>
        <v>14</v>
      </c>
      <c r="E521" s="62" t="s">
        <v>33</v>
      </c>
      <c r="F521" s="63">
        <v>64168</v>
      </c>
      <c r="G521" s="64"/>
    </row>
    <row r="522" spans="1:7" x14ac:dyDescent="0.25">
      <c r="A522" s="60">
        <v>931105030</v>
      </c>
      <c r="B522" s="10" t="s">
        <v>44</v>
      </c>
      <c r="C522" s="61">
        <f>36951+(3*364-140)</f>
        <v>37903</v>
      </c>
      <c r="D522" s="62">
        <f t="shared" ca="1" si="8"/>
        <v>12</v>
      </c>
      <c r="E522" s="62" t="s">
        <v>33</v>
      </c>
      <c r="F522" s="63">
        <v>79729</v>
      </c>
      <c r="G522" s="64"/>
    </row>
    <row r="523" spans="1:7" x14ac:dyDescent="0.25">
      <c r="A523" s="60">
        <v>113377726</v>
      </c>
      <c r="B523" s="10" t="s">
        <v>48</v>
      </c>
      <c r="C523" s="61">
        <f>37144+(3*364-140)</f>
        <v>38096</v>
      </c>
      <c r="D523" s="62">
        <f t="shared" ca="1" si="8"/>
        <v>11</v>
      </c>
      <c r="E523" s="62" t="s">
        <v>33</v>
      </c>
      <c r="F523" s="63">
        <v>88933</v>
      </c>
      <c r="G523" s="64"/>
    </row>
    <row r="524" spans="1:7" x14ac:dyDescent="0.25">
      <c r="A524" s="60">
        <v>863736129</v>
      </c>
      <c r="B524" s="10" t="s">
        <v>53</v>
      </c>
      <c r="C524" s="61">
        <f>36366+(3*364-140)</f>
        <v>37318</v>
      </c>
      <c r="D524" s="62">
        <f t="shared" ca="1" si="8"/>
        <v>13</v>
      </c>
      <c r="E524" s="62" t="s">
        <v>33</v>
      </c>
      <c r="F524" s="63">
        <v>55562</v>
      </c>
      <c r="G524" s="64"/>
    </row>
    <row r="525" spans="1:7" x14ac:dyDescent="0.25">
      <c r="A525" s="60">
        <v>684054281</v>
      </c>
      <c r="B525" s="10" t="s">
        <v>44</v>
      </c>
      <c r="C525" s="61">
        <f>38824+(3*364-140)</f>
        <v>39776</v>
      </c>
      <c r="D525" s="62">
        <f t="shared" ca="1" si="8"/>
        <v>7</v>
      </c>
      <c r="E525" s="62" t="s">
        <v>24</v>
      </c>
      <c r="F525" s="63">
        <v>61542</v>
      </c>
      <c r="G525" s="64"/>
    </row>
    <row r="526" spans="1:7" x14ac:dyDescent="0.25">
      <c r="A526" s="60">
        <v>436778229</v>
      </c>
      <c r="B526" s="10" t="s">
        <v>44</v>
      </c>
      <c r="C526" s="61">
        <f>40500+(3*364-140)</f>
        <v>41452</v>
      </c>
      <c r="D526" s="62">
        <f t="shared" ca="1" si="8"/>
        <v>2</v>
      </c>
      <c r="E526" s="62"/>
      <c r="F526" s="63">
        <v>78052</v>
      </c>
      <c r="G526" s="64"/>
    </row>
    <row r="527" spans="1:7" x14ac:dyDescent="0.25">
      <c r="A527" s="60">
        <v>831188207</v>
      </c>
      <c r="B527" s="10" t="s">
        <v>37</v>
      </c>
      <c r="C527" s="61">
        <f>37919+(3*364-140)</f>
        <v>38871</v>
      </c>
      <c r="D527" s="62">
        <f t="shared" ca="1" si="8"/>
        <v>9</v>
      </c>
      <c r="E527" s="62" t="s">
        <v>24</v>
      </c>
      <c r="F527" s="63">
        <v>93535</v>
      </c>
      <c r="G527" s="64"/>
    </row>
    <row r="528" spans="1:7" x14ac:dyDescent="0.25">
      <c r="A528" s="60">
        <v>499124019</v>
      </c>
      <c r="B528" s="10" t="s">
        <v>47</v>
      </c>
      <c r="C528" s="61">
        <f>36799+(3*364-140)</f>
        <v>37751</v>
      </c>
      <c r="D528" s="62">
        <f t="shared" ca="1" si="8"/>
        <v>12</v>
      </c>
      <c r="E528" s="62" t="s">
        <v>33</v>
      </c>
      <c r="F528" s="63">
        <v>37544</v>
      </c>
      <c r="G528" s="64"/>
    </row>
    <row r="529" spans="1:7" x14ac:dyDescent="0.25">
      <c r="A529" s="60">
        <v>116869057</v>
      </c>
      <c r="B529" s="10" t="s">
        <v>42</v>
      </c>
      <c r="C529" s="61">
        <f>35433+(3*364-140)</f>
        <v>36385</v>
      </c>
      <c r="D529" s="62">
        <f t="shared" ca="1" si="8"/>
        <v>16</v>
      </c>
      <c r="E529" s="62" t="s">
        <v>26</v>
      </c>
      <c r="F529" s="63">
        <v>39014</v>
      </c>
      <c r="G529" s="64"/>
    </row>
    <row r="530" spans="1:7" x14ac:dyDescent="0.25">
      <c r="A530" s="60">
        <v>767961463</v>
      </c>
      <c r="B530" s="10" t="s">
        <v>31</v>
      </c>
      <c r="C530" s="61">
        <f>37455+(3*364-140)</f>
        <v>38407</v>
      </c>
      <c r="D530" s="62">
        <f t="shared" ca="1" si="8"/>
        <v>10</v>
      </c>
      <c r="E530" s="62"/>
      <c r="F530" s="63">
        <v>99697</v>
      </c>
      <c r="G530" s="64"/>
    </row>
    <row r="531" spans="1:7" x14ac:dyDescent="0.25">
      <c r="A531" s="60">
        <v>168791562</v>
      </c>
      <c r="B531" s="10" t="s">
        <v>47</v>
      </c>
      <c r="C531" s="61">
        <f>41039+(3*364-140)</f>
        <v>41991</v>
      </c>
      <c r="D531" s="62">
        <f t="shared" ca="1" si="8"/>
        <v>0</v>
      </c>
      <c r="E531" s="62" t="s">
        <v>26</v>
      </c>
      <c r="F531" s="63">
        <v>98514</v>
      </c>
      <c r="G531" s="64"/>
    </row>
    <row r="532" spans="1:7" x14ac:dyDescent="0.25">
      <c r="A532" s="60">
        <v>733881041</v>
      </c>
      <c r="B532" s="10" t="s">
        <v>53</v>
      </c>
      <c r="C532" s="61">
        <f>37235+(3*364-140)</f>
        <v>38187</v>
      </c>
      <c r="D532" s="62">
        <f t="shared" ca="1" si="8"/>
        <v>11</v>
      </c>
      <c r="E532" s="62"/>
      <c r="F532" s="63">
        <v>40436</v>
      </c>
      <c r="G532" s="64"/>
    </row>
    <row r="533" spans="1:7" x14ac:dyDescent="0.25">
      <c r="A533" s="60">
        <v>523758324</v>
      </c>
      <c r="B533" s="10" t="s">
        <v>44</v>
      </c>
      <c r="C533" s="61">
        <f>36039+(3*364-140)</f>
        <v>36991</v>
      </c>
      <c r="D533" s="62">
        <f t="shared" ca="1" si="8"/>
        <v>14</v>
      </c>
      <c r="E533" s="62" t="s">
        <v>24</v>
      </c>
      <c r="F533" s="63">
        <v>77116</v>
      </c>
      <c r="G533" s="64"/>
    </row>
    <row r="534" spans="1:7" x14ac:dyDescent="0.25">
      <c r="A534" s="60">
        <v>186821354</v>
      </c>
      <c r="B534" s="10" t="s">
        <v>53</v>
      </c>
      <c r="C534" s="61">
        <f>34688+(3*364-140)</f>
        <v>35640</v>
      </c>
      <c r="D534" s="62">
        <f t="shared" ca="1" si="8"/>
        <v>18</v>
      </c>
      <c r="E534" s="62" t="s">
        <v>24</v>
      </c>
      <c r="F534" s="63">
        <v>70551</v>
      </c>
      <c r="G534" s="64"/>
    </row>
    <row r="535" spans="1:7" x14ac:dyDescent="0.25">
      <c r="A535" s="60">
        <v>708108747</v>
      </c>
      <c r="B535" s="10" t="s">
        <v>44</v>
      </c>
      <c r="C535" s="61">
        <f>38621+(3*364-140)</f>
        <v>39573</v>
      </c>
      <c r="D535" s="62">
        <f t="shared" ca="1" si="8"/>
        <v>7</v>
      </c>
      <c r="E535" s="62" t="s">
        <v>24</v>
      </c>
      <c r="F535" s="63">
        <v>97729</v>
      </c>
      <c r="G535" s="64"/>
    </row>
    <row r="536" spans="1:7" x14ac:dyDescent="0.25">
      <c r="A536" s="60">
        <v>160662505</v>
      </c>
      <c r="B536" s="10" t="s">
        <v>52</v>
      </c>
      <c r="C536" s="61">
        <f>38204+(3*364-140)</f>
        <v>39156</v>
      </c>
      <c r="D536" s="62">
        <f t="shared" ca="1" si="8"/>
        <v>8</v>
      </c>
      <c r="E536" s="62"/>
      <c r="F536" s="63">
        <v>80054</v>
      </c>
      <c r="G536" s="64"/>
    </row>
    <row r="537" spans="1:7" x14ac:dyDescent="0.25">
      <c r="A537" s="60">
        <v>451159170</v>
      </c>
      <c r="B537" s="10" t="s">
        <v>52</v>
      </c>
      <c r="C537" s="61">
        <f>36504+(3*364-140)</f>
        <v>37456</v>
      </c>
      <c r="D537" s="62">
        <f t="shared" ca="1" si="8"/>
        <v>13</v>
      </c>
      <c r="E537" s="62" t="s">
        <v>24</v>
      </c>
      <c r="F537" s="63">
        <v>40567</v>
      </c>
      <c r="G537" s="64"/>
    </row>
    <row r="538" spans="1:7" x14ac:dyDescent="0.25">
      <c r="A538" s="60">
        <v>974912089</v>
      </c>
      <c r="B538" s="10" t="s">
        <v>49</v>
      </c>
      <c r="C538" s="61">
        <f>35492+(3*364-140)</f>
        <v>36444</v>
      </c>
      <c r="D538" s="62">
        <f t="shared" ca="1" si="8"/>
        <v>16</v>
      </c>
      <c r="E538" s="62" t="s">
        <v>24</v>
      </c>
      <c r="F538" s="63">
        <v>82147</v>
      </c>
      <c r="G538" s="64"/>
    </row>
    <row r="539" spans="1:7" x14ac:dyDescent="0.25">
      <c r="A539" s="60">
        <v>614562070</v>
      </c>
      <c r="B539" s="10" t="s">
        <v>53</v>
      </c>
      <c r="C539" s="61">
        <f>38493+(3*364-140)</f>
        <v>39445</v>
      </c>
      <c r="D539" s="62">
        <f t="shared" ca="1" si="8"/>
        <v>7</v>
      </c>
      <c r="E539" s="62" t="s">
        <v>24</v>
      </c>
      <c r="F539" s="63">
        <v>63362</v>
      </c>
      <c r="G539" s="64"/>
    </row>
    <row r="540" spans="1:7" x14ac:dyDescent="0.25">
      <c r="A540" s="60">
        <v>336025451</v>
      </c>
      <c r="B540" s="10" t="s">
        <v>52</v>
      </c>
      <c r="C540" s="61">
        <f>35156+(3*364-140)</f>
        <v>36108</v>
      </c>
      <c r="D540" s="62">
        <f t="shared" ca="1" si="8"/>
        <v>17</v>
      </c>
      <c r="E540" s="62"/>
      <c r="F540" s="63">
        <v>73645</v>
      </c>
      <c r="G540" s="64"/>
    </row>
    <row r="541" spans="1:7" x14ac:dyDescent="0.25">
      <c r="A541" s="60">
        <v>466293520</v>
      </c>
      <c r="B541" s="10" t="s">
        <v>44</v>
      </c>
      <c r="C541" s="61">
        <f>34429+(3*364-140)</f>
        <v>35381</v>
      </c>
      <c r="D541" s="62">
        <f t="shared" ca="1" si="8"/>
        <v>19</v>
      </c>
      <c r="E541" s="62"/>
      <c r="F541" s="63">
        <v>29047</v>
      </c>
      <c r="G541" s="64"/>
    </row>
    <row r="542" spans="1:7" x14ac:dyDescent="0.25">
      <c r="A542" s="60">
        <v>948480407</v>
      </c>
      <c r="B542" s="10" t="s">
        <v>44</v>
      </c>
      <c r="C542" s="61">
        <f>38312+(3*364-140)</f>
        <v>39264</v>
      </c>
      <c r="D542" s="62">
        <f t="shared" ca="1" si="8"/>
        <v>8</v>
      </c>
      <c r="E542" s="62"/>
      <c r="F542" s="63">
        <v>79781</v>
      </c>
      <c r="G542" s="64"/>
    </row>
    <row r="543" spans="1:7" x14ac:dyDescent="0.25">
      <c r="A543" s="60">
        <v>597131266</v>
      </c>
      <c r="B543" s="10" t="s">
        <v>44</v>
      </c>
      <c r="C543" s="61">
        <f>36381+(3*364-140)</f>
        <v>37333</v>
      </c>
      <c r="D543" s="62">
        <f t="shared" ca="1" si="8"/>
        <v>13</v>
      </c>
      <c r="E543" s="62" t="s">
        <v>28</v>
      </c>
      <c r="F543" s="63">
        <v>86359</v>
      </c>
      <c r="G543" s="64"/>
    </row>
    <row r="544" spans="1:7" x14ac:dyDescent="0.25">
      <c r="A544" s="60">
        <v>486016972</v>
      </c>
      <c r="B544" s="10" t="s">
        <v>52</v>
      </c>
      <c r="C544" s="61">
        <f>40406+(3*364-140)</f>
        <v>41358</v>
      </c>
      <c r="D544" s="62">
        <f t="shared" ca="1" si="8"/>
        <v>2</v>
      </c>
      <c r="E544" s="62" t="s">
        <v>24</v>
      </c>
      <c r="F544" s="63">
        <v>59235</v>
      </c>
      <c r="G544" s="64"/>
    </row>
    <row r="545" spans="1:7" x14ac:dyDescent="0.25">
      <c r="A545" s="60">
        <v>380653169</v>
      </c>
      <c r="B545" s="10" t="s">
        <v>44</v>
      </c>
      <c r="C545" s="61">
        <f>34829+(3*364-140)</f>
        <v>35781</v>
      </c>
      <c r="D545" s="62">
        <f t="shared" ca="1" si="8"/>
        <v>17</v>
      </c>
      <c r="E545" s="62" t="s">
        <v>33</v>
      </c>
      <c r="F545" s="63">
        <v>106574</v>
      </c>
      <c r="G545" s="64"/>
    </row>
    <row r="546" spans="1:7" x14ac:dyDescent="0.25">
      <c r="A546" s="60">
        <v>462461365</v>
      </c>
      <c r="B546" s="10" t="s">
        <v>53</v>
      </c>
      <c r="C546" s="61">
        <f>34699+(3*364-140)</f>
        <v>35651</v>
      </c>
      <c r="D546" s="62">
        <f t="shared" ca="1" si="8"/>
        <v>18</v>
      </c>
      <c r="E546" s="62" t="s">
        <v>33</v>
      </c>
      <c r="F546" s="63">
        <v>58643</v>
      </c>
      <c r="G546" s="64"/>
    </row>
    <row r="547" spans="1:7" x14ac:dyDescent="0.25">
      <c r="A547" s="60">
        <v>261486180</v>
      </c>
      <c r="B547" s="10" t="s">
        <v>48</v>
      </c>
      <c r="C547" s="61">
        <f>37914+(3*364-140)</f>
        <v>38866</v>
      </c>
      <c r="D547" s="62">
        <f t="shared" ca="1" si="8"/>
        <v>9</v>
      </c>
      <c r="E547" s="62"/>
      <c r="F547" s="63">
        <v>38402</v>
      </c>
      <c r="G547" s="64"/>
    </row>
    <row r="548" spans="1:7" x14ac:dyDescent="0.25">
      <c r="A548" s="60">
        <v>337411408</v>
      </c>
      <c r="B548" s="10" t="s">
        <v>53</v>
      </c>
      <c r="C548" s="61">
        <f>37204+(3*364-140)</f>
        <v>38156</v>
      </c>
      <c r="D548" s="62">
        <f t="shared" ca="1" si="8"/>
        <v>11</v>
      </c>
      <c r="E548" s="62" t="s">
        <v>24</v>
      </c>
      <c r="F548" s="63">
        <v>38038</v>
      </c>
      <c r="G548" s="64"/>
    </row>
    <row r="549" spans="1:7" x14ac:dyDescent="0.25">
      <c r="A549" s="60">
        <v>213741822</v>
      </c>
      <c r="B549" s="10" t="s">
        <v>50</v>
      </c>
      <c r="C549" s="61">
        <f>36599+(3*364-140)</f>
        <v>37551</v>
      </c>
      <c r="D549" s="62">
        <f t="shared" ca="1" si="8"/>
        <v>13</v>
      </c>
      <c r="E549" s="62"/>
      <c r="F549" s="63">
        <v>82329</v>
      </c>
      <c r="G549" s="64"/>
    </row>
    <row r="550" spans="1:7" x14ac:dyDescent="0.25">
      <c r="A550" s="60">
        <v>828996583</v>
      </c>
      <c r="B550" s="10" t="s">
        <v>40</v>
      </c>
      <c r="C550" s="61">
        <f>33861+(3*364-140)</f>
        <v>34813</v>
      </c>
      <c r="D550" s="62">
        <f t="shared" ca="1" si="8"/>
        <v>20</v>
      </c>
      <c r="E550" s="62"/>
      <c r="F550" s="63">
        <v>38252</v>
      </c>
      <c r="G550" s="64"/>
    </row>
    <row r="551" spans="1:7" x14ac:dyDescent="0.25">
      <c r="A551" s="60">
        <v>608796012</v>
      </c>
      <c r="B551" s="10" t="s">
        <v>31</v>
      </c>
      <c r="C551" s="61">
        <f>34509+(3*364-140)</f>
        <v>35461</v>
      </c>
      <c r="D551" s="62">
        <f t="shared" ca="1" si="8"/>
        <v>18</v>
      </c>
      <c r="E551" s="62" t="s">
        <v>24</v>
      </c>
      <c r="F551" s="63">
        <v>103688</v>
      </c>
      <c r="G551" s="64"/>
    </row>
    <row r="552" spans="1:7" x14ac:dyDescent="0.25">
      <c r="A552" s="60">
        <v>349979288</v>
      </c>
      <c r="B552" s="10" t="s">
        <v>37</v>
      </c>
      <c r="C552" s="61">
        <f>37696+(3*364-140)</f>
        <v>38648</v>
      </c>
      <c r="D552" s="62">
        <f t="shared" ca="1" si="8"/>
        <v>10</v>
      </c>
      <c r="E552" s="62" t="s">
        <v>33</v>
      </c>
      <c r="F552" s="63">
        <v>37245</v>
      </c>
      <c r="G552" s="64"/>
    </row>
    <row r="553" spans="1:7" x14ac:dyDescent="0.25">
      <c r="A553" s="60">
        <v>312019803</v>
      </c>
      <c r="B553" s="10" t="s">
        <v>44</v>
      </c>
      <c r="C553" s="61">
        <f>37907+(3*364-140)</f>
        <v>38859</v>
      </c>
      <c r="D553" s="62">
        <f t="shared" ca="1" si="8"/>
        <v>9</v>
      </c>
      <c r="E553" s="62" t="s">
        <v>33</v>
      </c>
      <c r="F553" s="63">
        <v>32903</v>
      </c>
      <c r="G553" s="64"/>
    </row>
    <row r="554" spans="1:7" x14ac:dyDescent="0.25">
      <c r="A554" s="60">
        <v>548283920</v>
      </c>
      <c r="B554" s="10" t="s">
        <v>52</v>
      </c>
      <c r="C554" s="61">
        <f>36975+(3*364-140)</f>
        <v>37927</v>
      </c>
      <c r="D554" s="62">
        <f t="shared" ca="1" si="8"/>
        <v>12</v>
      </c>
      <c r="E554" s="62"/>
      <c r="F554" s="63">
        <v>75387</v>
      </c>
      <c r="G554" s="64"/>
    </row>
    <row r="555" spans="1:7" x14ac:dyDescent="0.25">
      <c r="A555" s="60">
        <v>452255054</v>
      </c>
      <c r="B555" s="10" t="s">
        <v>52</v>
      </c>
      <c r="C555" s="61">
        <f>34256+(3*364-140)</f>
        <v>35208</v>
      </c>
      <c r="D555" s="62">
        <f t="shared" ca="1" si="8"/>
        <v>19</v>
      </c>
      <c r="E555" s="62"/>
      <c r="F555" s="63">
        <v>66092</v>
      </c>
      <c r="G555" s="64"/>
    </row>
    <row r="556" spans="1:7" x14ac:dyDescent="0.25">
      <c r="A556" s="60">
        <v>239847790</v>
      </c>
      <c r="B556" s="10" t="s">
        <v>52</v>
      </c>
      <c r="C556" s="61">
        <f>37053+(3*364-140)</f>
        <v>38005</v>
      </c>
      <c r="D556" s="62">
        <f t="shared" ca="1" si="8"/>
        <v>11</v>
      </c>
      <c r="E556" s="62"/>
      <c r="F556" s="63">
        <v>92690</v>
      </c>
      <c r="G556" s="64"/>
    </row>
    <row r="557" spans="1:7" x14ac:dyDescent="0.25">
      <c r="A557" s="60">
        <v>159594851</v>
      </c>
      <c r="B557" s="10" t="s">
        <v>54</v>
      </c>
      <c r="C557" s="61">
        <f>41358+(3*364-140)</f>
        <v>42310</v>
      </c>
      <c r="D557" s="62">
        <f t="shared" ca="1" si="8"/>
        <v>0</v>
      </c>
      <c r="E557" s="62" t="s">
        <v>34</v>
      </c>
      <c r="F557" s="63">
        <v>52338</v>
      </c>
      <c r="G557" s="64"/>
    </row>
    <row r="558" spans="1:7" x14ac:dyDescent="0.25">
      <c r="A558" s="60">
        <v>551132018</v>
      </c>
      <c r="B558" s="10" t="s">
        <v>50</v>
      </c>
      <c r="C558" s="61">
        <f>41048+(3*364-140)</f>
        <v>42000</v>
      </c>
      <c r="D558" s="62">
        <f t="shared" ca="1" si="8"/>
        <v>0</v>
      </c>
      <c r="E558" s="62" t="s">
        <v>24</v>
      </c>
      <c r="F558" s="63">
        <v>86892</v>
      </c>
      <c r="G558" s="64"/>
    </row>
    <row r="559" spans="1:7" x14ac:dyDescent="0.25">
      <c r="A559" s="60">
        <v>991221095</v>
      </c>
      <c r="B559" s="10" t="s">
        <v>52</v>
      </c>
      <c r="C559" s="61">
        <f>35829+(3*364-140)</f>
        <v>36781</v>
      </c>
      <c r="D559" s="62">
        <f t="shared" ca="1" si="8"/>
        <v>15</v>
      </c>
      <c r="E559" s="62" t="s">
        <v>34</v>
      </c>
      <c r="F559" s="63">
        <v>38688</v>
      </c>
      <c r="G559" s="64"/>
    </row>
    <row r="560" spans="1:7" x14ac:dyDescent="0.25">
      <c r="A560" s="60">
        <v>881975933</v>
      </c>
      <c r="B560" s="10" t="s">
        <v>44</v>
      </c>
      <c r="C560" s="61">
        <f>36508+(3*364-140)</f>
        <v>37460</v>
      </c>
      <c r="D560" s="62">
        <f t="shared" ca="1" si="8"/>
        <v>13</v>
      </c>
      <c r="E560" s="62" t="s">
        <v>26</v>
      </c>
      <c r="F560" s="63">
        <v>46098</v>
      </c>
      <c r="G560" s="64"/>
    </row>
    <row r="561" spans="1:7" x14ac:dyDescent="0.25">
      <c r="A561" s="60">
        <v>328787467</v>
      </c>
      <c r="B561" s="10" t="s">
        <v>44</v>
      </c>
      <c r="C561" s="61">
        <f>39765+(3*364-140)</f>
        <v>40717</v>
      </c>
      <c r="D561" s="62">
        <f t="shared" ca="1" si="8"/>
        <v>4</v>
      </c>
      <c r="E561" s="62"/>
      <c r="F561" s="63">
        <v>37482</v>
      </c>
      <c r="G561" s="64"/>
    </row>
    <row r="562" spans="1:7" x14ac:dyDescent="0.25">
      <c r="A562" s="60">
        <v>207506781</v>
      </c>
      <c r="B562" s="10" t="s">
        <v>38</v>
      </c>
      <c r="C562" s="61">
        <f>40601+(3*364-140)</f>
        <v>41553</v>
      </c>
      <c r="D562" s="62">
        <f t="shared" ca="1" si="8"/>
        <v>2</v>
      </c>
      <c r="E562" s="62" t="s">
        <v>24</v>
      </c>
      <c r="F562" s="63">
        <v>99372</v>
      </c>
      <c r="G562" s="64"/>
    </row>
    <row r="563" spans="1:7" x14ac:dyDescent="0.25">
      <c r="A563" s="60">
        <v>648911225</v>
      </c>
      <c r="B563" s="10" t="s">
        <v>37</v>
      </c>
      <c r="C563" s="61">
        <f>34659+(3*364-140)</f>
        <v>35611</v>
      </c>
      <c r="D563" s="62">
        <f t="shared" ca="1" si="8"/>
        <v>18</v>
      </c>
      <c r="E563" s="62"/>
      <c r="F563" s="63">
        <v>107926</v>
      </c>
      <c r="G563" s="64"/>
    </row>
    <row r="564" spans="1:7" x14ac:dyDescent="0.25">
      <c r="A564" s="60">
        <v>564908088</v>
      </c>
      <c r="B564" s="10" t="s">
        <v>44</v>
      </c>
      <c r="C564" s="61">
        <f>39055+(3*364-140)</f>
        <v>40007</v>
      </c>
      <c r="D564" s="62">
        <f t="shared" ca="1" si="8"/>
        <v>6</v>
      </c>
      <c r="E564" s="62" t="s">
        <v>24</v>
      </c>
      <c r="F564" s="63">
        <v>114088</v>
      </c>
      <c r="G564" s="64"/>
    </row>
    <row r="565" spans="1:7" x14ac:dyDescent="0.25">
      <c r="A565" s="60">
        <v>167058119</v>
      </c>
      <c r="B565" s="10" t="s">
        <v>44</v>
      </c>
      <c r="C565" s="61">
        <f>38408+(3*364-140)</f>
        <v>39360</v>
      </c>
      <c r="D565" s="62">
        <f t="shared" ca="1" si="8"/>
        <v>8</v>
      </c>
      <c r="E565" s="62"/>
      <c r="F565" s="63">
        <v>34680</v>
      </c>
      <c r="G565" s="64"/>
    </row>
    <row r="566" spans="1:7" x14ac:dyDescent="0.25">
      <c r="A566" s="60">
        <v>959750235</v>
      </c>
      <c r="B566" s="10" t="s">
        <v>52</v>
      </c>
      <c r="C566" s="61">
        <f>40815+(3*364-140)</f>
        <v>41767</v>
      </c>
      <c r="D566" s="62">
        <f t="shared" ca="1" si="8"/>
        <v>1</v>
      </c>
      <c r="E566" s="62" t="s">
        <v>24</v>
      </c>
      <c r="F566" s="63">
        <v>70447</v>
      </c>
      <c r="G566" s="64"/>
    </row>
    <row r="567" spans="1:7" x14ac:dyDescent="0.25">
      <c r="A567" s="60">
        <v>797431044</v>
      </c>
      <c r="B567" s="10" t="s">
        <v>48</v>
      </c>
      <c r="C567" s="61">
        <f>36762+(3*364-140)</f>
        <v>37714</v>
      </c>
      <c r="D567" s="62">
        <f t="shared" ca="1" si="8"/>
        <v>12</v>
      </c>
      <c r="E567" s="62"/>
      <c r="F567" s="63">
        <v>28168</v>
      </c>
      <c r="G567" s="64"/>
    </row>
    <row r="568" spans="1:7" x14ac:dyDescent="0.25">
      <c r="A568" s="60">
        <v>788451186</v>
      </c>
      <c r="B568" s="10" t="s">
        <v>47</v>
      </c>
      <c r="C568" s="61">
        <f>39174+(3*364-140)</f>
        <v>40126</v>
      </c>
      <c r="D568" s="62">
        <f t="shared" ca="1" si="8"/>
        <v>6</v>
      </c>
      <c r="E568" s="62"/>
      <c r="F568" s="63">
        <v>74776</v>
      </c>
      <c r="G568" s="64"/>
    </row>
    <row r="569" spans="1:7" x14ac:dyDescent="0.25">
      <c r="A569" s="60">
        <v>644489557</v>
      </c>
      <c r="B569" s="10" t="s">
        <v>53</v>
      </c>
      <c r="C569" s="61">
        <f>36690+(3*364-140)</f>
        <v>37642</v>
      </c>
      <c r="D569" s="62">
        <f t="shared" ca="1" si="8"/>
        <v>12</v>
      </c>
      <c r="E569" s="62" t="s">
        <v>28</v>
      </c>
      <c r="F569" s="63">
        <v>102635</v>
      </c>
      <c r="G569" s="64"/>
    </row>
    <row r="570" spans="1:7" x14ac:dyDescent="0.25">
      <c r="A570" s="60">
        <v>683670378</v>
      </c>
      <c r="B570" s="10" t="s">
        <v>54</v>
      </c>
      <c r="C570" s="61">
        <f>39025+(3*364-140)</f>
        <v>39977</v>
      </c>
      <c r="D570" s="62">
        <f t="shared" ca="1" si="8"/>
        <v>6</v>
      </c>
      <c r="E570" s="62" t="s">
        <v>33</v>
      </c>
      <c r="F570" s="63">
        <v>105742</v>
      </c>
      <c r="G570" s="64"/>
    </row>
    <row r="571" spans="1:7" x14ac:dyDescent="0.25">
      <c r="A571" s="60">
        <v>427260216</v>
      </c>
      <c r="B571" s="10" t="s">
        <v>44</v>
      </c>
      <c r="C571" s="61">
        <f>34841+(3*364-140)</f>
        <v>35793</v>
      </c>
      <c r="D571" s="62">
        <f t="shared" ca="1" si="8"/>
        <v>17</v>
      </c>
      <c r="E571" s="62" t="s">
        <v>28</v>
      </c>
      <c r="F571" s="63">
        <v>24564</v>
      </c>
      <c r="G571" s="64"/>
    </row>
    <row r="572" spans="1:7" x14ac:dyDescent="0.25">
      <c r="A572" s="60">
        <v>796079833</v>
      </c>
      <c r="B572" s="10" t="s">
        <v>35</v>
      </c>
      <c r="C572" s="61">
        <f>36242+(3*364-140)</f>
        <v>37194</v>
      </c>
      <c r="D572" s="62">
        <f t="shared" ca="1" si="8"/>
        <v>14</v>
      </c>
      <c r="E572" s="62" t="s">
        <v>24</v>
      </c>
      <c r="F572" s="63">
        <v>42999</v>
      </c>
      <c r="G572" s="64"/>
    </row>
    <row r="573" spans="1:7" x14ac:dyDescent="0.25">
      <c r="A573" s="60">
        <v>495042805</v>
      </c>
      <c r="B573" s="10" t="s">
        <v>38</v>
      </c>
      <c r="C573" s="61">
        <f>40931+(3*364-140)</f>
        <v>41883</v>
      </c>
      <c r="D573" s="62">
        <f t="shared" ca="1" si="8"/>
        <v>1</v>
      </c>
      <c r="E573" s="62"/>
      <c r="F573" s="63">
        <v>77155</v>
      </c>
      <c r="G573" s="64"/>
    </row>
    <row r="574" spans="1:7" x14ac:dyDescent="0.25">
      <c r="A574" s="60">
        <v>651995963</v>
      </c>
      <c r="B574" s="10" t="s">
        <v>39</v>
      </c>
      <c r="C574" s="61">
        <f>40991+(3*364-140)</f>
        <v>41943</v>
      </c>
      <c r="D574" s="62">
        <f t="shared" ca="1" si="8"/>
        <v>1</v>
      </c>
      <c r="E574" s="62"/>
      <c r="F574" s="63">
        <v>35729</v>
      </c>
      <c r="G574" s="64"/>
    </row>
    <row r="575" spans="1:7" x14ac:dyDescent="0.25">
      <c r="A575" s="60">
        <v>698472533</v>
      </c>
      <c r="B575" s="10" t="s">
        <v>52</v>
      </c>
      <c r="C575" s="61">
        <f>36377+(3*364-140)</f>
        <v>37329</v>
      </c>
      <c r="D575" s="62">
        <f t="shared" ca="1" si="8"/>
        <v>13</v>
      </c>
      <c r="E575" s="62"/>
      <c r="F575" s="63">
        <v>47099</v>
      </c>
      <c r="G575" s="64"/>
    </row>
    <row r="576" spans="1:7" x14ac:dyDescent="0.25">
      <c r="A576" s="60">
        <v>781472289</v>
      </c>
      <c r="B576" s="10" t="s">
        <v>53</v>
      </c>
      <c r="C576" s="61">
        <f>34226+(3*364-140)</f>
        <v>35178</v>
      </c>
      <c r="D576" s="62">
        <f t="shared" ca="1" si="8"/>
        <v>19</v>
      </c>
      <c r="E576" s="62" t="s">
        <v>33</v>
      </c>
      <c r="F576" s="63">
        <v>81965</v>
      </c>
      <c r="G576" s="64"/>
    </row>
    <row r="577" spans="1:7" x14ac:dyDescent="0.25">
      <c r="A577" s="60">
        <v>400260342</v>
      </c>
      <c r="B577" s="10" t="s">
        <v>47</v>
      </c>
      <c r="C577" s="61">
        <f>39961+(3*364-140)</f>
        <v>40913</v>
      </c>
      <c r="D577" s="62">
        <f t="shared" ca="1" si="8"/>
        <v>3</v>
      </c>
      <c r="E577" s="62"/>
      <c r="F577" s="63">
        <v>96811</v>
      </c>
      <c r="G577" s="64"/>
    </row>
    <row r="578" spans="1:7" x14ac:dyDescent="0.25">
      <c r="A578" s="60">
        <v>210173249</v>
      </c>
      <c r="B578" s="10" t="s">
        <v>50</v>
      </c>
      <c r="C578" s="61">
        <f>34489+(3*364-140)</f>
        <v>35441</v>
      </c>
      <c r="D578" s="62">
        <f t="shared" ref="D578:D641" ca="1" si="9">DATEDIF(C578,TODAY(),"Y")</f>
        <v>18</v>
      </c>
      <c r="E578" s="62"/>
      <c r="F578" s="63">
        <v>42445</v>
      </c>
      <c r="G578" s="64"/>
    </row>
    <row r="579" spans="1:7" x14ac:dyDescent="0.25">
      <c r="A579" s="60">
        <v>502200672</v>
      </c>
      <c r="B579" s="10" t="s">
        <v>52</v>
      </c>
      <c r="C579" s="61">
        <f>41088+(3*364-140)</f>
        <v>42040</v>
      </c>
      <c r="D579" s="62">
        <f t="shared" ca="1" si="9"/>
        <v>0</v>
      </c>
      <c r="E579" s="62"/>
      <c r="F579" s="63">
        <v>74984</v>
      </c>
      <c r="G579" s="64"/>
    </row>
    <row r="580" spans="1:7" x14ac:dyDescent="0.25">
      <c r="A580" s="60">
        <v>595022550</v>
      </c>
      <c r="B580" s="10" t="s">
        <v>54</v>
      </c>
      <c r="C580" s="61">
        <f>34635+(3*364-140)</f>
        <v>35587</v>
      </c>
      <c r="D580" s="62">
        <f t="shared" ca="1" si="9"/>
        <v>18</v>
      </c>
      <c r="E580" s="62" t="s">
        <v>28</v>
      </c>
      <c r="F580" s="63">
        <v>77337</v>
      </c>
      <c r="G580" s="64"/>
    </row>
    <row r="581" spans="1:7" x14ac:dyDescent="0.25">
      <c r="A581" s="60">
        <v>343897392</v>
      </c>
      <c r="B581" s="10" t="s">
        <v>47</v>
      </c>
      <c r="C581" s="61">
        <f>35932+(3*364-140)</f>
        <v>36884</v>
      </c>
      <c r="D581" s="62">
        <f t="shared" ca="1" si="9"/>
        <v>14</v>
      </c>
      <c r="E581" s="62" t="s">
        <v>24</v>
      </c>
      <c r="F581" s="63">
        <v>63440</v>
      </c>
      <c r="G581" s="64"/>
    </row>
    <row r="582" spans="1:7" x14ac:dyDescent="0.25">
      <c r="A582" s="60">
        <v>728567428</v>
      </c>
      <c r="B582" s="10" t="s">
        <v>52</v>
      </c>
      <c r="C582" s="61">
        <f>41302+(3*364-140)</f>
        <v>42254</v>
      </c>
      <c r="D582" s="62">
        <f t="shared" ca="1" si="9"/>
        <v>0</v>
      </c>
      <c r="E582" s="62" t="s">
        <v>34</v>
      </c>
      <c r="F582" s="63">
        <v>112450</v>
      </c>
      <c r="G582" s="64"/>
    </row>
    <row r="583" spans="1:7" x14ac:dyDescent="0.25">
      <c r="A583" s="60">
        <v>136620388</v>
      </c>
      <c r="B583" s="10" t="s">
        <v>44</v>
      </c>
      <c r="C583" s="61">
        <f>36392+(3*364-140)</f>
        <v>37344</v>
      </c>
      <c r="D583" s="62">
        <f t="shared" ca="1" si="9"/>
        <v>13</v>
      </c>
      <c r="E583" s="62" t="s">
        <v>28</v>
      </c>
      <c r="F583" s="63">
        <v>91026</v>
      </c>
      <c r="G583" s="64"/>
    </row>
    <row r="584" spans="1:7" x14ac:dyDescent="0.25">
      <c r="A584" s="60">
        <v>556327593</v>
      </c>
      <c r="B584" s="10" t="s">
        <v>52</v>
      </c>
      <c r="C584" s="61">
        <f>35979+(3*364-140)</f>
        <v>36931</v>
      </c>
      <c r="D584" s="62">
        <f t="shared" ca="1" si="9"/>
        <v>14</v>
      </c>
      <c r="E584" s="62"/>
      <c r="F584" s="63">
        <v>78091</v>
      </c>
      <c r="G584" s="64"/>
    </row>
    <row r="585" spans="1:7" x14ac:dyDescent="0.25">
      <c r="A585" s="60">
        <v>854806695</v>
      </c>
      <c r="B585" s="10" t="s">
        <v>44</v>
      </c>
      <c r="C585" s="61">
        <f>34399+(3*364-140)</f>
        <v>35351</v>
      </c>
      <c r="D585" s="62">
        <f t="shared" ca="1" si="9"/>
        <v>19</v>
      </c>
      <c r="E585" s="62" t="s">
        <v>33</v>
      </c>
      <c r="F585" s="63">
        <v>34047</v>
      </c>
      <c r="G585" s="64"/>
    </row>
    <row r="586" spans="1:7" x14ac:dyDescent="0.25">
      <c r="A586" s="60">
        <v>676831149</v>
      </c>
      <c r="B586" s="10" t="s">
        <v>38</v>
      </c>
      <c r="C586" s="61">
        <f>40066+(3*364-140)</f>
        <v>41018</v>
      </c>
      <c r="D586" s="62">
        <f t="shared" ca="1" si="9"/>
        <v>3</v>
      </c>
      <c r="E586" s="62" t="s">
        <v>24</v>
      </c>
      <c r="F586" s="63">
        <v>92456</v>
      </c>
      <c r="G586" s="64"/>
    </row>
    <row r="587" spans="1:7" x14ac:dyDescent="0.25">
      <c r="A587" s="60">
        <v>558903229</v>
      </c>
      <c r="B587" s="10" t="s">
        <v>52</v>
      </c>
      <c r="C587" s="61">
        <f>34739+(3*364-140)</f>
        <v>35691</v>
      </c>
      <c r="D587" s="62">
        <f t="shared" ca="1" si="9"/>
        <v>18</v>
      </c>
      <c r="E587" s="62" t="s">
        <v>24</v>
      </c>
      <c r="F587" s="63">
        <v>30316</v>
      </c>
      <c r="G587" s="64"/>
    </row>
    <row r="588" spans="1:7" x14ac:dyDescent="0.25">
      <c r="A588" s="60">
        <v>948189231</v>
      </c>
      <c r="B588" s="10" t="s">
        <v>47</v>
      </c>
      <c r="C588" s="61">
        <f>34380+(3*364-140)</f>
        <v>35332</v>
      </c>
      <c r="D588" s="62">
        <f t="shared" ca="1" si="9"/>
        <v>19</v>
      </c>
      <c r="E588" s="62" t="s">
        <v>24</v>
      </c>
      <c r="F588" s="63">
        <v>48126</v>
      </c>
      <c r="G588" s="64"/>
    </row>
    <row r="589" spans="1:7" x14ac:dyDescent="0.25">
      <c r="A589" s="60">
        <v>927043360</v>
      </c>
      <c r="B589" s="10" t="s">
        <v>42</v>
      </c>
      <c r="C589" s="61">
        <f>34102+(3*364-140)</f>
        <v>35054</v>
      </c>
      <c r="D589" s="62">
        <f t="shared" ca="1" si="9"/>
        <v>19</v>
      </c>
      <c r="E589" s="62"/>
      <c r="F589" s="63">
        <v>29016</v>
      </c>
      <c r="G589" s="64"/>
    </row>
    <row r="590" spans="1:7" x14ac:dyDescent="0.25">
      <c r="A590" s="60">
        <v>627977314</v>
      </c>
      <c r="B590" s="10" t="s">
        <v>53</v>
      </c>
      <c r="C590" s="61">
        <f>34530+(3*364-140)</f>
        <v>35482</v>
      </c>
      <c r="D590" s="62">
        <f t="shared" ca="1" si="9"/>
        <v>18</v>
      </c>
      <c r="E590" s="62" t="s">
        <v>34</v>
      </c>
      <c r="F590" s="63">
        <v>112112</v>
      </c>
      <c r="G590" s="64"/>
    </row>
    <row r="591" spans="1:7" x14ac:dyDescent="0.25">
      <c r="A591" s="60">
        <v>474117484</v>
      </c>
      <c r="B591" s="10" t="s">
        <v>50</v>
      </c>
      <c r="C591" s="61">
        <f>34320+(3*364-140)</f>
        <v>35272</v>
      </c>
      <c r="D591" s="62">
        <f t="shared" ca="1" si="9"/>
        <v>19</v>
      </c>
      <c r="E591" s="62" t="s">
        <v>24</v>
      </c>
      <c r="F591" s="63">
        <v>103701</v>
      </c>
      <c r="G591" s="64"/>
    </row>
    <row r="592" spans="1:7" x14ac:dyDescent="0.25">
      <c r="A592" s="60">
        <v>868128171</v>
      </c>
      <c r="B592" s="10" t="s">
        <v>50</v>
      </c>
      <c r="C592" s="61">
        <f>34556+(3*364-140)</f>
        <v>35508</v>
      </c>
      <c r="D592" s="62">
        <f t="shared" ca="1" si="9"/>
        <v>18</v>
      </c>
      <c r="E592" s="62" t="s">
        <v>34</v>
      </c>
      <c r="F592" s="63">
        <v>97981</v>
      </c>
      <c r="G592" s="64"/>
    </row>
    <row r="593" spans="1:7" x14ac:dyDescent="0.25">
      <c r="A593" s="60">
        <v>445693854</v>
      </c>
      <c r="B593" s="10" t="s">
        <v>52</v>
      </c>
      <c r="C593" s="61">
        <f>35593+(3*364-140)</f>
        <v>36545</v>
      </c>
      <c r="D593" s="62">
        <f t="shared" ca="1" si="9"/>
        <v>15</v>
      </c>
      <c r="E593" s="62"/>
      <c r="F593" s="63">
        <v>99931</v>
      </c>
      <c r="G593" s="64"/>
    </row>
    <row r="594" spans="1:7" x14ac:dyDescent="0.25">
      <c r="A594" s="60">
        <v>840313216</v>
      </c>
      <c r="B594" s="10" t="s">
        <v>31</v>
      </c>
      <c r="C594" s="61">
        <f>39747+(3*364-140)</f>
        <v>40699</v>
      </c>
      <c r="D594" s="62">
        <f t="shared" ca="1" si="9"/>
        <v>4</v>
      </c>
      <c r="E594" s="62" t="s">
        <v>26</v>
      </c>
      <c r="F594" s="63">
        <v>48971</v>
      </c>
      <c r="G594" s="64"/>
    </row>
    <row r="595" spans="1:7" x14ac:dyDescent="0.25">
      <c r="A595" s="60">
        <v>403504590</v>
      </c>
      <c r="B595" s="10" t="s">
        <v>37</v>
      </c>
      <c r="C595" s="61">
        <f>34356+(3*364-140)</f>
        <v>35308</v>
      </c>
      <c r="D595" s="62">
        <f t="shared" ca="1" si="9"/>
        <v>19</v>
      </c>
      <c r="E595" s="62"/>
      <c r="F595" s="63">
        <v>83798</v>
      </c>
      <c r="G595" s="64"/>
    </row>
    <row r="596" spans="1:7" x14ac:dyDescent="0.25">
      <c r="A596" s="60">
        <v>489013842</v>
      </c>
      <c r="B596" s="10" t="s">
        <v>50</v>
      </c>
      <c r="C596" s="61">
        <f>37373+(3*364-140)</f>
        <v>38325</v>
      </c>
      <c r="D596" s="62">
        <f t="shared" ca="1" si="9"/>
        <v>11</v>
      </c>
      <c r="E596" s="62" t="s">
        <v>33</v>
      </c>
      <c r="F596" s="63">
        <v>37707</v>
      </c>
      <c r="G596" s="64"/>
    </row>
    <row r="597" spans="1:7" x14ac:dyDescent="0.25">
      <c r="A597" s="60">
        <v>878902154</v>
      </c>
      <c r="B597" s="10" t="s">
        <v>53</v>
      </c>
      <c r="C597" s="61">
        <f>34568+(3*364-140)</f>
        <v>35520</v>
      </c>
      <c r="D597" s="62">
        <f t="shared" ca="1" si="9"/>
        <v>18</v>
      </c>
      <c r="E597" s="62" t="s">
        <v>33</v>
      </c>
      <c r="F597" s="63">
        <v>33651</v>
      </c>
      <c r="G597" s="64"/>
    </row>
    <row r="598" spans="1:7" x14ac:dyDescent="0.25">
      <c r="A598" s="60">
        <v>484442635</v>
      </c>
      <c r="B598" s="10" t="s">
        <v>52</v>
      </c>
      <c r="C598" s="61">
        <f>33845+(3*364-140)</f>
        <v>34797</v>
      </c>
      <c r="D598" s="62">
        <f t="shared" ca="1" si="9"/>
        <v>20</v>
      </c>
      <c r="E598" s="62"/>
      <c r="F598" s="63">
        <v>29926</v>
      </c>
      <c r="G598" s="64"/>
    </row>
    <row r="599" spans="1:7" x14ac:dyDescent="0.25">
      <c r="A599" s="60">
        <v>635240617</v>
      </c>
      <c r="B599" s="10" t="s">
        <v>54</v>
      </c>
      <c r="C599" s="61">
        <f>37521+(3*364-140)</f>
        <v>38473</v>
      </c>
      <c r="D599" s="62">
        <f t="shared" ca="1" si="9"/>
        <v>10</v>
      </c>
      <c r="E599" s="62" t="s">
        <v>33</v>
      </c>
      <c r="F599" s="63">
        <v>61919</v>
      </c>
      <c r="G599" s="64"/>
    </row>
    <row r="600" spans="1:7" x14ac:dyDescent="0.25">
      <c r="A600" s="60">
        <v>682791418</v>
      </c>
      <c r="B600" s="10" t="s">
        <v>36</v>
      </c>
      <c r="C600" s="61">
        <f>34391+(3*364-140)</f>
        <v>35343</v>
      </c>
      <c r="D600" s="62">
        <f t="shared" ca="1" si="9"/>
        <v>19</v>
      </c>
      <c r="E600" s="62" t="s">
        <v>24</v>
      </c>
      <c r="F600" s="63">
        <v>60086</v>
      </c>
      <c r="G600" s="64"/>
    </row>
    <row r="601" spans="1:7" x14ac:dyDescent="0.25">
      <c r="A601" s="60">
        <v>470719383</v>
      </c>
      <c r="B601" s="10" t="s">
        <v>44</v>
      </c>
      <c r="C601" s="61">
        <f>36687+(3*364-140)</f>
        <v>37639</v>
      </c>
      <c r="D601" s="62">
        <f t="shared" ca="1" si="9"/>
        <v>12</v>
      </c>
      <c r="E601" s="62" t="s">
        <v>24</v>
      </c>
      <c r="F601" s="63">
        <v>97656</v>
      </c>
      <c r="G601" s="64"/>
    </row>
    <row r="602" spans="1:7" x14ac:dyDescent="0.25">
      <c r="A602" s="60">
        <v>929694686</v>
      </c>
      <c r="B602" s="10" t="s">
        <v>54</v>
      </c>
      <c r="C602" s="61">
        <f>41214+(3*364-140)</f>
        <v>42166</v>
      </c>
      <c r="D602" s="62">
        <f t="shared" ca="1" si="9"/>
        <v>0</v>
      </c>
      <c r="E602" s="62" t="s">
        <v>33</v>
      </c>
      <c r="F602" s="63">
        <v>91949</v>
      </c>
      <c r="G602" s="64"/>
    </row>
    <row r="603" spans="1:7" x14ac:dyDescent="0.25">
      <c r="A603" s="60">
        <v>561737107</v>
      </c>
      <c r="B603" s="10" t="s">
        <v>44</v>
      </c>
      <c r="C603" s="61">
        <f>35702+(3*364-140)</f>
        <v>36654</v>
      </c>
      <c r="D603" s="62">
        <f t="shared" ca="1" si="9"/>
        <v>15</v>
      </c>
      <c r="E603" s="62" t="s">
        <v>33</v>
      </c>
      <c r="F603" s="63">
        <v>94994</v>
      </c>
      <c r="G603" s="64"/>
    </row>
    <row r="604" spans="1:7" x14ac:dyDescent="0.25">
      <c r="A604" s="60">
        <v>718930584</v>
      </c>
      <c r="B604" s="10" t="s">
        <v>53</v>
      </c>
      <c r="C604" s="61">
        <f>36874+(3*364-140)</f>
        <v>37826</v>
      </c>
      <c r="D604" s="62">
        <f t="shared" ca="1" si="9"/>
        <v>12</v>
      </c>
      <c r="E604" s="62" t="s">
        <v>24</v>
      </c>
      <c r="F604" s="63">
        <v>45474</v>
      </c>
      <c r="G604" s="64"/>
    </row>
    <row r="605" spans="1:7" x14ac:dyDescent="0.25">
      <c r="A605" s="60">
        <v>873100939</v>
      </c>
      <c r="B605" s="10" t="s">
        <v>37</v>
      </c>
      <c r="C605" s="61">
        <f>40763+(3*364-140)</f>
        <v>41715</v>
      </c>
      <c r="D605" s="62">
        <f t="shared" ca="1" si="9"/>
        <v>1</v>
      </c>
      <c r="E605" s="62" t="s">
        <v>24</v>
      </c>
      <c r="F605" s="63">
        <v>53937</v>
      </c>
      <c r="G605" s="64"/>
    </row>
    <row r="606" spans="1:7" x14ac:dyDescent="0.25">
      <c r="A606" s="60">
        <v>488831244</v>
      </c>
      <c r="B606" s="10" t="s">
        <v>44</v>
      </c>
      <c r="C606" s="61">
        <f>38298+(3*364-140)</f>
        <v>39250</v>
      </c>
      <c r="D606" s="62">
        <f t="shared" ca="1" si="9"/>
        <v>8</v>
      </c>
      <c r="E606" s="62" t="s">
        <v>24</v>
      </c>
      <c r="F606" s="63">
        <v>31798</v>
      </c>
      <c r="G606" s="64"/>
    </row>
    <row r="607" spans="1:7" x14ac:dyDescent="0.25">
      <c r="A607" s="60">
        <v>212136062</v>
      </c>
      <c r="B607" s="10" t="s">
        <v>42</v>
      </c>
      <c r="C607" s="61">
        <f>36760+(3*364-140)</f>
        <v>37712</v>
      </c>
      <c r="D607" s="62">
        <f t="shared" ca="1" si="9"/>
        <v>12</v>
      </c>
      <c r="E607" s="62" t="s">
        <v>33</v>
      </c>
      <c r="F607" s="63">
        <v>107120</v>
      </c>
      <c r="G607" s="64"/>
    </row>
    <row r="608" spans="1:7" x14ac:dyDescent="0.25">
      <c r="A608" s="60">
        <v>750581894</v>
      </c>
      <c r="B608" s="10" t="s">
        <v>53</v>
      </c>
      <c r="C608" s="61">
        <f>41028+(3*364-140)</f>
        <v>41980</v>
      </c>
      <c r="D608" s="62">
        <f t="shared" ca="1" si="9"/>
        <v>1</v>
      </c>
      <c r="E608" s="62"/>
      <c r="F608" s="63">
        <v>28054</v>
      </c>
      <c r="G608" s="64"/>
    </row>
    <row r="609" spans="1:7" x14ac:dyDescent="0.25">
      <c r="A609" s="60">
        <v>368385341</v>
      </c>
      <c r="B609" s="10" t="s">
        <v>53</v>
      </c>
      <c r="C609" s="61">
        <f>37760+(3*364-140)</f>
        <v>38712</v>
      </c>
      <c r="D609" s="62">
        <f t="shared" ca="1" si="9"/>
        <v>9</v>
      </c>
      <c r="E609" s="62"/>
      <c r="F609" s="63">
        <v>60814</v>
      </c>
      <c r="G609" s="64"/>
    </row>
    <row r="610" spans="1:7" x14ac:dyDescent="0.25">
      <c r="A610" s="60">
        <v>383616821</v>
      </c>
      <c r="B610" s="10" t="s">
        <v>56</v>
      </c>
      <c r="C610" s="61">
        <f>41062+(3*364-140)</f>
        <v>42014</v>
      </c>
      <c r="D610" s="62">
        <f t="shared" ca="1" si="9"/>
        <v>0</v>
      </c>
      <c r="E610" s="62" t="s">
        <v>24</v>
      </c>
      <c r="F610" s="63">
        <v>60684</v>
      </c>
      <c r="G610" s="64"/>
    </row>
    <row r="611" spans="1:7" x14ac:dyDescent="0.25">
      <c r="A611" s="60">
        <v>870601943</v>
      </c>
      <c r="B611" s="10" t="s">
        <v>42</v>
      </c>
      <c r="C611" s="61">
        <f>35439+(3*364-140)</f>
        <v>36391</v>
      </c>
      <c r="D611" s="62">
        <f t="shared" ca="1" si="9"/>
        <v>16</v>
      </c>
      <c r="E611" s="62"/>
      <c r="F611" s="63">
        <v>58552</v>
      </c>
      <c r="G611" s="64"/>
    </row>
    <row r="612" spans="1:7" x14ac:dyDescent="0.25">
      <c r="A612" s="60">
        <v>852430023</v>
      </c>
      <c r="B612" s="10" t="s">
        <v>51</v>
      </c>
      <c r="C612" s="61">
        <f>33790+(3*364-140)</f>
        <v>34742</v>
      </c>
      <c r="D612" s="62">
        <f t="shared" ca="1" si="9"/>
        <v>20</v>
      </c>
      <c r="E612" s="62" t="s">
        <v>26</v>
      </c>
      <c r="F612" s="63">
        <v>32260</v>
      </c>
      <c r="G612" s="64"/>
    </row>
    <row r="613" spans="1:7" x14ac:dyDescent="0.25">
      <c r="A613" s="60">
        <v>643272576</v>
      </c>
      <c r="B613" s="10" t="s">
        <v>47</v>
      </c>
      <c r="C613" s="61">
        <f>33983+(3*364-140)</f>
        <v>34935</v>
      </c>
      <c r="D613" s="62">
        <f t="shared" ca="1" si="9"/>
        <v>20</v>
      </c>
      <c r="E613" s="62"/>
      <c r="F613" s="63">
        <v>47897</v>
      </c>
      <c r="G613" s="64"/>
    </row>
    <row r="614" spans="1:7" x14ac:dyDescent="0.25">
      <c r="A614" s="60">
        <v>724193735</v>
      </c>
      <c r="B614" s="10" t="s">
        <v>50</v>
      </c>
      <c r="C614" s="61">
        <f>34298+(3*364-140)</f>
        <v>35250</v>
      </c>
      <c r="D614" s="62">
        <f t="shared" ca="1" si="9"/>
        <v>19</v>
      </c>
      <c r="E614" s="62" t="s">
        <v>33</v>
      </c>
      <c r="F614" s="63">
        <v>56147</v>
      </c>
      <c r="G614" s="64"/>
    </row>
    <row r="615" spans="1:7" x14ac:dyDescent="0.25">
      <c r="A615" s="60">
        <v>794814501</v>
      </c>
      <c r="B615" s="10" t="s">
        <v>54</v>
      </c>
      <c r="C615" s="61">
        <f>40913+(3*364-140)</f>
        <v>41865</v>
      </c>
      <c r="D615" s="62">
        <f t="shared" ca="1" si="9"/>
        <v>1</v>
      </c>
      <c r="E615" s="62"/>
      <c r="F615" s="63">
        <v>104948</v>
      </c>
      <c r="G615" s="64"/>
    </row>
    <row r="616" spans="1:7" x14ac:dyDescent="0.25">
      <c r="A616" s="60">
        <v>369210573</v>
      </c>
      <c r="B616" s="10" t="s">
        <v>52</v>
      </c>
      <c r="C616" s="61">
        <f>36895+(3*364-140)</f>
        <v>37847</v>
      </c>
      <c r="D616" s="62">
        <f t="shared" ca="1" si="9"/>
        <v>12</v>
      </c>
      <c r="E616" s="62" t="s">
        <v>33</v>
      </c>
      <c r="F616" s="63">
        <v>29218</v>
      </c>
      <c r="G616" s="64"/>
    </row>
    <row r="617" spans="1:7" x14ac:dyDescent="0.25">
      <c r="A617" s="60">
        <v>575648597</v>
      </c>
      <c r="B617" s="10" t="s">
        <v>42</v>
      </c>
      <c r="C617" s="61">
        <f>38319+(3*364-140)</f>
        <v>39271</v>
      </c>
      <c r="D617" s="62">
        <f t="shared" ca="1" si="9"/>
        <v>8</v>
      </c>
      <c r="E617" s="62"/>
      <c r="F617" s="63">
        <v>41561</v>
      </c>
      <c r="G617" s="64"/>
    </row>
    <row r="618" spans="1:7" x14ac:dyDescent="0.25">
      <c r="A618" s="60">
        <v>972086665</v>
      </c>
      <c r="B618" s="10" t="s">
        <v>50</v>
      </c>
      <c r="C618" s="61">
        <f>38905+(3*364-140)</f>
        <v>39857</v>
      </c>
      <c r="D618" s="62">
        <f t="shared" ca="1" si="9"/>
        <v>6</v>
      </c>
      <c r="E618" s="62" t="s">
        <v>33</v>
      </c>
      <c r="F618" s="63">
        <v>112060</v>
      </c>
      <c r="G618" s="64"/>
    </row>
    <row r="619" spans="1:7" x14ac:dyDescent="0.25">
      <c r="A619" s="60">
        <v>910964196</v>
      </c>
      <c r="B619" s="10" t="s">
        <v>44</v>
      </c>
      <c r="C619" s="61">
        <f>34497+(3*364-140)</f>
        <v>35449</v>
      </c>
      <c r="D619" s="62">
        <f t="shared" ca="1" si="9"/>
        <v>18</v>
      </c>
      <c r="E619" s="62"/>
      <c r="F619" s="63">
        <v>64389</v>
      </c>
      <c r="G619" s="64"/>
    </row>
    <row r="620" spans="1:7" x14ac:dyDescent="0.25">
      <c r="A620" s="60">
        <v>334574480</v>
      </c>
      <c r="B620" s="10" t="s">
        <v>37</v>
      </c>
      <c r="C620" s="61">
        <f>37184+(3*364-140)</f>
        <v>38136</v>
      </c>
      <c r="D620" s="62">
        <f t="shared" ca="1" si="9"/>
        <v>11</v>
      </c>
      <c r="E620" s="62" t="s">
        <v>33</v>
      </c>
      <c r="F620" s="63">
        <v>41730</v>
      </c>
      <c r="G620" s="64"/>
    </row>
    <row r="621" spans="1:7" x14ac:dyDescent="0.25">
      <c r="A621" s="60">
        <v>503349830</v>
      </c>
      <c r="B621" s="10" t="s">
        <v>42</v>
      </c>
      <c r="C621" s="61">
        <f>34083+(3*364-140)</f>
        <v>35035</v>
      </c>
      <c r="D621" s="62">
        <f t="shared" ca="1" si="9"/>
        <v>20</v>
      </c>
      <c r="E621" s="62" t="s">
        <v>33</v>
      </c>
      <c r="F621" s="63">
        <v>41782</v>
      </c>
      <c r="G621" s="64"/>
    </row>
    <row r="622" spans="1:7" x14ac:dyDescent="0.25">
      <c r="A622" s="60">
        <v>687623890</v>
      </c>
      <c r="B622" s="10" t="s">
        <v>53</v>
      </c>
      <c r="C622" s="61">
        <f>35712+(3*364-140)</f>
        <v>36664</v>
      </c>
      <c r="D622" s="62">
        <f t="shared" ca="1" si="9"/>
        <v>15</v>
      </c>
      <c r="E622" s="62"/>
      <c r="F622" s="63">
        <v>30800</v>
      </c>
      <c r="G622" s="64"/>
    </row>
    <row r="623" spans="1:7" x14ac:dyDescent="0.25">
      <c r="A623" s="60">
        <v>456809622</v>
      </c>
      <c r="B623" s="10" t="s">
        <v>52</v>
      </c>
      <c r="C623" s="61">
        <f>33776+(3*364-140)</f>
        <v>34728</v>
      </c>
      <c r="D623" s="62">
        <f t="shared" ca="1" si="9"/>
        <v>20</v>
      </c>
      <c r="E623" s="62" t="s">
        <v>24</v>
      </c>
      <c r="F623" s="63">
        <v>62504</v>
      </c>
      <c r="G623" s="64"/>
    </row>
    <row r="624" spans="1:7" x14ac:dyDescent="0.25">
      <c r="A624" s="60">
        <v>641962645</v>
      </c>
      <c r="B624" s="10" t="s">
        <v>54</v>
      </c>
      <c r="C624" s="61">
        <f>34813+(3*364-140)</f>
        <v>35765</v>
      </c>
      <c r="D624" s="62">
        <f t="shared" ca="1" si="9"/>
        <v>18</v>
      </c>
      <c r="E624" s="62"/>
      <c r="F624" s="63">
        <v>102167</v>
      </c>
      <c r="G624" s="64"/>
    </row>
    <row r="625" spans="1:7" x14ac:dyDescent="0.25">
      <c r="A625" s="60">
        <v>291715078</v>
      </c>
      <c r="B625" s="10" t="s">
        <v>44</v>
      </c>
      <c r="C625" s="61">
        <f>34291+(3*364-140)</f>
        <v>35243</v>
      </c>
      <c r="D625" s="62">
        <f t="shared" ca="1" si="9"/>
        <v>19</v>
      </c>
      <c r="E625" s="62" t="s">
        <v>45</v>
      </c>
      <c r="F625" s="63">
        <v>73970</v>
      </c>
      <c r="G625" s="64"/>
    </row>
    <row r="626" spans="1:7" x14ac:dyDescent="0.25">
      <c r="A626" s="60">
        <v>160184934</v>
      </c>
      <c r="B626" s="10" t="s">
        <v>52</v>
      </c>
      <c r="C626" s="61">
        <f>35471+(3*364-140)</f>
        <v>36423</v>
      </c>
      <c r="D626" s="62">
        <f t="shared" ca="1" si="9"/>
        <v>16</v>
      </c>
      <c r="E626" s="62" t="s">
        <v>33</v>
      </c>
      <c r="F626" s="63">
        <v>41730</v>
      </c>
      <c r="G626" s="64"/>
    </row>
    <row r="627" spans="1:7" x14ac:dyDescent="0.25">
      <c r="A627" s="60">
        <v>318068637</v>
      </c>
      <c r="B627" s="10" t="s">
        <v>44</v>
      </c>
      <c r="C627" s="61">
        <f>40216+(3*364-140)</f>
        <v>41168</v>
      </c>
      <c r="D627" s="62">
        <f t="shared" ca="1" si="9"/>
        <v>3</v>
      </c>
      <c r="E627" s="62"/>
      <c r="F627" s="63">
        <v>81614</v>
      </c>
      <c r="G627" s="64"/>
    </row>
    <row r="628" spans="1:7" x14ac:dyDescent="0.25">
      <c r="A628" s="60">
        <v>405396173</v>
      </c>
      <c r="B628" s="10" t="s">
        <v>44</v>
      </c>
      <c r="C628" s="61">
        <f>39411+(3*364-140)</f>
        <v>40363</v>
      </c>
      <c r="D628" s="62">
        <f t="shared" ca="1" si="9"/>
        <v>5</v>
      </c>
      <c r="E628" s="62" t="s">
        <v>34</v>
      </c>
      <c r="F628" s="63">
        <v>89323</v>
      </c>
      <c r="G628" s="64"/>
    </row>
    <row r="629" spans="1:7" x14ac:dyDescent="0.25">
      <c r="A629" s="60">
        <v>570756015</v>
      </c>
      <c r="B629" s="10" t="s">
        <v>52</v>
      </c>
      <c r="C629" s="61">
        <f>41099+(3*364-140)</f>
        <v>42051</v>
      </c>
      <c r="D629" s="62">
        <f t="shared" ca="1" si="9"/>
        <v>0</v>
      </c>
      <c r="E629" s="62" t="s">
        <v>28</v>
      </c>
      <c r="F629" s="63">
        <v>64162</v>
      </c>
      <c r="G629" s="64"/>
    </row>
    <row r="630" spans="1:7" x14ac:dyDescent="0.25">
      <c r="A630" s="60">
        <v>261920277</v>
      </c>
      <c r="B630" s="10" t="s">
        <v>47</v>
      </c>
      <c r="C630" s="61">
        <f>36534+(3*364-140)</f>
        <v>37486</v>
      </c>
      <c r="D630" s="62">
        <f t="shared" ca="1" si="9"/>
        <v>13</v>
      </c>
      <c r="E630" s="62" t="s">
        <v>34</v>
      </c>
      <c r="F630" s="63">
        <v>112879</v>
      </c>
      <c r="G630" s="64"/>
    </row>
    <row r="631" spans="1:7" x14ac:dyDescent="0.25">
      <c r="A631" s="60">
        <v>143534593</v>
      </c>
      <c r="B631" s="10" t="s">
        <v>44</v>
      </c>
      <c r="C631" s="61">
        <f>38498+(3*364-140)</f>
        <v>39450</v>
      </c>
      <c r="D631" s="62">
        <f t="shared" ca="1" si="9"/>
        <v>7</v>
      </c>
      <c r="E631" s="62"/>
      <c r="F631" s="63">
        <v>98046</v>
      </c>
      <c r="G631" s="64"/>
    </row>
    <row r="632" spans="1:7" x14ac:dyDescent="0.25">
      <c r="A632" s="60">
        <v>495372474</v>
      </c>
      <c r="B632" s="10" t="s">
        <v>56</v>
      </c>
      <c r="C632" s="61">
        <f>37235+(3*364-140)</f>
        <v>38187</v>
      </c>
      <c r="D632" s="62">
        <f t="shared" ca="1" si="9"/>
        <v>11</v>
      </c>
      <c r="E632" s="62" t="s">
        <v>24</v>
      </c>
      <c r="F632" s="63">
        <v>40625</v>
      </c>
      <c r="G632" s="64"/>
    </row>
    <row r="633" spans="1:7" x14ac:dyDescent="0.25">
      <c r="A633" s="60">
        <v>907491320</v>
      </c>
      <c r="B633" s="10" t="s">
        <v>40</v>
      </c>
      <c r="C633" s="61">
        <f>37035+(3*364-140)</f>
        <v>37987</v>
      </c>
      <c r="D633" s="62">
        <f t="shared" ca="1" si="9"/>
        <v>11</v>
      </c>
      <c r="E633" s="62" t="s">
        <v>34</v>
      </c>
      <c r="F633" s="63">
        <v>55777</v>
      </c>
      <c r="G633" s="64"/>
    </row>
    <row r="634" spans="1:7" x14ac:dyDescent="0.25">
      <c r="A634" s="60">
        <v>384454025</v>
      </c>
      <c r="B634" s="10" t="s">
        <v>44</v>
      </c>
      <c r="C634" s="61">
        <f>37133+(3*364-140)</f>
        <v>38085</v>
      </c>
      <c r="D634" s="62">
        <f t="shared" ca="1" si="9"/>
        <v>11</v>
      </c>
      <c r="E634" s="62"/>
      <c r="F634" s="63">
        <v>30953</v>
      </c>
      <c r="G634" s="64"/>
    </row>
    <row r="635" spans="1:7" x14ac:dyDescent="0.25">
      <c r="A635" s="60">
        <v>279591317</v>
      </c>
      <c r="B635" s="10" t="s">
        <v>42</v>
      </c>
      <c r="C635" s="61">
        <f>36941+(3*364-140)</f>
        <v>37893</v>
      </c>
      <c r="D635" s="62">
        <f t="shared" ca="1" si="9"/>
        <v>12</v>
      </c>
      <c r="E635" s="62"/>
      <c r="F635" s="63">
        <v>50398</v>
      </c>
      <c r="G635" s="64"/>
    </row>
    <row r="636" spans="1:7" x14ac:dyDescent="0.25">
      <c r="A636" s="60">
        <v>460412180</v>
      </c>
      <c r="B636" s="10" t="s">
        <v>35</v>
      </c>
      <c r="C636" s="61">
        <f>40784+(3*364-140)</f>
        <v>41736</v>
      </c>
      <c r="D636" s="62">
        <f t="shared" ca="1" si="9"/>
        <v>1</v>
      </c>
      <c r="E636" s="62" t="s">
        <v>28</v>
      </c>
      <c r="F636" s="63">
        <v>66534</v>
      </c>
      <c r="G636" s="64"/>
    </row>
    <row r="637" spans="1:7" x14ac:dyDescent="0.25">
      <c r="A637" s="60">
        <v>292693795</v>
      </c>
      <c r="B637" s="10" t="s">
        <v>51</v>
      </c>
      <c r="C637" s="61">
        <f>33958+(3*364-140)</f>
        <v>34910</v>
      </c>
      <c r="D637" s="62">
        <f t="shared" ca="1" si="9"/>
        <v>20</v>
      </c>
      <c r="E637" s="62" t="s">
        <v>24</v>
      </c>
      <c r="F637" s="63">
        <v>114335</v>
      </c>
      <c r="G637" s="64"/>
    </row>
    <row r="638" spans="1:7" x14ac:dyDescent="0.25">
      <c r="A638" s="60">
        <v>202815919</v>
      </c>
      <c r="B638" s="10" t="s">
        <v>31</v>
      </c>
      <c r="C638" s="61">
        <f>34754+(3*364-140)</f>
        <v>35706</v>
      </c>
      <c r="D638" s="62">
        <f t="shared" ca="1" si="9"/>
        <v>18</v>
      </c>
      <c r="E638" s="62"/>
      <c r="F638" s="63">
        <v>86554</v>
      </c>
      <c r="G638" s="64"/>
    </row>
    <row r="639" spans="1:7" x14ac:dyDescent="0.25">
      <c r="A639" s="60">
        <v>676030562</v>
      </c>
      <c r="B639" s="10" t="s">
        <v>44</v>
      </c>
      <c r="C639" s="61">
        <f>36373+(3*364-140)</f>
        <v>37325</v>
      </c>
      <c r="D639" s="62">
        <f t="shared" ca="1" si="9"/>
        <v>13</v>
      </c>
      <c r="E639" s="62" t="s">
        <v>24</v>
      </c>
      <c r="F639" s="63">
        <v>78130</v>
      </c>
      <c r="G639" s="64"/>
    </row>
    <row r="640" spans="1:7" x14ac:dyDescent="0.25">
      <c r="A640" s="60">
        <v>358017400</v>
      </c>
      <c r="B640" s="10" t="s">
        <v>52</v>
      </c>
      <c r="C640" s="61">
        <f>37058+(3*364-140)</f>
        <v>38010</v>
      </c>
      <c r="D640" s="62">
        <f t="shared" ca="1" si="9"/>
        <v>11</v>
      </c>
      <c r="E640" s="62"/>
      <c r="F640" s="63">
        <v>46868</v>
      </c>
      <c r="G640" s="64"/>
    </row>
    <row r="641" spans="1:7" x14ac:dyDescent="0.25">
      <c r="A641" s="60">
        <v>249416723</v>
      </c>
      <c r="B641" s="10" t="s">
        <v>54</v>
      </c>
      <c r="C641" s="61">
        <f>36703+(3*364-140)</f>
        <v>37655</v>
      </c>
      <c r="D641" s="62">
        <f t="shared" ca="1" si="9"/>
        <v>12</v>
      </c>
      <c r="E641" s="62" t="s">
        <v>28</v>
      </c>
      <c r="F641" s="63">
        <v>83811</v>
      </c>
      <c r="G641" s="64"/>
    </row>
    <row r="642" spans="1:7" x14ac:dyDescent="0.25">
      <c r="A642" s="60">
        <v>247406371</v>
      </c>
      <c r="B642" s="10" t="s">
        <v>47</v>
      </c>
      <c r="C642" s="61">
        <f>41029+(3*364-140)</f>
        <v>41981</v>
      </c>
      <c r="D642" s="62">
        <f t="shared" ref="D642:D687" ca="1" si="10">DATEDIF(C642,TODAY(),"Y")</f>
        <v>1</v>
      </c>
      <c r="E642" s="62" t="s">
        <v>33</v>
      </c>
      <c r="F642" s="63">
        <v>26052</v>
      </c>
      <c r="G642" s="64"/>
    </row>
    <row r="643" spans="1:7" x14ac:dyDescent="0.25">
      <c r="A643" s="60">
        <v>618775364</v>
      </c>
      <c r="B643" s="10" t="s">
        <v>52</v>
      </c>
      <c r="C643" s="61">
        <f>40932+(3*364-140)</f>
        <v>41884</v>
      </c>
      <c r="D643" s="62">
        <f t="shared" ca="1" si="10"/>
        <v>1</v>
      </c>
      <c r="E643" s="62" t="s">
        <v>33</v>
      </c>
      <c r="F643" s="63">
        <v>63310</v>
      </c>
      <c r="G643" s="64"/>
    </row>
    <row r="644" spans="1:7" x14ac:dyDescent="0.25">
      <c r="A644" s="60">
        <v>721169660</v>
      </c>
      <c r="B644" s="10" t="s">
        <v>37</v>
      </c>
      <c r="C644" s="61">
        <f>40952+(3*364-140)</f>
        <v>41904</v>
      </c>
      <c r="D644" s="62">
        <f t="shared" ca="1" si="10"/>
        <v>1</v>
      </c>
      <c r="E644" s="62" t="s">
        <v>28</v>
      </c>
      <c r="F644" s="63">
        <v>50349</v>
      </c>
      <c r="G644" s="64"/>
    </row>
    <row r="645" spans="1:7" x14ac:dyDescent="0.25">
      <c r="A645" s="60">
        <v>267218084</v>
      </c>
      <c r="B645" s="10" t="s">
        <v>37</v>
      </c>
      <c r="C645" s="61">
        <f>36618+(3*364-140)</f>
        <v>37570</v>
      </c>
      <c r="D645" s="62">
        <f t="shared" ca="1" si="10"/>
        <v>13</v>
      </c>
      <c r="E645" s="62"/>
      <c r="F645" s="63">
        <v>114400</v>
      </c>
      <c r="G645" s="64"/>
    </row>
    <row r="646" spans="1:7" x14ac:dyDescent="0.25">
      <c r="A646" s="60">
        <v>575270646</v>
      </c>
      <c r="B646" s="10" t="s">
        <v>44</v>
      </c>
      <c r="C646" s="61">
        <f>40026+(3*364-140)</f>
        <v>40978</v>
      </c>
      <c r="D646" s="62">
        <f t="shared" ca="1" si="10"/>
        <v>3</v>
      </c>
      <c r="E646" s="62" t="s">
        <v>24</v>
      </c>
      <c r="F646" s="63">
        <v>60086</v>
      </c>
      <c r="G646" s="64"/>
    </row>
    <row r="647" spans="1:7" x14ac:dyDescent="0.25">
      <c r="A647" s="60">
        <v>561968668</v>
      </c>
      <c r="B647" s="10" t="s">
        <v>44</v>
      </c>
      <c r="C647" s="61">
        <f>39487+(3*364-140)</f>
        <v>40439</v>
      </c>
      <c r="D647" s="62">
        <f t="shared" ca="1" si="10"/>
        <v>5</v>
      </c>
      <c r="E647" s="62" t="s">
        <v>28</v>
      </c>
      <c r="F647" s="63">
        <v>99559</v>
      </c>
      <c r="G647" s="64"/>
    </row>
    <row r="648" spans="1:7" x14ac:dyDescent="0.25">
      <c r="A648" s="60">
        <v>649234799</v>
      </c>
      <c r="B648" s="10" t="s">
        <v>47</v>
      </c>
      <c r="C648" s="61">
        <f>40887+(3*364-140)</f>
        <v>41839</v>
      </c>
      <c r="D648" s="62">
        <f t="shared" ca="1" si="10"/>
        <v>1</v>
      </c>
      <c r="E648" s="62" t="s">
        <v>33</v>
      </c>
      <c r="F648" s="63">
        <v>58838</v>
      </c>
      <c r="G648" s="64"/>
    </row>
    <row r="649" spans="1:7" x14ac:dyDescent="0.25">
      <c r="A649" s="60">
        <v>243062914</v>
      </c>
      <c r="B649" s="10" t="s">
        <v>44</v>
      </c>
      <c r="C649" s="61">
        <f>35877+(3*364-140)</f>
        <v>36829</v>
      </c>
      <c r="D649" s="62">
        <f t="shared" ca="1" si="10"/>
        <v>15</v>
      </c>
      <c r="E649" s="62" t="s">
        <v>24</v>
      </c>
      <c r="F649" s="63">
        <v>95485</v>
      </c>
      <c r="G649" s="64"/>
    </row>
    <row r="650" spans="1:7" x14ac:dyDescent="0.25">
      <c r="A650" s="60">
        <v>129397083</v>
      </c>
      <c r="B650" s="10" t="s">
        <v>37</v>
      </c>
      <c r="C650" s="61">
        <f>41274+(3*364-140)</f>
        <v>42226</v>
      </c>
      <c r="D650" s="62">
        <f t="shared" ca="1" si="10"/>
        <v>0</v>
      </c>
      <c r="E650" s="62" t="s">
        <v>26</v>
      </c>
      <c r="F650" s="63">
        <v>89583</v>
      </c>
      <c r="G650" s="64"/>
    </row>
    <row r="651" spans="1:7" x14ac:dyDescent="0.25">
      <c r="A651" s="60">
        <v>594680949</v>
      </c>
      <c r="B651" s="10" t="s">
        <v>44</v>
      </c>
      <c r="C651" s="61">
        <f>37100+(3*364-140)</f>
        <v>38052</v>
      </c>
      <c r="D651" s="62">
        <f t="shared" ca="1" si="10"/>
        <v>11</v>
      </c>
      <c r="E651" s="62" t="s">
        <v>33</v>
      </c>
      <c r="F651" s="63">
        <v>22451</v>
      </c>
      <c r="G651" s="64"/>
    </row>
    <row r="652" spans="1:7" x14ac:dyDescent="0.25">
      <c r="A652" s="60">
        <v>533976888</v>
      </c>
      <c r="B652" s="10" t="s">
        <v>35</v>
      </c>
      <c r="C652" s="61">
        <f>36892+(3*364-140)</f>
        <v>37844</v>
      </c>
      <c r="D652" s="62">
        <f t="shared" ca="1" si="10"/>
        <v>12</v>
      </c>
      <c r="E652" s="62" t="s">
        <v>34</v>
      </c>
      <c r="F652" s="63">
        <v>62205</v>
      </c>
      <c r="G652" s="64"/>
    </row>
    <row r="653" spans="1:7" x14ac:dyDescent="0.25">
      <c r="A653" s="60">
        <v>174159111</v>
      </c>
      <c r="B653" s="10" t="s">
        <v>52</v>
      </c>
      <c r="C653" s="61">
        <f>35964+(3*364-140)</f>
        <v>36916</v>
      </c>
      <c r="D653" s="62">
        <f t="shared" ca="1" si="10"/>
        <v>14</v>
      </c>
      <c r="E653" s="62" t="s">
        <v>28</v>
      </c>
      <c r="F653" s="63">
        <v>94510</v>
      </c>
      <c r="G653" s="64"/>
    </row>
    <row r="654" spans="1:7" x14ac:dyDescent="0.25">
      <c r="A654" s="60">
        <v>337370590</v>
      </c>
      <c r="B654" s="10" t="s">
        <v>44</v>
      </c>
      <c r="C654" s="61">
        <f>38722+(3*364-140)</f>
        <v>39674</v>
      </c>
      <c r="D654" s="62">
        <f t="shared" ca="1" si="10"/>
        <v>7</v>
      </c>
      <c r="E654" s="62"/>
      <c r="F654" s="63">
        <v>74633</v>
      </c>
      <c r="G654" s="64"/>
    </row>
    <row r="655" spans="1:7" x14ac:dyDescent="0.25">
      <c r="A655" s="60">
        <v>771110153</v>
      </c>
      <c r="B655" s="10" t="s">
        <v>54</v>
      </c>
      <c r="C655" s="61">
        <f>39961+(3*364-140)</f>
        <v>40913</v>
      </c>
      <c r="D655" s="62">
        <f t="shared" ca="1" si="10"/>
        <v>3</v>
      </c>
      <c r="E655" s="62" t="s">
        <v>24</v>
      </c>
      <c r="F655" s="63">
        <v>32474</v>
      </c>
      <c r="G655" s="64"/>
    </row>
    <row r="656" spans="1:7" x14ac:dyDescent="0.25">
      <c r="A656" s="60">
        <v>918436287</v>
      </c>
      <c r="B656" s="10" t="s">
        <v>54</v>
      </c>
      <c r="C656" s="61">
        <f>33871+(3*364-140)</f>
        <v>34823</v>
      </c>
      <c r="D656" s="62">
        <f t="shared" ca="1" si="10"/>
        <v>20</v>
      </c>
      <c r="E656" s="62"/>
      <c r="F656" s="63">
        <v>82693</v>
      </c>
      <c r="G656" s="64"/>
    </row>
    <row r="657" spans="1:7" x14ac:dyDescent="0.25">
      <c r="A657" s="60">
        <v>164904130</v>
      </c>
      <c r="B657" s="10" t="s">
        <v>37</v>
      </c>
      <c r="C657" s="61">
        <f>36247+(3*364-140)</f>
        <v>37199</v>
      </c>
      <c r="D657" s="62">
        <f t="shared" ca="1" si="10"/>
        <v>14</v>
      </c>
      <c r="E657" s="62"/>
      <c r="F657" s="63">
        <v>109460</v>
      </c>
      <c r="G657" s="64"/>
    </row>
    <row r="658" spans="1:7" x14ac:dyDescent="0.25">
      <c r="A658" s="60">
        <v>422929693</v>
      </c>
      <c r="B658" s="10" t="s">
        <v>47</v>
      </c>
      <c r="C658" s="61">
        <f>37340+(3*364-140)</f>
        <v>38292</v>
      </c>
      <c r="D658" s="62">
        <f t="shared" ca="1" si="10"/>
        <v>11</v>
      </c>
      <c r="E658" s="62" t="s">
        <v>33</v>
      </c>
      <c r="F658" s="63">
        <v>68237</v>
      </c>
      <c r="G658" s="64"/>
    </row>
    <row r="659" spans="1:7" x14ac:dyDescent="0.25">
      <c r="A659" s="60">
        <v>525507320</v>
      </c>
      <c r="B659" s="10" t="s">
        <v>42</v>
      </c>
      <c r="C659" s="61">
        <f>37092+(3*364-140)</f>
        <v>38044</v>
      </c>
      <c r="D659" s="62">
        <f t="shared" ca="1" si="10"/>
        <v>11</v>
      </c>
      <c r="E659" s="62" t="s">
        <v>34</v>
      </c>
      <c r="F659" s="63">
        <v>51584</v>
      </c>
      <c r="G659" s="64"/>
    </row>
    <row r="660" spans="1:7" x14ac:dyDescent="0.25">
      <c r="A660" s="60">
        <v>534034571</v>
      </c>
      <c r="B660" s="10" t="s">
        <v>36</v>
      </c>
      <c r="C660" s="61">
        <f>40095+(3*364-140)</f>
        <v>41047</v>
      </c>
      <c r="D660" s="62">
        <f t="shared" ca="1" si="10"/>
        <v>3</v>
      </c>
      <c r="E660" s="62" t="s">
        <v>26</v>
      </c>
      <c r="F660" s="63">
        <v>59924</v>
      </c>
      <c r="G660" s="64"/>
    </row>
    <row r="661" spans="1:7" x14ac:dyDescent="0.25">
      <c r="A661" s="60">
        <v>502580266</v>
      </c>
      <c r="B661" s="10" t="s">
        <v>54</v>
      </c>
      <c r="C661" s="61">
        <f>39324+(3*364-140)</f>
        <v>40276</v>
      </c>
      <c r="D661" s="62">
        <f t="shared" ca="1" si="10"/>
        <v>5</v>
      </c>
      <c r="E661" s="62"/>
      <c r="F661" s="63">
        <v>48547</v>
      </c>
      <c r="G661" s="64"/>
    </row>
    <row r="662" spans="1:7" x14ac:dyDescent="0.25">
      <c r="A662" s="60">
        <v>161439267</v>
      </c>
      <c r="B662" s="10" t="s">
        <v>52</v>
      </c>
      <c r="C662" s="61">
        <f>40040+(3*364-140)</f>
        <v>40992</v>
      </c>
      <c r="D662" s="62">
        <f t="shared" ca="1" si="10"/>
        <v>3</v>
      </c>
      <c r="E662" s="62" t="s">
        <v>28</v>
      </c>
      <c r="F662" s="63">
        <v>54626</v>
      </c>
      <c r="G662" s="64"/>
    </row>
    <row r="663" spans="1:7" x14ac:dyDescent="0.25">
      <c r="A663" s="60">
        <v>693965055</v>
      </c>
      <c r="B663" s="10" t="s">
        <v>53</v>
      </c>
      <c r="C663" s="61">
        <f>34389+(3*364-140)</f>
        <v>35341</v>
      </c>
      <c r="D663" s="62">
        <f t="shared" ca="1" si="10"/>
        <v>19</v>
      </c>
      <c r="E663" s="62" t="s">
        <v>24</v>
      </c>
      <c r="F663" s="63">
        <v>89011</v>
      </c>
      <c r="G663" s="64"/>
    </row>
    <row r="664" spans="1:7" x14ac:dyDescent="0.25">
      <c r="A664" s="60">
        <v>656572514</v>
      </c>
      <c r="B664" s="10" t="s">
        <v>54</v>
      </c>
      <c r="C664" s="61">
        <f>34652+(3*364-140)</f>
        <v>35604</v>
      </c>
      <c r="D664" s="62">
        <f t="shared" ca="1" si="10"/>
        <v>18</v>
      </c>
      <c r="E664" s="62"/>
      <c r="F664" s="63">
        <v>91195</v>
      </c>
      <c r="G664" s="64"/>
    </row>
    <row r="665" spans="1:7" x14ac:dyDescent="0.25">
      <c r="A665" s="60">
        <v>916944119</v>
      </c>
      <c r="B665" s="10" t="s">
        <v>54</v>
      </c>
      <c r="C665" s="61">
        <f>37777+(3*364-140)</f>
        <v>38729</v>
      </c>
      <c r="D665" s="62">
        <f t="shared" ca="1" si="10"/>
        <v>9</v>
      </c>
      <c r="E665" s="62"/>
      <c r="F665" s="63">
        <v>36751</v>
      </c>
      <c r="G665" s="64"/>
    </row>
    <row r="666" spans="1:7" x14ac:dyDescent="0.25">
      <c r="A666" s="60">
        <v>788832967</v>
      </c>
      <c r="B666" s="10" t="s">
        <v>48</v>
      </c>
      <c r="C666" s="61">
        <f>36059+(3*364-140)</f>
        <v>37011</v>
      </c>
      <c r="D666" s="62">
        <f t="shared" ca="1" si="10"/>
        <v>14</v>
      </c>
      <c r="E666" s="62"/>
      <c r="F666" s="63">
        <v>45906</v>
      </c>
      <c r="G666" s="64"/>
    </row>
    <row r="667" spans="1:7" x14ac:dyDescent="0.25">
      <c r="A667" s="60">
        <v>853268713</v>
      </c>
      <c r="B667" s="10" t="s">
        <v>44</v>
      </c>
      <c r="C667" s="61">
        <f>36267+(3*364-140)</f>
        <v>37219</v>
      </c>
      <c r="D667" s="62">
        <f t="shared" ca="1" si="10"/>
        <v>14</v>
      </c>
      <c r="E667" s="62" t="s">
        <v>24</v>
      </c>
      <c r="F667" s="63">
        <v>78364</v>
      </c>
      <c r="G667" s="64"/>
    </row>
    <row r="668" spans="1:7" x14ac:dyDescent="0.25">
      <c r="A668" s="60">
        <v>247422007</v>
      </c>
      <c r="B668" s="10" t="s">
        <v>54</v>
      </c>
      <c r="C668" s="61">
        <f>36871+(3*364-140)</f>
        <v>37823</v>
      </c>
      <c r="D668" s="62">
        <f t="shared" ca="1" si="10"/>
        <v>12</v>
      </c>
      <c r="E668" s="62"/>
      <c r="F668" s="63">
        <v>75725</v>
      </c>
      <c r="G668" s="64"/>
    </row>
    <row r="669" spans="1:7" x14ac:dyDescent="0.25">
      <c r="A669" s="60">
        <v>693055639</v>
      </c>
      <c r="B669" s="10" t="s">
        <v>53</v>
      </c>
      <c r="C669" s="61">
        <f>33900+(3*364-140)</f>
        <v>34852</v>
      </c>
      <c r="D669" s="62">
        <f t="shared" ca="1" si="10"/>
        <v>20</v>
      </c>
      <c r="E669" s="62" t="s">
        <v>24</v>
      </c>
      <c r="F669" s="63">
        <v>70070</v>
      </c>
      <c r="G669" s="64"/>
    </row>
    <row r="670" spans="1:7" x14ac:dyDescent="0.25">
      <c r="A670" s="60">
        <v>269873478</v>
      </c>
      <c r="B670" s="10" t="s">
        <v>53</v>
      </c>
      <c r="C670" s="61">
        <f>36393+(3*364-140)</f>
        <v>37345</v>
      </c>
      <c r="D670" s="62">
        <f t="shared" ca="1" si="10"/>
        <v>13</v>
      </c>
      <c r="E670" s="62" t="s">
        <v>33</v>
      </c>
      <c r="F670" s="63">
        <v>41756</v>
      </c>
      <c r="G670" s="64"/>
    </row>
    <row r="671" spans="1:7" x14ac:dyDescent="0.25">
      <c r="A671" s="60">
        <v>304068732</v>
      </c>
      <c r="B671" s="10" t="s">
        <v>42</v>
      </c>
      <c r="C671" s="61">
        <f>34387+(3*364-140)</f>
        <v>35339</v>
      </c>
      <c r="D671" s="62">
        <f t="shared" ca="1" si="10"/>
        <v>19</v>
      </c>
      <c r="E671" s="62" t="s">
        <v>24</v>
      </c>
      <c r="F671" s="63">
        <v>44343</v>
      </c>
      <c r="G671" s="64"/>
    </row>
    <row r="672" spans="1:7" x14ac:dyDescent="0.25">
      <c r="A672" s="60">
        <v>867100310</v>
      </c>
      <c r="B672" s="10" t="s">
        <v>52</v>
      </c>
      <c r="C672" s="61">
        <f>37071+(3*364-140)</f>
        <v>38023</v>
      </c>
      <c r="D672" s="62">
        <f t="shared" ca="1" si="10"/>
        <v>11</v>
      </c>
      <c r="E672" s="62" t="s">
        <v>33</v>
      </c>
      <c r="F672" s="63">
        <v>85683</v>
      </c>
      <c r="G672" s="64"/>
    </row>
    <row r="673" spans="1:8" x14ac:dyDescent="0.25">
      <c r="A673" s="60">
        <v>214234804</v>
      </c>
      <c r="B673" s="10" t="s">
        <v>46</v>
      </c>
      <c r="C673" s="61">
        <f>38614+(3*364-140)</f>
        <v>39566</v>
      </c>
      <c r="D673" s="62">
        <f t="shared" ca="1" si="10"/>
        <v>7</v>
      </c>
      <c r="E673" s="62" t="s">
        <v>33</v>
      </c>
      <c r="F673" s="63">
        <v>70031</v>
      </c>
      <c r="G673" s="64"/>
    </row>
    <row r="674" spans="1:8" x14ac:dyDescent="0.25">
      <c r="A674" s="60">
        <v>257249459</v>
      </c>
      <c r="B674" s="10" t="s">
        <v>44</v>
      </c>
      <c r="C674" s="61">
        <f>37315+(3*364-140)</f>
        <v>38267</v>
      </c>
      <c r="D674" s="62">
        <f t="shared" ca="1" si="10"/>
        <v>11</v>
      </c>
      <c r="E674" s="62"/>
      <c r="F674" s="63">
        <v>74880</v>
      </c>
      <c r="G674" s="64"/>
    </row>
    <row r="675" spans="1:8" x14ac:dyDescent="0.25">
      <c r="A675" s="60">
        <v>159415552</v>
      </c>
      <c r="B675" s="10" t="s">
        <v>47</v>
      </c>
      <c r="C675" s="61">
        <f>34443+(3*364-140)</f>
        <v>35395</v>
      </c>
      <c r="D675" s="62">
        <f t="shared" ca="1" si="10"/>
        <v>19</v>
      </c>
      <c r="E675" s="62" t="s">
        <v>28</v>
      </c>
      <c r="F675" s="63">
        <v>96109</v>
      </c>
      <c r="G675" s="64"/>
    </row>
    <row r="676" spans="1:8" x14ac:dyDescent="0.25">
      <c r="A676" s="60">
        <v>212558012</v>
      </c>
      <c r="B676" s="10" t="s">
        <v>54</v>
      </c>
      <c r="C676" s="61">
        <f>37645+(3*364-140)</f>
        <v>38597</v>
      </c>
      <c r="D676" s="62">
        <f t="shared" ca="1" si="10"/>
        <v>10</v>
      </c>
      <c r="E676" s="62" t="s">
        <v>24</v>
      </c>
      <c r="F676" s="63">
        <v>81978</v>
      </c>
      <c r="G676" s="64"/>
    </row>
    <row r="677" spans="1:8" x14ac:dyDescent="0.25">
      <c r="A677" s="60">
        <v>244171882</v>
      </c>
      <c r="B677" s="10" t="s">
        <v>43</v>
      </c>
      <c r="C677" s="61">
        <f>35079+(3*364-140)</f>
        <v>36031</v>
      </c>
      <c r="D677" s="62">
        <f t="shared" ca="1" si="10"/>
        <v>17</v>
      </c>
      <c r="E677" s="62" t="s">
        <v>26</v>
      </c>
      <c r="F677" s="63">
        <v>116714</v>
      </c>
      <c r="G677" s="64"/>
    </row>
    <row r="678" spans="1:8" x14ac:dyDescent="0.25">
      <c r="A678" s="60">
        <v>393290045</v>
      </c>
      <c r="B678" s="10" t="s">
        <v>47</v>
      </c>
      <c r="C678" s="61">
        <f>37844+(3*364-140)</f>
        <v>38796</v>
      </c>
      <c r="D678" s="62">
        <f t="shared" ca="1" si="10"/>
        <v>9</v>
      </c>
      <c r="E678" s="62" t="s">
        <v>28</v>
      </c>
      <c r="F678" s="63">
        <v>61484</v>
      </c>
      <c r="G678" s="64"/>
    </row>
    <row r="679" spans="1:8" x14ac:dyDescent="0.25">
      <c r="A679" s="60">
        <v>931977751</v>
      </c>
      <c r="B679" s="10" t="s">
        <v>50</v>
      </c>
      <c r="C679" s="61">
        <f>35579+(3*364-140)</f>
        <v>36531</v>
      </c>
      <c r="D679" s="62">
        <f t="shared" ca="1" si="10"/>
        <v>15</v>
      </c>
      <c r="E679" s="62" t="s">
        <v>24</v>
      </c>
      <c r="F679" s="63">
        <v>33579</v>
      </c>
      <c r="G679" s="64"/>
    </row>
    <row r="680" spans="1:8" x14ac:dyDescent="0.25">
      <c r="A680" s="60">
        <v>763518183</v>
      </c>
      <c r="B680" s="10" t="s">
        <v>51</v>
      </c>
      <c r="C680" s="61">
        <f>34118+(3*364-140)</f>
        <v>35070</v>
      </c>
      <c r="D680" s="62">
        <f t="shared" ca="1" si="10"/>
        <v>19</v>
      </c>
      <c r="E680" s="62" t="s">
        <v>24</v>
      </c>
      <c r="F680" s="63">
        <v>90220</v>
      </c>
      <c r="G680" s="64"/>
    </row>
    <row r="681" spans="1:8" x14ac:dyDescent="0.25">
      <c r="A681" s="60">
        <v>721173550</v>
      </c>
      <c r="B681" s="10" t="s">
        <v>37</v>
      </c>
      <c r="C681" s="61">
        <f>34464+(3*364-140)</f>
        <v>35416</v>
      </c>
      <c r="D681" s="62">
        <f t="shared" ca="1" si="10"/>
        <v>18</v>
      </c>
      <c r="E681" s="62" t="s">
        <v>24</v>
      </c>
      <c r="F681" s="63">
        <v>92495</v>
      </c>
      <c r="G681" s="64"/>
    </row>
    <row r="682" spans="1:8" s="50" customFormat="1" x14ac:dyDescent="0.25">
      <c r="A682" s="60">
        <v>784064156</v>
      </c>
      <c r="B682" s="10" t="s">
        <v>53</v>
      </c>
      <c r="C682" s="61">
        <f>34282+(3*364-140)</f>
        <v>35234</v>
      </c>
      <c r="D682" s="62">
        <f t="shared" ca="1" si="10"/>
        <v>19</v>
      </c>
      <c r="E682" s="62" t="s">
        <v>24</v>
      </c>
      <c r="F682" s="63">
        <v>71279</v>
      </c>
      <c r="G682" s="64"/>
      <c r="H682" s="59"/>
    </row>
    <row r="683" spans="1:8" s="50" customFormat="1" x14ac:dyDescent="0.25">
      <c r="A683" s="60">
        <v>796685092</v>
      </c>
      <c r="B683" s="10" t="s">
        <v>47</v>
      </c>
      <c r="C683" s="61">
        <f>37134+(3*364-140)</f>
        <v>38086</v>
      </c>
      <c r="D683" s="62">
        <f t="shared" ca="1" si="10"/>
        <v>11</v>
      </c>
      <c r="E683" s="62" t="s">
        <v>33</v>
      </c>
      <c r="F683" s="63">
        <v>56498</v>
      </c>
      <c r="G683" s="64"/>
      <c r="H683" s="59"/>
    </row>
    <row r="684" spans="1:8" s="50" customFormat="1" x14ac:dyDescent="0.25">
      <c r="A684" s="60">
        <v>526188716</v>
      </c>
      <c r="B684" s="10" t="s">
        <v>40</v>
      </c>
      <c r="C684" s="61">
        <f>36637+(3*364-140)</f>
        <v>37589</v>
      </c>
      <c r="D684" s="62">
        <f t="shared" ca="1" si="10"/>
        <v>13</v>
      </c>
      <c r="E684" s="62"/>
      <c r="F684" s="63">
        <v>83811</v>
      </c>
      <c r="G684" s="64"/>
      <c r="H684" s="59"/>
    </row>
    <row r="685" spans="1:8" s="50" customFormat="1" x14ac:dyDescent="0.25">
      <c r="A685" s="60">
        <v>126492342</v>
      </c>
      <c r="B685" s="10" t="s">
        <v>37</v>
      </c>
      <c r="C685" s="61">
        <f>36737+(3*364-140)</f>
        <v>37689</v>
      </c>
      <c r="D685" s="62">
        <f t="shared" ca="1" si="10"/>
        <v>12</v>
      </c>
      <c r="E685" s="62"/>
      <c r="F685" s="63">
        <v>24050</v>
      </c>
      <c r="G685" s="64"/>
      <c r="H685" s="59"/>
    </row>
    <row r="686" spans="1:8" s="50" customFormat="1" x14ac:dyDescent="0.25">
      <c r="A686" s="60">
        <v>353414196</v>
      </c>
      <c r="B686" s="10" t="s">
        <v>44</v>
      </c>
      <c r="C686" s="61">
        <f>37376+(3*364-140)</f>
        <v>38328</v>
      </c>
      <c r="D686" s="62">
        <f t="shared" ca="1" si="10"/>
        <v>11</v>
      </c>
      <c r="E686" s="62" t="s">
        <v>26</v>
      </c>
      <c r="F686" s="63">
        <v>30745</v>
      </c>
      <c r="G686" s="64"/>
      <c r="H686" s="59"/>
    </row>
    <row r="687" spans="1:8" s="50" customFormat="1" x14ac:dyDescent="0.25">
      <c r="A687" s="60">
        <v>527185620</v>
      </c>
      <c r="B687" s="10" t="s">
        <v>44</v>
      </c>
      <c r="C687" s="61">
        <f>40948+(3*364-140)</f>
        <v>41900</v>
      </c>
      <c r="D687" s="62">
        <f t="shared" ca="1" si="10"/>
        <v>1</v>
      </c>
      <c r="E687" s="62" t="s">
        <v>33</v>
      </c>
      <c r="F687" s="63">
        <v>45890</v>
      </c>
      <c r="G687" s="64"/>
      <c r="H687" s="59"/>
    </row>
  </sheetData>
  <sortState ref="A2:G687">
    <sortCondition ref="G3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  <pageSetUpPr autoPageBreaks="0"/>
  </sheetPr>
  <dimension ref="A1:G742"/>
  <sheetViews>
    <sheetView zoomScale="130" zoomScaleNormal="130" zoomScaleSheetLayoutView="100" workbookViewId="0">
      <selection activeCell="E19" sqref="E19"/>
    </sheetView>
  </sheetViews>
  <sheetFormatPr defaultColWidth="19.85546875" defaultRowHeight="15" x14ac:dyDescent="0.25"/>
  <cols>
    <col min="1" max="1" width="12.28515625" style="3" bestFit="1" customWidth="1"/>
    <col min="2" max="2" width="10.85546875" style="53" bestFit="1" customWidth="1"/>
    <col min="3" max="3" width="4.28515625" style="53" customWidth="1"/>
    <col min="4" max="4" width="9.42578125" style="50" bestFit="1" customWidth="1"/>
    <col min="5" max="5" width="13.28515625" style="3" customWidth="1"/>
    <col min="6" max="6" width="7.140625" style="3" customWidth="1"/>
    <col min="7" max="16384" width="19.85546875" style="3"/>
  </cols>
  <sheetData>
    <row r="1" spans="1:7" x14ac:dyDescent="0.25">
      <c r="A1" s="44" t="s">
        <v>57</v>
      </c>
      <c r="B1" s="45" t="s">
        <v>21</v>
      </c>
      <c r="C1" s="46"/>
      <c r="D1" s="3"/>
      <c r="E1" s="3" t="s">
        <v>508</v>
      </c>
    </row>
    <row r="2" spans="1:7" x14ac:dyDescent="0.25">
      <c r="A2" s="47">
        <v>201001749</v>
      </c>
      <c r="B2" s="9">
        <v>45408</v>
      </c>
      <c r="C2" s="9"/>
      <c r="D2" s="48">
        <v>30000</v>
      </c>
      <c r="E2" s="49"/>
    </row>
    <row r="3" spans="1:7" x14ac:dyDescent="0.25">
      <c r="A3" s="47">
        <v>201740059</v>
      </c>
      <c r="B3" s="9">
        <v>36000</v>
      </c>
      <c r="C3" s="9"/>
      <c r="D3" s="48">
        <v>40000</v>
      </c>
      <c r="E3" s="49"/>
      <c r="F3" s="13"/>
      <c r="G3" s="13"/>
    </row>
    <row r="4" spans="1:7" x14ac:dyDescent="0.25">
      <c r="A4" s="47">
        <v>209140567</v>
      </c>
      <c r="B4" s="9">
        <v>37786</v>
      </c>
      <c r="C4" s="9"/>
      <c r="D4" s="48">
        <v>50000</v>
      </c>
      <c r="E4" s="49"/>
      <c r="F4" s="13"/>
      <c r="G4" s="13"/>
    </row>
    <row r="5" spans="1:7" x14ac:dyDescent="0.25">
      <c r="A5" s="47">
        <v>215881661</v>
      </c>
      <c r="B5" s="9">
        <v>61008</v>
      </c>
      <c r="C5" s="9"/>
      <c r="D5" s="48">
        <v>60000</v>
      </c>
      <c r="E5" s="49"/>
      <c r="F5" s="13"/>
      <c r="G5" s="13"/>
    </row>
    <row r="6" spans="1:7" x14ac:dyDescent="0.25">
      <c r="A6" s="47">
        <v>219363581</v>
      </c>
      <c r="B6" s="9">
        <v>86004</v>
      </c>
      <c r="C6" s="9"/>
      <c r="D6" s="48">
        <v>70000</v>
      </c>
      <c r="E6" s="49"/>
      <c r="F6" s="13"/>
      <c r="G6" s="13"/>
    </row>
    <row r="7" spans="1:7" x14ac:dyDescent="0.25">
      <c r="A7" s="47">
        <v>220452644</v>
      </c>
      <c r="B7" s="9">
        <v>38364</v>
      </c>
      <c r="C7" s="9"/>
      <c r="D7" s="48">
        <v>80000</v>
      </c>
      <c r="E7" s="49"/>
      <c r="F7" s="13"/>
      <c r="G7" s="13"/>
    </row>
    <row r="8" spans="1:7" x14ac:dyDescent="0.25">
      <c r="A8" s="47">
        <v>221282117</v>
      </c>
      <c r="B8" s="9">
        <v>38292</v>
      </c>
      <c r="C8" s="9"/>
      <c r="D8" s="48">
        <v>90000</v>
      </c>
      <c r="E8" s="49"/>
      <c r="F8" s="13"/>
      <c r="G8" s="13"/>
    </row>
    <row r="9" spans="1:7" x14ac:dyDescent="0.25">
      <c r="A9" s="47">
        <v>224126997</v>
      </c>
      <c r="B9" s="9">
        <v>55464</v>
      </c>
      <c r="C9" s="9"/>
      <c r="D9" s="48">
        <v>100000</v>
      </c>
      <c r="E9" s="49"/>
      <c r="F9" s="13"/>
      <c r="G9" s="13"/>
    </row>
    <row r="10" spans="1:7" x14ac:dyDescent="0.25">
      <c r="A10" s="47">
        <v>224765527</v>
      </c>
      <c r="B10" s="9">
        <v>65076</v>
      </c>
      <c r="C10" s="9"/>
      <c r="D10" s="48">
        <v>110000</v>
      </c>
      <c r="E10" s="49"/>
      <c r="F10" s="13"/>
      <c r="G10" s="13"/>
    </row>
    <row r="11" spans="1:7" x14ac:dyDescent="0.25">
      <c r="A11" s="47">
        <v>224929080</v>
      </c>
      <c r="B11" s="9">
        <v>87240</v>
      </c>
      <c r="C11" s="9"/>
      <c r="D11" s="48">
        <v>120000</v>
      </c>
      <c r="E11" s="48"/>
      <c r="F11" s="13"/>
      <c r="G11" s="13"/>
    </row>
    <row r="12" spans="1:7" x14ac:dyDescent="0.25">
      <c r="A12" s="47">
        <v>229001783</v>
      </c>
      <c r="B12" s="9">
        <v>38568</v>
      </c>
      <c r="C12" s="9"/>
    </row>
    <row r="13" spans="1:7" x14ac:dyDescent="0.25">
      <c r="A13" s="47">
        <v>229106118</v>
      </c>
      <c r="B13" s="9">
        <v>98316</v>
      </c>
      <c r="C13" s="9"/>
    </row>
    <row r="14" spans="1:7" x14ac:dyDescent="0.25">
      <c r="A14" s="47">
        <v>233347333</v>
      </c>
      <c r="B14" s="9">
        <v>94740</v>
      </c>
      <c r="C14" s="9"/>
      <c r="D14" s="51" t="s">
        <v>511</v>
      </c>
    </row>
    <row r="15" spans="1:7" x14ac:dyDescent="0.25">
      <c r="A15" s="47">
        <v>233523221</v>
      </c>
      <c r="B15" s="9">
        <v>74268</v>
      </c>
      <c r="C15" s="9"/>
      <c r="D15" s="51">
        <f>MIN(B:B)</f>
        <v>28011</v>
      </c>
    </row>
    <row r="16" spans="1:7" x14ac:dyDescent="0.25">
      <c r="A16" s="47">
        <v>233905942</v>
      </c>
      <c r="B16" s="9">
        <v>60288</v>
      </c>
      <c r="C16" s="9"/>
      <c r="D16" s="51" t="s">
        <v>512</v>
      </c>
    </row>
    <row r="17" spans="1:4" x14ac:dyDescent="0.25">
      <c r="A17" s="47">
        <v>236302115</v>
      </c>
      <c r="B17" s="9">
        <v>42816</v>
      </c>
      <c r="C17" s="9"/>
      <c r="D17" s="52">
        <f>MAX(B:B)</f>
        <v>107736</v>
      </c>
    </row>
    <row r="18" spans="1:4" x14ac:dyDescent="0.25">
      <c r="A18" s="47">
        <v>238330180</v>
      </c>
      <c r="B18" s="9">
        <v>57132</v>
      </c>
      <c r="C18" s="9"/>
      <c r="D18" s="52"/>
    </row>
    <row r="19" spans="1:4" x14ac:dyDescent="0.25">
      <c r="A19" s="47">
        <v>238496767</v>
      </c>
      <c r="B19" s="9">
        <v>52296</v>
      </c>
      <c r="C19" s="9"/>
      <c r="D19" s="52"/>
    </row>
    <row r="20" spans="1:4" x14ac:dyDescent="0.25">
      <c r="A20" s="47">
        <v>238583264</v>
      </c>
      <c r="B20" s="9">
        <v>93804</v>
      </c>
      <c r="C20" s="9"/>
      <c r="D20" s="52"/>
    </row>
    <row r="21" spans="1:4" x14ac:dyDescent="0.25">
      <c r="A21" s="47">
        <v>240960244</v>
      </c>
      <c r="B21" s="9">
        <v>59616</v>
      </c>
      <c r="C21" s="9"/>
      <c r="D21" s="52"/>
    </row>
    <row r="22" spans="1:4" x14ac:dyDescent="0.25">
      <c r="A22" s="47">
        <v>241541772</v>
      </c>
      <c r="B22" s="9">
        <v>72120</v>
      </c>
      <c r="C22" s="9"/>
      <c r="D22" s="52"/>
    </row>
    <row r="23" spans="1:4" x14ac:dyDescent="0.25">
      <c r="A23" s="47">
        <v>241731391</v>
      </c>
      <c r="B23" s="9">
        <v>44268</v>
      </c>
      <c r="C23" s="9"/>
      <c r="D23" s="52"/>
    </row>
    <row r="24" spans="1:4" x14ac:dyDescent="0.25">
      <c r="A24" s="47">
        <v>244055383</v>
      </c>
      <c r="B24" s="9">
        <v>50928</v>
      </c>
      <c r="C24" s="9"/>
      <c r="D24" s="52"/>
    </row>
    <row r="25" spans="1:4" x14ac:dyDescent="0.25">
      <c r="A25" s="47">
        <v>247159726</v>
      </c>
      <c r="B25" s="9">
        <v>37872</v>
      </c>
      <c r="C25" s="9"/>
      <c r="D25" s="52"/>
    </row>
    <row r="26" spans="1:4" x14ac:dyDescent="0.25">
      <c r="A26" s="47">
        <v>248869731</v>
      </c>
      <c r="B26" s="9">
        <v>70980</v>
      </c>
      <c r="C26" s="9"/>
      <c r="D26" s="52"/>
    </row>
    <row r="27" spans="1:4" x14ac:dyDescent="0.25">
      <c r="A27" s="47">
        <v>249897341</v>
      </c>
      <c r="B27" s="9">
        <v>94980</v>
      </c>
      <c r="C27" s="9"/>
      <c r="D27" s="52"/>
    </row>
    <row r="28" spans="1:4" x14ac:dyDescent="0.25">
      <c r="A28" s="47">
        <v>252103982</v>
      </c>
      <c r="B28" s="9">
        <v>68280</v>
      </c>
      <c r="C28" s="9"/>
      <c r="D28" s="52"/>
    </row>
    <row r="29" spans="1:4" x14ac:dyDescent="0.25">
      <c r="A29" s="47">
        <v>258038864</v>
      </c>
      <c r="B29" s="9">
        <v>52092</v>
      </c>
      <c r="C29" s="9"/>
      <c r="D29" s="52"/>
    </row>
    <row r="30" spans="1:4" x14ac:dyDescent="0.25">
      <c r="A30" s="47">
        <v>258321506</v>
      </c>
      <c r="B30" s="9">
        <v>52003</v>
      </c>
      <c r="C30" s="9"/>
      <c r="D30" s="52"/>
    </row>
    <row r="31" spans="1:4" x14ac:dyDescent="0.25">
      <c r="A31" s="47">
        <v>258865992</v>
      </c>
      <c r="B31" s="9">
        <v>72672</v>
      </c>
      <c r="C31" s="9"/>
      <c r="D31" s="52"/>
    </row>
    <row r="32" spans="1:4" x14ac:dyDescent="0.25">
      <c r="A32" s="47">
        <v>262158411</v>
      </c>
      <c r="B32" s="9">
        <v>65400</v>
      </c>
      <c r="C32" s="9"/>
      <c r="D32" s="52"/>
    </row>
    <row r="33" spans="1:4" x14ac:dyDescent="0.25">
      <c r="A33" s="47">
        <v>262272263</v>
      </c>
      <c r="B33" s="9">
        <v>95532</v>
      </c>
      <c r="C33" s="9"/>
      <c r="D33" s="52"/>
    </row>
    <row r="34" spans="1:4" x14ac:dyDescent="0.25">
      <c r="A34" s="47">
        <v>262445523</v>
      </c>
      <c r="B34" s="9">
        <v>46644</v>
      </c>
      <c r="C34" s="9"/>
      <c r="D34" s="52"/>
    </row>
    <row r="35" spans="1:4" x14ac:dyDescent="0.25">
      <c r="A35" s="47">
        <v>262977850</v>
      </c>
      <c r="B35" s="9">
        <v>105576</v>
      </c>
      <c r="C35" s="9"/>
      <c r="D35" s="52"/>
    </row>
    <row r="36" spans="1:4" x14ac:dyDescent="0.25">
      <c r="A36" s="47">
        <v>264431306</v>
      </c>
      <c r="B36" s="9">
        <v>29926</v>
      </c>
      <c r="C36" s="9"/>
      <c r="D36" s="52"/>
    </row>
    <row r="37" spans="1:4" x14ac:dyDescent="0.25">
      <c r="A37" s="47">
        <v>266080331</v>
      </c>
      <c r="B37" s="9">
        <v>54996</v>
      </c>
      <c r="C37" s="9"/>
      <c r="D37" s="52"/>
    </row>
    <row r="38" spans="1:4" x14ac:dyDescent="0.25">
      <c r="A38" s="47">
        <v>268886119</v>
      </c>
      <c r="B38" s="9">
        <v>42312</v>
      </c>
      <c r="C38" s="9"/>
      <c r="D38" s="52"/>
    </row>
    <row r="39" spans="1:4" x14ac:dyDescent="0.25">
      <c r="A39" s="47">
        <v>270506776</v>
      </c>
      <c r="B39" s="9">
        <v>98880</v>
      </c>
      <c r="C39" s="9"/>
      <c r="D39" s="52"/>
    </row>
    <row r="40" spans="1:4" x14ac:dyDescent="0.25">
      <c r="A40" s="47">
        <v>271056730</v>
      </c>
      <c r="B40" s="9">
        <v>85656</v>
      </c>
      <c r="C40" s="9"/>
      <c r="D40" s="52"/>
    </row>
    <row r="41" spans="1:4" x14ac:dyDescent="0.25">
      <c r="A41" s="47">
        <v>271347487</v>
      </c>
      <c r="B41" s="9">
        <v>52980</v>
      </c>
      <c r="C41" s="9"/>
      <c r="D41" s="52"/>
    </row>
    <row r="42" spans="1:4" x14ac:dyDescent="0.25">
      <c r="A42" s="47">
        <v>271412260</v>
      </c>
      <c r="B42" s="9">
        <v>59436</v>
      </c>
      <c r="C42" s="9"/>
      <c r="D42" s="52"/>
    </row>
    <row r="43" spans="1:4" x14ac:dyDescent="0.25">
      <c r="A43" s="47">
        <v>273237961</v>
      </c>
      <c r="B43" s="9">
        <v>59220</v>
      </c>
      <c r="C43" s="9"/>
      <c r="D43" s="52"/>
    </row>
    <row r="44" spans="1:4" x14ac:dyDescent="0.25">
      <c r="A44" s="47">
        <v>277730380</v>
      </c>
      <c r="B44" s="9">
        <v>74616</v>
      </c>
      <c r="C44" s="9"/>
      <c r="D44" s="52"/>
    </row>
    <row r="45" spans="1:4" x14ac:dyDescent="0.25">
      <c r="A45" s="47">
        <v>278662093</v>
      </c>
      <c r="B45" s="9">
        <v>59832</v>
      </c>
      <c r="C45" s="9"/>
      <c r="D45" s="52"/>
    </row>
    <row r="46" spans="1:4" x14ac:dyDescent="0.25">
      <c r="A46" s="47">
        <v>279342318</v>
      </c>
      <c r="B46" s="9">
        <v>81612</v>
      </c>
      <c r="C46" s="9"/>
      <c r="D46" s="52"/>
    </row>
    <row r="47" spans="1:4" x14ac:dyDescent="0.25">
      <c r="A47" s="47">
        <v>279924575</v>
      </c>
      <c r="B47" s="9">
        <v>94224</v>
      </c>
      <c r="C47" s="9"/>
      <c r="D47" s="52"/>
    </row>
    <row r="48" spans="1:4" x14ac:dyDescent="0.25">
      <c r="A48" s="47">
        <v>280958047</v>
      </c>
      <c r="B48" s="9">
        <v>70860</v>
      </c>
      <c r="C48" s="9"/>
      <c r="D48" s="52"/>
    </row>
    <row r="49" spans="1:4" x14ac:dyDescent="0.25">
      <c r="A49" s="47">
        <v>281997880</v>
      </c>
      <c r="B49" s="9">
        <v>72084</v>
      </c>
      <c r="C49" s="9"/>
      <c r="D49" s="52"/>
    </row>
    <row r="50" spans="1:4" x14ac:dyDescent="0.25">
      <c r="A50" s="47">
        <v>283453213</v>
      </c>
      <c r="B50" s="9">
        <v>77508</v>
      </c>
      <c r="C50" s="9"/>
      <c r="D50" s="52"/>
    </row>
    <row r="51" spans="1:4" x14ac:dyDescent="0.25">
      <c r="A51" s="47">
        <v>284606104</v>
      </c>
      <c r="B51" s="9">
        <v>40051</v>
      </c>
      <c r="C51" s="9"/>
      <c r="D51" s="52"/>
    </row>
    <row r="52" spans="1:4" x14ac:dyDescent="0.25">
      <c r="A52" s="47">
        <v>284917889</v>
      </c>
      <c r="B52" s="9">
        <v>79896</v>
      </c>
      <c r="C52" s="9"/>
      <c r="D52" s="52"/>
    </row>
    <row r="53" spans="1:4" x14ac:dyDescent="0.25">
      <c r="A53" s="47">
        <v>286030707</v>
      </c>
      <c r="B53" s="9">
        <v>59226</v>
      </c>
      <c r="C53" s="9"/>
      <c r="D53" s="52"/>
    </row>
    <row r="54" spans="1:4" x14ac:dyDescent="0.25">
      <c r="A54" s="47">
        <v>288814072</v>
      </c>
      <c r="B54" s="9">
        <v>61896</v>
      </c>
      <c r="C54" s="9"/>
      <c r="D54" s="52"/>
    </row>
    <row r="55" spans="1:4" x14ac:dyDescent="0.25">
      <c r="A55" s="47">
        <v>290821542</v>
      </c>
      <c r="B55" s="9">
        <v>66540</v>
      </c>
      <c r="C55" s="9"/>
      <c r="D55" s="52"/>
    </row>
    <row r="56" spans="1:4" x14ac:dyDescent="0.25">
      <c r="A56" s="47">
        <v>291525325</v>
      </c>
      <c r="B56" s="9">
        <v>103764</v>
      </c>
      <c r="C56" s="9"/>
      <c r="D56" s="52"/>
    </row>
    <row r="57" spans="1:4" x14ac:dyDescent="0.25">
      <c r="A57" s="47">
        <v>292271763</v>
      </c>
      <c r="B57" s="9">
        <v>85236</v>
      </c>
      <c r="C57" s="9"/>
      <c r="D57" s="52"/>
    </row>
    <row r="58" spans="1:4" x14ac:dyDescent="0.25">
      <c r="A58" s="47">
        <v>292716238</v>
      </c>
      <c r="B58" s="9">
        <v>73680</v>
      </c>
      <c r="C58" s="9"/>
      <c r="D58" s="52"/>
    </row>
    <row r="59" spans="1:4" x14ac:dyDescent="0.25">
      <c r="A59" s="47">
        <v>298506675</v>
      </c>
      <c r="B59" s="9">
        <v>59232</v>
      </c>
      <c r="C59" s="9"/>
      <c r="D59" s="52"/>
    </row>
    <row r="60" spans="1:4" x14ac:dyDescent="0.25">
      <c r="A60" s="47">
        <v>301878968</v>
      </c>
      <c r="B60" s="9">
        <v>75226</v>
      </c>
      <c r="C60" s="9"/>
      <c r="D60" s="52"/>
    </row>
    <row r="61" spans="1:4" x14ac:dyDescent="0.25">
      <c r="A61" s="47">
        <v>302018232</v>
      </c>
      <c r="B61" s="9">
        <v>75696</v>
      </c>
      <c r="C61" s="9"/>
      <c r="D61" s="52"/>
    </row>
    <row r="62" spans="1:4" x14ac:dyDescent="0.25">
      <c r="A62" s="47">
        <v>303564296</v>
      </c>
      <c r="B62" s="9">
        <v>101040</v>
      </c>
      <c r="C62" s="9"/>
      <c r="D62" s="52"/>
    </row>
    <row r="63" spans="1:4" x14ac:dyDescent="0.25">
      <c r="A63" s="47">
        <v>309140718</v>
      </c>
      <c r="B63" s="9">
        <v>51732</v>
      </c>
      <c r="C63" s="9"/>
      <c r="D63" s="52"/>
    </row>
    <row r="64" spans="1:4" x14ac:dyDescent="0.25">
      <c r="A64" s="47">
        <v>310582644</v>
      </c>
      <c r="B64" s="9">
        <v>53580</v>
      </c>
      <c r="C64" s="9"/>
      <c r="D64" s="52"/>
    </row>
    <row r="65" spans="1:4" x14ac:dyDescent="0.25">
      <c r="A65" s="47">
        <v>310707288</v>
      </c>
      <c r="B65" s="9">
        <v>79212</v>
      </c>
      <c r="C65" s="9"/>
      <c r="D65" s="52"/>
    </row>
    <row r="66" spans="1:4" x14ac:dyDescent="0.25">
      <c r="A66" s="47">
        <v>311867995</v>
      </c>
      <c r="B66" s="9">
        <v>86508</v>
      </c>
      <c r="C66" s="9"/>
      <c r="D66" s="52"/>
    </row>
    <row r="67" spans="1:4" x14ac:dyDescent="0.25">
      <c r="A67" s="47">
        <v>314118529</v>
      </c>
      <c r="B67" s="9">
        <v>95352</v>
      </c>
      <c r="C67" s="9"/>
      <c r="D67" s="52"/>
    </row>
    <row r="68" spans="1:4" x14ac:dyDescent="0.25">
      <c r="A68" s="47">
        <v>316492551</v>
      </c>
      <c r="B68" s="9">
        <v>76536</v>
      </c>
      <c r="C68" s="9"/>
      <c r="D68" s="52"/>
    </row>
    <row r="69" spans="1:4" x14ac:dyDescent="0.25">
      <c r="A69" s="47">
        <v>318167764</v>
      </c>
      <c r="B69" s="9">
        <v>51828</v>
      </c>
      <c r="C69" s="9"/>
      <c r="D69" s="52"/>
    </row>
    <row r="70" spans="1:4" x14ac:dyDescent="0.25">
      <c r="A70" s="47">
        <v>318176376</v>
      </c>
      <c r="B70" s="9">
        <v>104736</v>
      </c>
      <c r="C70" s="9"/>
      <c r="D70" s="52"/>
    </row>
    <row r="71" spans="1:4" x14ac:dyDescent="0.25">
      <c r="A71" s="47">
        <v>320851745</v>
      </c>
      <c r="B71" s="9">
        <v>96828</v>
      </c>
      <c r="C71" s="9"/>
      <c r="D71" s="52"/>
    </row>
    <row r="72" spans="1:4" x14ac:dyDescent="0.25">
      <c r="A72" s="47">
        <v>322143450</v>
      </c>
      <c r="B72" s="9">
        <v>73378</v>
      </c>
      <c r="C72" s="9"/>
      <c r="D72" s="52"/>
    </row>
    <row r="73" spans="1:4" x14ac:dyDescent="0.25">
      <c r="A73" s="47">
        <v>322408963</v>
      </c>
      <c r="B73" s="9">
        <v>87396</v>
      </c>
      <c r="C73" s="9"/>
      <c r="D73" s="52"/>
    </row>
    <row r="74" spans="1:4" x14ac:dyDescent="0.25">
      <c r="A74" s="47">
        <v>324416460</v>
      </c>
      <c r="B74" s="9">
        <v>68760</v>
      </c>
      <c r="C74" s="9"/>
      <c r="D74" s="52"/>
    </row>
    <row r="75" spans="1:4" x14ac:dyDescent="0.25">
      <c r="A75" s="47">
        <v>325304649</v>
      </c>
      <c r="B75" s="9">
        <v>76908</v>
      </c>
      <c r="C75" s="9"/>
      <c r="D75" s="52"/>
    </row>
    <row r="76" spans="1:4" x14ac:dyDescent="0.25">
      <c r="A76" s="47">
        <v>326707816</v>
      </c>
      <c r="B76" s="9">
        <v>69768</v>
      </c>
      <c r="C76" s="9"/>
      <c r="D76" s="52"/>
    </row>
    <row r="77" spans="1:4" x14ac:dyDescent="0.25">
      <c r="A77" s="47">
        <v>328198507</v>
      </c>
      <c r="B77" s="9">
        <v>48672</v>
      </c>
      <c r="C77" s="9"/>
      <c r="D77" s="52"/>
    </row>
    <row r="78" spans="1:4" x14ac:dyDescent="0.25">
      <c r="A78" s="47">
        <v>331712123</v>
      </c>
      <c r="B78" s="9">
        <v>56820</v>
      </c>
      <c r="C78" s="9"/>
      <c r="D78" s="52"/>
    </row>
    <row r="79" spans="1:4" x14ac:dyDescent="0.25">
      <c r="A79" s="47">
        <v>332101664</v>
      </c>
      <c r="B79" s="9">
        <v>45576</v>
      </c>
      <c r="C79" s="9"/>
      <c r="D79" s="52"/>
    </row>
    <row r="80" spans="1:4" x14ac:dyDescent="0.25">
      <c r="A80" s="47">
        <v>333849779</v>
      </c>
      <c r="B80" s="9">
        <v>86340</v>
      </c>
      <c r="C80" s="9"/>
      <c r="D80" s="52"/>
    </row>
    <row r="81" spans="1:4" x14ac:dyDescent="0.25">
      <c r="A81" s="47">
        <v>335937127</v>
      </c>
      <c r="B81" s="9">
        <v>61416</v>
      </c>
      <c r="C81" s="9"/>
      <c r="D81" s="52"/>
    </row>
    <row r="82" spans="1:4" x14ac:dyDescent="0.25">
      <c r="A82" s="47">
        <v>339329271</v>
      </c>
      <c r="B82" s="9">
        <v>49128</v>
      </c>
      <c r="C82" s="9"/>
      <c r="D82" s="52"/>
    </row>
    <row r="83" spans="1:4" x14ac:dyDescent="0.25">
      <c r="A83" s="47">
        <v>341109966</v>
      </c>
      <c r="B83" s="9">
        <v>69612</v>
      </c>
      <c r="C83" s="9"/>
      <c r="D83" s="52"/>
    </row>
    <row r="84" spans="1:4" x14ac:dyDescent="0.25">
      <c r="A84" s="47">
        <v>341610587</v>
      </c>
      <c r="B84" s="9">
        <v>43262</v>
      </c>
      <c r="C84" s="9"/>
      <c r="D84" s="52"/>
    </row>
    <row r="85" spans="1:4" x14ac:dyDescent="0.25">
      <c r="A85" s="47">
        <v>343217256</v>
      </c>
      <c r="B85" s="9">
        <v>73596</v>
      </c>
      <c r="C85" s="9"/>
      <c r="D85" s="52"/>
    </row>
    <row r="86" spans="1:4" x14ac:dyDescent="0.25">
      <c r="A86" s="47">
        <v>345365552</v>
      </c>
      <c r="B86" s="9">
        <v>103176</v>
      </c>
      <c r="C86" s="9"/>
      <c r="D86" s="52"/>
    </row>
    <row r="87" spans="1:4" x14ac:dyDescent="0.25">
      <c r="A87" s="47">
        <v>345521501</v>
      </c>
      <c r="B87" s="9">
        <v>72336</v>
      </c>
      <c r="C87" s="9"/>
      <c r="D87" s="52"/>
    </row>
    <row r="88" spans="1:4" x14ac:dyDescent="0.25">
      <c r="A88" s="47">
        <v>348077251</v>
      </c>
      <c r="B88" s="9">
        <v>83280</v>
      </c>
      <c r="C88" s="9"/>
      <c r="D88" s="52"/>
    </row>
    <row r="89" spans="1:4" x14ac:dyDescent="0.25">
      <c r="A89" s="47">
        <v>349380459</v>
      </c>
      <c r="B89" s="9">
        <v>103104</v>
      </c>
      <c r="C89" s="9"/>
      <c r="D89" s="52"/>
    </row>
    <row r="90" spans="1:4" x14ac:dyDescent="0.25">
      <c r="A90" s="47">
        <v>349721863</v>
      </c>
      <c r="B90" s="9">
        <v>58704</v>
      </c>
      <c r="C90" s="9"/>
      <c r="D90" s="52"/>
    </row>
    <row r="91" spans="1:4" x14ac:dyDescent="0.25">
      <c r="A91" s="47">
        <v>350613447</v>
      </c>
      <c r="B91" s="9">
        <v>39180</v>
      </c>
      <c r="C91" s="9"/>
      <c r="D91" s="52"/>
    </row>
    <row r="92" spans="1:4" x14ac:dyDescent="0.25">
      <c r="A92" s="47">
        <v>352240539</v>
      </c>
      <c r="B92" s="9">
        <v>95064</v>
      </c>
      <c r="C92" s="9"/>
      <c r="D92" s="52"/>
    </row>
    <row r="93" spans="1:4" x14ac:dyDescent="0.25">
      <c r="A93" s="47">
        <v>352974002</v>
      </c>
      <c r="B93" s="9">
        <v>69312</v>
      </c>
      <c r="C93" s="9"/>
      <c r="D93" s="52"/>
    </row>
    <row r="94" spans="1:4" x14ac:dyDescent="0.25">
      <c r="A94" s="47">
        <v>354928175</v>
      </c>
      <c r="B94" s="9">
        <v>75636</v>
      </c>
      <c r="C94" s="9"/>
      <c r="D94" s="52"/>
    </row>
    <row r="95" spans="1:4" x14ac:dyDescent="0.25">
      <c r="A95" s="47">
        <v>355942287</v>
      </c>
      <c r="B95" s="9">
        <v>36408</v>
      </c>
      <c r="C95" s="9"/>
      <c r="D95" s="52"/>
    </row>
    <row r="96" spans="1:4" x14ac:dyDescent="0.25">
      <c r="A96" s="47">
        <v>358220343</v>
      </c>
      <c r="B96" s="9">
        <v>103848</v>
      </c>
      <c r="C96" s="9"/>
      <c r="D96" s="52"/>
    </row>
    <row r="97" spans="1:4" x14ac:dyDescent="0.25">
      <c r="A97" s="47">
        <v>359261620</v>
      </c>
      <c r="B97" s="9">
        <v>57696</v>
      </c>
      <c r="C97" s="9"/>
      <c r="D97" s="52"/>
    </row>
    <row r="98" spans="1:4" x14ac:dyDescent="0.25">
      <c r="A98" s="47">
        <v>360177437</v>
      </c>
      <c r="B98" s="9">
        <v>47124</v>
      </c>
      <c r="C98" s="9"/>
      <c r="D98" s="52"/>
    </row>
    <row r="99" spans="1:4" x14ac:dyDescent="0.25">
      <c r="A99" s="47">
        <v>361634797</v>
      </c>
      <c r="B99" s="9">
        <v>80460</v>
      </c>
      <c r="C99" s="9"/>
      <c r="D99" s="52"/>
    </row>
    <row r="100" spans="1:4" x14ac:dyDescent="0.25">
      <c r="A100" s="47">
        <v>362102770</v>
      </c>
      <c r="B100" s="9">
        <v>91224</v>
      </c>
      <c r="C100" s="9"/>
      <c r="D100" s="52"/>
    </row>
    <row r="101" spans="1:4" x14ac:dyDescent="0.25">
      <c r="A101" s="47">
        <v>365479832</v>
      </c>
      <c r="B101" s="9">
        <v>42744</v>
      </c>
      <c r="C101" s="9"/>
      <c r="D101" s="52"/>
    </row>
    <row r="102" spans="1:4" x14ac:dyDescent="0.25">
      <c r="A102" s="47">
        <v>367233704</v>
      </c>
      <c r="B102" s="9">
        <v>55872</v>
      </c>
      <c r="C102" s="9"/>
      <c r="D102" s="52"/>
    </row>
    <row r="103" spans="1:4" x14ac:dyDescent="0.25">
      <c r="A103" s="47">
        <v>368779273</v>
      </c>
      <c r="B103" s="9">
        <v>80189</v>
      </c>
      <c r="C103" s="9"/>
      <c r="D103" s="52"/>
    </row>
    <row r="104" spans="1:4" x14ac:dyDescent="0.25">
      <c r="A104" s="47">
        <v>369116460</v>
      </c>
      <c r="B104" s="9">
        <v>65808</v>
      </c>
      <c r="C104" s="9"/>
      <c r="D104" s="52"/>
    </row>
    <row r="105" spans="1:4" x14ac:dyDescent="0.25">
      <c r="A105" s="47">
        <v>369930276</v>
      </c>
      <c r="B105" s="9">
        <v>82872</v>
      </c>
      <c r="C105" s="9"/>
      <c r="D105" s="52"/>
    </row>
    <row r="106" spans="1:4" x14ac:dyDescent="0.25">
      <c r="A106" s="47">
        <v>369935976</v>
      </c>
      <c r="B106" s="9">
        <v>57900</v>
      </c>
      <c r="C106" s="9"/>
      <c r="D106" s="52"/>
    </row>
    <row r="107" spans="1:4" x14ac:dyDescent="0.25">
      <c r="A107" s="47">
        <v>370839719</v>
      </c>
      <c r="B107" s="9">
        <v>105600</v>
      </c>
      <c r="C107" s="9"/>
      <c r="D107" s="52"/>
    </row>
    <row r="108" spans="1:4" x14ac:dyDescent="0.25">
      <c r="A108" s="47">
        <v>373224173</v>
      </c>
      <c r="B108" s="9">
        <v>75684</v>
      </c>
      <c r="C108" s="9"/>
      <c r="D108" s="52"/>
    </row>
    <row r="109" spans="1:4" x14ac:dyDescent="0.25">
      <c r="A109" s="47">
        <v>374122989</v>
      </c>
      <c r="B109" s="9">
        <v>71304</v>
      </c>
      <c r="C109" s="9"/>
      <c r="D109" s="52"/>
    </row>
    <row r="110" spans="1:4" x14ac:dyDescent="0.25">
      <c r="A110" s="47">
        <v>374570449</v>
      </c>
      <c r="B110" s="9">
        <v>40214</v>
      </c>
      <c r="C110" s="9"/>
      <c r="D110" s="3"/>
    </row>
    <row r="111" spans="1:4" x14ac:dyDescent="0.25">
      <c r="A111" s="47">
        <v>374937870</v>
      </c>
      <c r="B111" s="9">
        <v>45144</v>
      </c>
      <c r="C111" s="9"/>
      <c r="D111" s="3"/>
    </row>
    <row r="112" spans="1:4" x14ac:dyDescent="0.25">
      <c r="A112" s="47">
        <v>376486217</v>
      </c>
      <c r="B112" s="9">
        <v>36360</v>
      </c>
      <c r="C112" s="9"/>
      <c r="D112" s="3"/>
    </row>
    <row r="113" spans="1:4" x14ac:dyDescent="0.25">
      <c r="A113" s="47">
        <v>379046197</v>
      </c>
      <c r="B113" s="9">
        <v>99312</v>
      </c>
      <c r="C113" s="9"/>
      <c r="D113" s="3"/>
    </row>
    <row r="114" spans="1:4" x14ac:dyDescent="0.25">
      <c r="A114" s="47">
        <v>380347618</v>
      </c>
      <c r="B114" s="9">
        <v>90072</v>
      </c>
      <c r="C114" s="9"/>
      <c r="D114" s="3"/>
    </row>
    <row r="115" spans="1:4" x14ac:dyDescent="0.25">
      <c r="A115" s="47">
        <v>383954717</v>
      </c>
      <c r="B115" s="9">
        <v>69120</v>
      </c>
      <c r="C115" s="9"/>
      <c r="D115" s="3"/>
    </row>
    <row r="116" spans="1:4" x14ac:dyDescent="0.25">
      <c r="A116" s="47">
        <v>384360598</v>
      </c>
      <c r="B116" s="9">
        <v>105540</v>
      </c>
      <c r="C116" s="9"/>
      <c r="D116" s="3"/>
    </row>
    <row r="117" spans="1:4" x14ac:dyDescent="0.25">
      <c r="A117" s="47">
        <v>385444518</v>
      </c>
      <c r="B117" s="9">
        <v>73896</v>
      </c>
      <c r="C117" s="9"/>
      <c r="D117" s="3"/>
    </row>
    <row r="118" spans="1:4" x14ac:dyDescent="0.25">
      <c r="A118" s="47">
        <v>385598789</v>
      </c>
      <c r="B118" s="9">
        <v>85344</v>
      </c>
      <c r="C118" s="9"/>
      <c r="D118" s="3"/>
    </row>
    <row r="119" spans="1:4" x14ac:dyDescent="0.25">
      <c r="A119" s="47">
        <v>386204234</v>
      </c>
      <c r="B119" s="9">
        <v>38184</v>
      </c>
      <c r="C119" s="9"/>
      <c r="D119" s="3"/>
    </row>
    <row r="120" spans="1:4" x14ac:dyDescent="0.25">
      <c r="A120" s="47">
        <v>386297748</v>
      </c>
      <c r="B120" s="9">
        <v>78864</v>
      </c>
      <c r="C120" s="9"/>
      <c r="D120" s="3"/>
    </row>
    <row r="121" spans="1:4" x14ac:dyDescent="0.25">
      <c r="A121" s="47">
        <v>386437091</v>
      </c>
      <c r="B121" s="9">
        <v>53784</v>
      </c>
      <c r="C121" s="9"/>
      <c r="D121" s="3"/>
    </row>
    <row r="122" spans="1:4" x14ac:dyDescent="0.25">
      <c r="A122" s="47">
        <v>386737148</v>
      </c>
      <c r="B122" s="9">
        <v>88128</v>
      </c>
      <c r="C122" s="9"/>
      <c r="D122" s="3"/>
    </row>
    <row r="123" spans="1:4" x14ac:dyDescent="0.25">
      <c r="A123" s="47">
        <v>388222520</v>
      </c>
      <c r="B123" s="9">
        <v>53626</v>
      </c>
      <c r="C123" s="9"/>
      <c r="D123" s="3"/>
    </row>
    <row r="124" spans="1:4" x14ac:dyDescent="0.25">
      <c r="A124" s="47">
        <v>390195946</v>
      </c>
      <c r="B124" s="9">
        <v>85560</v>
      </c>
      <c r="C124" s="9"/>
      <c r="D124" s="3"/>
    </row>
    <row r="125" spans="1:4" x14ac:dyDescent="0.25">
      <c r="A125" s="47">
        <v>392148924</v>
      </c>
      <c r="B125" s="9">
        <v>43956</v>
      </c>
      <c r="C125" s="9"/>
      <c r="D125" s="3"/>
    </row>
    <row r="126" spans="1:4" x14ac:dyDescent="0.25">
      <c r="A126" s="47">
        <v>394048134</v>
      </c>
      <c r="B126" s="9">
        <v>51144</v>
      </c>
      <c r="C126" s="9"/>
      <c r="D126" s="3"/>
    </row>
    <row r="127" spans="1:4" x14ac:dyDescent="0.25">
      <c r="A127" s="47">
        <v>394231597</v>
      </c>
      <c r="B127" s="9">
        <v>62856</v>
      </c>
      <c r="C127" s="9"/>
      <c r="D127" s="3"/>
    </row>
    <row r="128" spans="1:4" x14ac:dyDescent="0.25">
      <c r="A128" s="47">
        <v>395147453</v>
      </c>
      <c r="B128" s="9">
        <v>53112</v>
      </c>
      <c r="C128" s="9"/>
      <c r="D128" s="3"/>
    </row>
    <row r="129" spans="1:4" x14ac:dyDescent="0.25">
      <c r="A129" s="47">
        <v>395280299</v>
      </c>
      <c r="B129" s="9">
        <v>98988</v>
      </c>
      <c r="C129" s="9"/>
      <c r="D129" s="3"/>
    </row>
    <row r="130" spans="1:4" x14ac:dyDescent="0.25">
      <c r="A130" s="47">
        <v>396165722</v>
      </c>
      <c r="B130" s="9">
        <v>72084</v>
      </c>
      <c r="C130" s="9"/>
      <c r="D130" s="3"/>
    </row>
    <row r="131" spans="1:4" x14ac:dyDescent="0.25">
      <c r="A131" s="47">
        <v>397872991</v>
      </c>
      <c r="B131" s="9">
        <v>54132</v>
      </c>
      <c r="C131" s="9"/>
      <c r="D131" s="3"/>
    </row>
    <row r="132" spans="1:4" x14ac:dyDescent="0.25">
      <c r="A132" s="47">
        <v>398817580</v>
      </c>
      <c r="B132" s="9">
        <v>36576</v>
      </c>
      <c r="C132" s="9"/>
      <c r="D132" s="3"/>
    </row>
    <row r="133" spans="1:4" x14ac:dyDescent="0.25">
      <c r="A133" s="47">
        <v>399459388</v>
      </c>
      <c r="B133" s="9">
        <v>60288</v>
      </c>
      <c r="C133" s="9"/>
      <c r="D133" s="3"/>
    </row>
    <row r="134" spans="1:4" x14ac:dyDescent="0.25">
      <c r="A134" s="47">
        <v>399803849</v>
      </c>
      <c r="B134" s="9">
        <v>54924</v>
      </c>
      <c r="C134" s="9"/>
      <c r="D134" s="3"/>
    </row>
    <row r="135" spans="1:4" x14ac:dyDescent="0.25">
      <c r="A135" s="47">
        <v>400745371</v>
      </c>
      <c r="B135" s="9">
        <v>46992</v>
      </c>
      <c r="C135" s="9"/>
      <c r="D135" s="3"/>
    </row>
    <row r="136" spans="1:4" x14ac:dyDescent="0.25">
      <c r="A136" s="47">
        <v>401833190</v>
      </c>
      <c r="B136" s="9">
        <v>102156</v>
      </c>
      <c r="C136" s="9"/>
      <c r="D136" s="3"/>
    </row>
    <row r="137" spans="1:4" x14ac:dyDescent="0.25">
      <c r="A137" s="47">
        <v>403267679</v>
      </c>
      <c r="B137" s="9">
        <v>65962</v>
      </c>
      <c r="C137" s="9"/>
      <c r="D137" s="3"/>
    </row>
    <row r="138" spans="1:4" x14ac:dyDescent="0.25">
      <c r="A138" s="47">
        <v>403602015</v>
      </c>
      <c r="B138" s="9">
        <v>82164</v>
      </c>
      <c r="C138" s="9"/>
      <c r="D138" s="3"/>
    </row>
    <row r="139" spans="1:4" x14ac:dyDescent="0.25">
      <c r="A139" s="47">
        <v>403640633</v>
      </c>
      <c r="B139" s="9">
        <v>103056</v>
      </c>
      <c r="C139" s="9"/>
      <c r="D139" s="3"/>
    </row>
    <row r="140" spans="1:4" x14ac:dyDescent="0.25">
      <c r="A140" s="47">
        <v>408470089</v>
      </c>
      <c r="B140" s="9">
        <v>48067</v>
      </c>
      <c r="C140" s="9"/>
      <c r="D140" s="3"/>
    </row>
    <row r="141" spans="1:4" x14ac:dyDescent="0.25">
      <c r="A141" s="47">
        <v>410725553</v>
      </c>
      <c r="B141" s="9">
        <v>106584</v>
      </c>
      <c r="C141" s="9"/>
      <c r="D141" s="3"/>
    </row>
    <row r="142" spans="1:4" x14ac:dyDescent="0.25">
      <c r="A142" s="47">
        <v>412899031</v>
      </c>
      <c r="B142" s="9">
        <v>44419</v>
      </c>
      <c r="C142" s="9"/>
      <c r="D142" s="3"/>
    </row>
    <row r="143" spans="1:4" x14ac:dyDescent="0.25">
      <c r="A143" s="47">
        <v>413456161</v>
      </c>
      <c r="B143" s="9">
        <v>45300</v>
      </c>
      <c r="C143" s="9"/>
      <c r="D143" s="3"/>
    </row>
    <row r="144" spans="1:4" x14ac:dyDescent="0.25">
      <c r="A144" s="47">
        <v>414391945</v>
      </c>
      <c r="B144" s="9">
        <v>99624</v>
      </c>
      <c r="C144" s="9"/>
      <c r="D144" s="3"/>
    </row>
    <row r="145" spans="1:4" x14ac:dyDescent="0.25">
      <c r="A145" s="47">
        <v>416421062</v>
      </c>
      <c r="B145" s="9">
        <v>55968</v>
      </c>
      <c r="C145" s="9"/>
      <c r="D145" s="3"/>
    </row>
    <row r="146" spans="1:4" x14ac:dyDescent="0.25">
      <c r="A146" s="47">
        <v>417660956</v>
      </c>
      <c r="B146" s="9">
        <v>47616</v>
      </c>
      <c r="C146" s="9"/>
      <c r="D146" s="3"/>
    </row>
    <row r="147" spans="1:4" x14ac:dyDescent="0.25">
      <c r="A147" s="47">
        <v>418963336</v>
      </c>
      <c r="B147" s="9">
        <v>29848</v>
      </c>
      <c r="C147" s="9"/>
      <c r="D147" s="3"/>
    </row>
    <row r="148" spans="1:4" x14ac:dyDescent="0.25">
      <c r="A148" s="47">
        <v>419598829</v>
      </c>
      <c r="B148" s="9">
        <v>55332</v>
      </c>
      <c r="C148" s="9"/>
      <c r="D148" s="3"/>
    </row>
    <row r="149" spans="1:4" x14ac:dyDescent="0.25">
      <c r="A149" s="47">
        <v>422431873</v>
      </c>
      <c r="B149" s="9">
        <v>65040</v>
      </c>
      <c r="C149" s="9"/>
      <c r="D149" s="3"/>
    </row>
    <row r="150" spans="1:4" x14ac:dyDescent="0.25">
      <c r="A150" s="47">
        <v>426379244</v>
      </c>
      <c r="B150" s="9">
        <v>72960</v>
      </c>
      <c r="C150" s="9"/>
      <c r="D150" s="3"/>
    </row>
    <row r="151" spans="1:4" x14ac:dyDescent="0.25">
      <c r="A151" s="47">
        <v>426586315</v>
      </c>
      <c r="B151" s="9">
        <v>43476</v>
      </c>
      <c r="C151" s="9"/>
      <c r="D151" s="3"/>
    </row>
    <row r="152" spans="1:4" x14ac:dyDescent="0.25">
      <c r="A152" s="47">
        <v>428953973</v>
      </c>
      <c r="B152" s="9">
        <v>70692</v>
      </c>
      <c r="C152" s="9"/>
      <c r="D152" s="3"/>
    </row>
    <row r="153" spans="1:4" x14ac:dyDescent="0.25">
      <c r="A153" s="47">
        <v>429140546</v>
      </c>
      <c r="B153" s="9">
        <v>67980</v>
      </c>
      <c r="C153" s="9"/>
      <c r="D153" s="3"/>
    </row>
    <row r="154" spans="1:4" x14ac:dyDescent="0.25">
      <c r="A154" s="47">
        <v>430032923</v>
      </c>
      <c r="B154" s="9">
        <v>52320</v>
      </c>
      <c r="C154" s="9"/>
      <c r="D154" s="3"/>
    </row>
    <row r="155" spans="1:4" x14ac:dyDescent="0.25">
      <c r="A155" s="47">
        <v>431246457</v>
      </c>
      <c r="B155" s="9">
        <v>60240</v>
      </c>
      <c r="C155" s="9"/>
      <c r="D155" s="3"/>
    </row>
    <row r="156" spans="1:4" x14ac:dyDescent="0.25">
      <c r="A156" s="47">
        <v>431614186</v>
      </c>
      <c r="B156" s="9">
        <v>68832</v>
      </c>
      <c r="C156" s="9"/>
      <c r="D156" s="3"/>
    </row>
    <row r="157" spans="1:4" x14ac:dyDescent="0.25">
      <c r="A157" s="47">
        <v>432267456</v>
      </c>
      <c r="B157" s="9">
        <v>88788</v>
      </c>
      <c r="C157" s="9"/>
      <c r="D157" s="3"/>
    </row>
    <row r="158" spans="1:4" x14ac:dyDescent="0.25">
      <c r="A158" s="47">
        <v>433537440</v>
      </c>
      <c r="B158" s="9">
        <v>51955</v>
      </c>
      <c r="C158" s="9"/>
      <c r="D158" s="3"/>
    </row>
    <row r="159" spans="1:4" x14ac:dyDescent="0.25">
      <c r="A159" s="47">
        <v>433539999</v>
      </c>
      <c r="B159" s="9">
        <v>63264</v>
      </c>
      <c r="C159" s="9"/>
      <c r="D159" s="3"/>
    </row>
    <row r="160" spans="1:4" x14ac:dyDescent="0.25">
      <c r="A160" s="47">
        <v>434315678</v>
      </c>
      <c r="B160" s="9">
        <v>93288</v>
      </c>
      <c r="C160" s="9"/>
      <c r="D160" s="3"/>
    </row>
    <row r="161" spans="1:4" x14ac:dyDescent="0.25">
      <c r="A161" s="47">
        <v>434944028</v>
      </c>
      <c r="B161" s="9">
        <v>65496</v>
      </c>
      <c r="C161" s="9"/>
      <c r="D161" s="3"/>
    </row>
    <row r="162" spans="1:4" x14ac:dyDescent="0.25">
      <c r="A162" s="47">
        <v>436430244</v>
      </c>
      <c r="B162" s="9">
        <v>47544</v>
      </c>
      <c r="C162" s="9"/>
      <c r="D162" s="3"/>
    </row>
    <row r="163" spans="1:4" x14ac:dyDescent="0.25">
      <c r="A163" s="47">
        <v>436780727</v>
      </c>
      <c r="B163" s="9">
        <v>71220</v>
      </c>
      <c r="C163" s="9"/>
      <c r="D163" s="3"/>
    </row>
    <row r="164" spans="1:4" x14ac:dyDescent="0.25">
      <c r="A164" s="47">
        <v>437670654</v>
      </c>
      <c r="B164" s="9">
        <v>38628</v>
      </c>
      <c r="C164" s="9"/>
      <c r="D164" s="3"/>
    </row>
    <row r="165" spans="1:4" x14ac:dyDescent="0.25">
      <c r="A165" s="47">
        <v>439358556</v>
      </c>
      <c r="B165" s="9">
        <v>35304</v>
      </c>
      <c r="C165" s="9"/>
      <c r="D165" s="3"/>
    </row>
    <row r="166" spans="1:4" x14ac:dyDescent="0.25">
      <c r="A166" s="47">
        <v>441647620</v>
      </c>
      <c r="B166" s="9">
        <v>104436</v>
      </c>
      <c r="C166" s="9"/>
      <c r="D166" s="3"/>
    </row>
    <row r="167" spans="1:4" x14ac:dyDescent="0.25">
      <c r="A167" s="47">
        <v>442200011</v>
      </c>
      <c r="B167" s="9">
        <v>83304</v>
      </c>
      <c r="C167" s="9"/>
      <c r="D167" s="3"/>
    </row>
    <row r="168" spans="1:4" x14ac:dyDescent="0.25">
      <c r="A168" s="47">
        <v>442590743</v>
      </c>
      <c r="B168" s="9">
        <v>71184</v>
      </c>
      <c r="C168" s="9"/>
      <c r="D168" s="3"/>
    </row>
    <row r="169" spans="1:4" x14ac:dyDescent="0.25">
      <c r="A169" s="47">
        <v>442809974</v>
      </c>
      <c r="B169" s="9">
        <v>96144</v>
      </c>
      <c r="C169" s="9"/>
      <c r="D169" s="3"/>
    </row>
    <row r="170" spans="1:4" x14ac:dyDescent="0.25">
      <c r="A170" s="47">
        <v>446407011</v>
      </c>
      <c r="B170" s="9">
        <v>68304</v>
      </c>
      <c r="C170" s="9"/>
      <c r="D170" s="3"/>
    </row>
    <row r="171" spans="1:4" x14ac:dyDescent="0.25">
      <c r="A171" s="47">
        <v>446525025</v>
      </c>
      <c r="B171" s="9">
        <v>54384</v>
      </c>
      <c r="C171" s="9"/>
      <c r="D171" s="3"/>
    </row>
    <row r="172" spans="1:4" x14ac:dyDescent="0.25">
      <c r="A172" s="47">
        <v>447730596</v>
      </c>
      <c r="B172" s="9">
        <v>40572</v>
      </c>
      <c r="C172" s="9"/>
      <c r="D172" s="3"/>
    </row>
    <row r="173" spans="1:4" x14ac:dyDescent="0.25">
      <c r="A173" s="47">
        <v>448283728</v>
      </c>
      <c r="B173" s="9">
        <v>82896</v>
      </c>
      <c r="C173" s="9"/>
      <c r="D173" s="3"/>
    </row>
    <row r="174" spans="1:4" x14ac:dyDescent="0.25">
      <c r="A174" s="47">
        <v>450632923</v>
      </c>
      <c r="B174" s="9">
        <v>87828</v>
      </c>
      <c r="C174" s="9"/>
      <c r="D174" s="3"/>
    </row>
    <row r="175" spans="1:4" x14ac:dyDescent="0.25">
      <c r="A175" s="47">
        <v>456316367</v>
      </c>
      <c r="B175" s="9">
        <v>75348</v>
      </c>
      <c r="C175" s="9"/>
      <c r="D175" s="3"/>
    </row>
    <row r="176" spans="1:4" x14ac:dyDescent="0.25">
      <c r="A176" s="47">
        <v>457102942</v>
      </c>
      <c r="B176" s="9">
        <v>48072</v>
      </c>
      <c r="C176" s="9"/>
      <c r="D176" s="3"/>
    </row>
    <row r="177" spans="1:4" x14ac:dyDescent="0.25">
      <c r="A177" s="47">
        <v>457735786</v>
      </c>
      <c r="B177" s="9">
        <v>57024</v>
      </c>
      <c r="C177" s="9"/>
      <c r="D177" s="3"/>
    </row>
    <row r="178" spans="1:4" x14ac:dyDescent="0.25">
      <c r="A178" s="47">
        <v>457766036</v>
      </c>
      <c r="B178" s="9">
        <v>93384</v>
      </c>
      <c r="C178" s="9"/>
      <c r="D178" s="3"/>
    </row>
    <row r="179" spans="1:4" x14ac:dyDescent="0.25">
      <c r="A179" s="47">
        <v>459802460</v>
      </c>
      <c r="B179" s="9">
        <v>57144</v>
      </c>
      <c r="C179" s="9"/>
      <c r="D179" s="3"/>
    </row>
    <row r="180" spans="1:4" x14ac:dyDescent="0.25">
      <c r="A180" s="47">
        <v>462260004</v>
      </c>
      <c r="B180" s="9">
        <v>49938</v>
      </c>
      <c r="C180" s="9"/>
      <c r="D180" s="3"/>
    </row>
    <row r="181" spans="1:4" x14ac:dyDescent="0.25">
      <c r="A181" s="47">
        <v>462930149</v>
      </c>
      <c r="B181" s="9">
        <v>47424</v>
      </c>
      <c r="C181" s="9"/>
      <c r="D181" s="3"/>
    </row>
    <row r="182" spans="1:4" x14ac:dyDescent="0.25">
      <c r="A182" s="47">
        <v>463485749</v>
      </c>
      <c r="B182" s="9">
        <v>85788</v>
      </c>
      <c r="C182" s="9"/>
      <c r="D182" s="3"/>
    </row>
    <row r="183" spans="1:4" x14ac:dyDescent="0.25">
      <c r="A183" s="47">
        <v>464336055</v>
      </c>
      <c r="B183" s="9">
        <v>39667</v>
      </c>
      <c r="C183" s="9"/>
      <c r="D183" s="3"/>
    </row>
    <row r="184" spans="1:4" x14ac:dyDescent="0.25">
      <c r="A184" s="47">
        <v>464680006</v>
      </c>
      <c r="B184" s="9">
        <v>38520</v>
      </c>
      <c r="C184" s="9"/>
      <c r="D184" s="3"/>
    </row>
    <row r="185" spans="1:4" x14ac:dyDescent="0.25">
      <c r="A185" s="47">
        <v>468195264</v>
      </c>
      <c r="B185" s="9">
        <v>72456</v>
      </c>
      <c r="C185" s="9"/>
      <c r="D185" s="3"/>
    </row>
    <row r="186" spans="1:4" x14ac:dyDescent="0.25">
      <c r="A186" s="47">
        <v>470402573</v>
      </c>
      <c r="B186" s="9">
        <v>75847</v>
      </c>
      <c r="C186" s="9"/>
      <c r="D186" s="3"/>
    </row>
    <row r="187" spans="1:4" x14ac:dyDescent="0.25">
      <c r="A187" s="47">
        <v>470405426</v>
      </c>
      <c r="B187" s="9">
        <v>54216</v>
      </c>
      <c r="C187" s="9"/>
      <c r="D187" s="3"/>
    </row>
    <row r="188" spans="1:4" x14ac:dyDescent="0.25">
      <c r="A188" s="47">
        <v>471140297</v>
      </c>
      <c r="B188" s="9">
        <v>39402</v>
      </c>
      <c r="C188" s="9"/>
      <c r="D188" s="3"/>
    </row>
    <row r="189" spans="1:4" x14ac:dyDescent="0.25">
      <c r="A189" s="47">
        <v>472411977</v>
      </c>
      <c r="B189" s="9">
        <v>63324</v>
      </c>
      <c r="C189" s="9"/>
      <c r="D189" s="3"/>
    </row>
    <row r="190" spans="1:4" x14ac:dyDescent="0.25">
      <c r="A190" s="47">
        <v>473029418</v>
      </c>
      <c r="B190" s="9">
        <v>38832</v>
      </c>
      <c r="C190" s="9"/>
      <c r="D190" s="3"/>
    </row>
    <row r="191" spans="1:4" x14ac:dyDescent="0.25">
      <c r="A191" s="47">
        <v>473250095</v>
      </c>
      <c r="B191" s="9">
        <v>44213</v>
      </c>
      <c r="C191" s="9"/>
      <c r="D191" s="3"/>
    </row>
    <row r="192" spans="1:4" x14ac:dyDescent="0.25">
      <c r="A192" s="47">
        <v>474853412</v>
      </c>
      <c r="B192" s="9">
        <v>47418</v>
      </c>
      <c r="C192" s="9"/>
      <c r="D192" s="3"/>
    </row>
    <row r="193" spans="1:4" x14ac:dyDescent="0.25">
      <c r="A193" s="47">
        <v>475294559</v>
      </c>
      <c r="B193" s="9">
        <v>95256</v>
      </c>
      <c r="C193" s="9"/>
      <c r="D193" s="3"/>
    </row>
    <row r="194" spans="1:4" x14ac:dyDescent="0.25">
      <c r="A194" s="47">
        <v>477399962</v>
      </c>
      <c r="B194" s="9">
        <v>35448</v>
      </c>
      <c r="C194" s="9"/>
      <c r="D194" s="3"/>
    </row>
    <row r="195" spans="1:4" x14ac:dyDescent="0.25">
      <c r="A195" s="47">
        <v>478522689</v>
      </c>
      <c r="B195" s="9">
        <v>50208</v>
      </c>
      <c r="C195" s="9"/>
      <c r="D195" s="3"/>
    </row>
    <row r="196" spans="1:4" x14ac:dyDescent="0.25">
      <c r="A196" s="47">
        <v>480283398</v>
      </c>
      <c r="B196" s="9">
        <v>102360</v>
      </c>
      <c r="C196" s="9"/>
      <c r="D196" s="3"/>
    </row>
    <row r="197" spans="1:4" x14ac:dyDescent="0.25">
      <c r="A197" s="47">
        <v>482078838</v>
      </c>
      <c r="B197" s="9">
        <v>38868</v>
      </c>
      <c r="C197" s="9"/>
      <c r="D197" s="3"/>
    </row>
    <row r="198" spans="1:4" x14ac:dyDescent="0.25">
      <c r="A198" s="47">
        <v>482454865</v>
      </c>
      <c r="B198" s="9">
        <v>49680</v>
      </c>
      <c r="C198" s="9"/>
      <c r="D198" s="3"/>
    </row>
    <row r="199" spans="1:4" x14ac:dyDescent="0.25">
      <c r="A199" s="47">
        <v>483693591</v>
      </c>
      <c r="B199" s="9">
        <v>55476</v>
      </c>
      <c r="C199" s="9"/>
      <c r="D199" s="3"/>
    </row>
    <row r="200" spans="1:4" x14ac:dyDescent="0.25">
      <c r="A200" s="47">
        <v>484439031</v>
      </c>
      <c r="B200" s="9">
        <v>93408</v>
      </c>
      <c r="C200" s="9"/>
      <c r="D200" s="3"/>
    </row>
    <row r="201" spans="1:4" x14ac:dyDescent="0.25">
      <c r="A201" s="47">
        <v>484917607</v>
      </c>
      <c r="B201" s="9">
        <v>97212</v>
      </c>
      <c r="C201" s="9"/>
      <c r="D201" s="3"/>
    </row>
    <row r="202" spans="1:4" x14ac:dyDescent="0.25">
      <c r="A202" s="47">
        <v>485131444</v>
      </c>
      <c r="B202" s="9">
        <v>69312</v>
      </c>
      <c r="C202" s="9"/>
      <c r="D202" s="3"/>
    </row>
    <row r="203" spans="1:4" x14ac:dyDescent="0.25">
      <c r="A203" s="47">
        <v>488199037</v>
      </c>
      <c r="B203" s="9">
        <v>92028</v>
      </c>
      <c r="C203" s="9"/>
      <c r="D203" s="3"/>
    </row>
    <row r="204" spans="1:4" x14ac:dyDescent="0.25">
      <c r="A204" s="47">
        <v>488346517</v>
      </c>
      <c r="B204" s="9">
        <v>59436</v>
      </c>
      <c r="C204" s="9"/>
      <c r="D204" s="3"/>
    </row>
    <row r="205" spans="1:4" x14ac:dyDescent="0.25">
      <c r="A205" s="47">
        <v>490090799</v>
      </c>
      <c r="B205" s="9">
        <v>53664</v>
      </c>
      <c r="C205" s="9"/>
      <c r="D205" s="3"/>
    </row>
    <row r="206" spans="1:4" x14ac:dyDescent="0.25">
      <c r="A206" s="47">
        <v>490161514</v>
      </c>
      <c r="B206" s="9">
        <v>89604</v>
      </c>
      <c r="C206" s="9"/>
      <c r="D206" s="3"/>
    </row>
    <row r="207" spans="1:4" x14ac:dyDescent="0.25">
      <c r="A207" s="47">
        <v>490194783</v>
      </c>
      <c r="B207" s="9">
        <v>102576</v>
      </c>
      <c r="C207" s="9"/>
      <c r="D207" s="3"/>
    </row>
    <row r="208" spans="1:4" x14ac:dyDescent="0.25">
      <c r="A208" s="47">
        <v>490890783</v>
      </c>
      <c r="B208" s="9">
        <v>39834</v>
      </c>
      <c r="C208" s="9"/>
      <c r="D208" s="3"/>
    </row>
    <row r="209" spans="1:4" x14ac:dyDescent="0.25">
      <c r="A209" s="47">
        <v>492379734</v>
      </c>
      <c r="B209" s="9">
        <v>48096</v>
      </c>
      <c r="C209" s="9"/>
      <c r="D209" s="3"/>
    </row>
    <row r="210" spans="1:4" x14ac:dyDescent="0.25">
      <c r="A210" s="47">
        <v>493805046</v>
      </c>
      <c r="B210" s="9">
        <v>60744</v>
      </c>
      <c r="C210" s="9"/>
      <c r="D210" s="3"/>
    </row>
    <row r="211" spans="1:4" x14ac:dyDescent="0.25">
      <c r="A211" s="47">
        <v>493980895</v>
      </c>
      <c r="B211" s="9">
        <v>78300</v>
      </c>
      <c r="C211" s="9"/>
      <c r="D211" s="3"/>
    </row>
    <row r="212" spans="1:4" x14ac:dyDescent="0.25">
      <c r="A212" s="47">
        <v>494668785</v>
      </c>
      <c r="B212" s="9">
        <v>82692</v>
      </c>
      <c r="C212" s="9"/>
      <c r="D212" s="3"/>
    </row>
    <row r="213" spans="1:4" x14ac:dyDescent="0.25">
      <c r="A213" s="47">
        <v>501034031</v>
      </c>
      <c r="B213" s="9">
        <v>106968</v>
      </c>
      <c r="C213" s="9"/>
      <c r="D213" s="3"/>
    </row>
    <row r="214" spans="1:4" x14ac:dyDescent="0.25">
      <c r="A214" s="47">
        <v>501799020</v>
      </c>
      <c r="B214" s="9">
        <v>35309</v>
      </c>
      <c r="C214" s="9"/>
      <c r="D214" s="3"/>
    </row>
    <row r="215" spans="1:4" x14ac:dyDescent="0.25">
      <c r="A215" s="47">
        <v>503043683</v>
      </c>
      <c r="B215" s="9">
        <v>81468</v>
      </c>
      <c r="C215" s="9"/>
      <c r="D215" s="3"/>
    </row>
    <row r="216" spans="1:4" x14ac:dyDescent="0.25">
      <c r="A216" s="47">
        <v>504001831</v>
      </c>
      <c r="B216" s="9">
        <v>46932</v>
      </c>
      <c r="C216" s="9"/>
      <c r="D216" s="3"/>
    </row>
    <row r="217" spans="1:4" x14ac:dyDescent="0.25">
      <c r="A217" s="47">
        <v>505001652</v>
      </c>
      <c r="B217" s="9">
        <v>56052</v>
      </c>
      <c r="C217" s="9"/>
      <c r="D217" s="3"/>
    </row>
    <row r="218" spans="1:4" x14ac:dyDescent="0.25">
      <c r="A218" s="47">
        <v>506936984</v>
      </c>
      <c r="B218" s="9">
        <v>52584</v>
      </c>
      <c r="C218" s="9"/>
      <c r="D218" s="3"/>
    </row>
    <row r="219" spans="1:4" x14ac:dyDescent="0.25">
      <c r="A219" s="47">
        <v>510870401</v>
      </c>
      <c r="B219" s="9">
        <v>98376</v>
      </c>
      <c r="C219" s="9"/>
      <c r="D219" s="3"/>
    </row>
    <row r="220" spans="1:4" x14ac:dyDescent="0.25">
      <c r="A220" s="47">
        <v>511447030</v>
      </c>
      <c r="B220" s="9">
        <v>86184</v>
      </c>
      <c r="C220" s="9"/>
      <c r="D220" s="3"/>
    </row>
    <row r="221" spans="1:4" x14ac:dyDescent="0.25">
      <c r="A221" s="47">
        <v>513351588</v>
      </c>
      <c r="B221" s="9">
        <v>56928</v>
      </c>
      <c r="C221" s="9"/>
      <c r="D221" s="3"/>
    </row>
    <row r="222" spans="1:4" x14ac:dyDescent="0.25">
      <c r="A222" s="47">
        <v>513664042</v>
      </c>
      <c r="B222" s="9">
        <v>52416</v>
      </c>
      <c r="C222" s="9"/>
      <c r="D222" s="3"/>
    </row>
    <row r="223" spans="1:4" x14ac:dyDescent="0.25">
      <c r="A223" s="47">
        <v>515820809</v>
      </c>
      <c r="B223" s="9">
        <v>98544</v>
      </c>
      <c r="C223" s="9"/>
      <c r="D223" s="3"/>
    </row>
    <row r="224" spans="1:4" x14ac:dyDescent="0.25">
      <c r="A224" s="47">
        <v>517056043</v>
      </c>
      <c r="B224" s="9">
        <v>86040</v>
      </c>
      <c r="C224" s="9"/>
      <c r="D224" s="3"/>
    </row>
    <row r="225" spans="1:4" x14ac:dyDescent="0.25">
      <c r="A225" s="47">
        <v>518150923</v>
      </c>
      <c r="B225" s="9">
        <v>82212</v>
      </c>
      <c r="C225" s="9"/>
      <c r="D225" s="3"/>
    </row>
    <row r="226" spans="1:4" x14ac:dyDescent="0.25">
      <c r="A226" s="47">
        <v>518908687</v>
      </c>
      <c r="B226" s="9">
        <v>79056</v>
      </c>
      <c r="C226" s="9"/>
      <c r="D226" s="3"/>
    </row>
    <row r="227" spans="1:4" x14ac:dyDescent="0.25">
      <c r="A227" s="47">
        <v>521594719</v>
      </c>
      <c r="B227" s="9">
        <v>92820</v>
      </c>
      <c r="C227" s="9"/>
      <c r="D227" s="3"/>
    </row>
    <row r="228" spans="1:4" x14ac:dyDescent="0.25">
      <c r="A228" s="47">
        <v>522423887</v>
      </c>
      <c r="B228" s="9">
        <v>80052</v>
      </c>
      <c r="C228" s="9"/>
      <c r="D228" s="3"/>
    </row>
    <row r="229" spans="1:4" x14ac:dyDescent="0.25">
      <c r="A229" s="47">
        <v>524097110</v>
      </c>
      <c r="B229" s="9">
        <v>73644</v>
      </c>
      <c r="C229" s="9"/>
      <c r="D229" s="3"/>
    </row>
    <row r="230" spans="1:4" x14ac:dyDescent="0.25">
      <c r="A230" s="47">
        <v>526569175</v>
      </c>
      <c r="B230" s="9">
        <v>55056</v>
      </c>
      <c r="C230" s="9"/>
      <c r="D230" s="3"/>
    </row>
    <row r="231" spans="1:4" x14ac:dyDescent="0.25">
      <c r="A231" s="47">
        <v>527972660</v>
      </c>
      <c r="B231" s="9">
        <v>56754</v>
      </c>
      <c r="C231" s="9"/>
      <c r="D231" s="3"/>
    </row>
    <row r="232" spans="1:4" x14ac:dyDescent="0.25">
      <c r="A232" s="47">
        <v>529531286</v>
      </c>
      <c r="B232" s="9">
        <v>54678</v>
      </c>
      <c r="C232" s="9"/>
      <c r="D232" s="3"/>
    </row>
    <row r="233" spans="1:4" x14ac:dyDescent="0.25">
      <c r="A233" s="47">
        <v>530320512</v>
      </c>
      <c r="B233" s="9">
        <v>103800</v>
      </c>
      <c r="C233" s="9"/>
      <c r="D233" s="3"/>
    </row>
    <row r="234" spans="1:4" x14ac:dyDescent="0.25">
      <c r="A234" s="47">
        <v>531550378</v>
      </c>
      <c r="B234" s="9">
        <v>42984</v>
      </c>
      <c r="C234" s="9"/>
      <c r="D234" s="3"/>
    </row>
    <row r="235" spans="1:4" x14ac:dyDescent="0.25">
      <c r="A235" s="47">
        <v>532548104</v>
      </c>
      <c r="B235" s="9">
        <v>70022</v>
      </c>
      <c r="C235" s="9"/>
      <c r="D235" s="3"/>
    </row>
    <row r="236" spans="1:4" x14ac:dyDescent="0.25">
      <c r="A236" s="47">
        <v>533023346</v>
      </c>
      <c r="B236" s="9">
        <v>77268</v>
      </c>
      <c r="C236" s="9"/>
      <c r="D236" s="3"/>
    </row>
    <row r="237" spans="1:4" x14ac:dyDescent="0.25">
      <c r="A237" s="47">
        <v>533139257</v>
      </c>
      <c r="B237" s="9">
        <v>91901</v>
      </c>
      <c r="C237" s="9"/>
      <c r="D237" s="3"/>
    </row>
    <row r="238" spans="1:4" x14ac:dyDescent="0.25">
      <c r="A238" s="47">
        <v>533164068</v>
      </c>
      <c r="B238" s="9">
        <v>68892</v>
      </c>
      <c r="C238" s="9"/>
      <c r="D238" s="3"/>
    </row>
    <row r="239" spans="1:4" x14ac:dyDescent="0.25">
      <c r="A239" s="47">
        <v>534160177</v>
      </c>
      <c r="B239" s="9">
        <v>42564</v>
      </c>
      <c r="C239" s="9"/>
      <c r="D239" s="3"/>
    </row>
    <row r="240" spans="1:4" x14ac:dyDescent="0.25">
      <c r="A240" s="47">
        <v>534985703</v>
      </c>
      <c r="B240" s="9">
        <v>53472</v>
      </c>
      <c r="C240" s="9"/>
      <c r="D240" s="3"/>
    </row>
    <row r="241" spans="1:4" x14ac:dyDescent="0.25">
      <c r="A241" s="47">
        <v>535208154</v>
      </c>
      <c r="B241" s="9">
        <v>68218</v>
      </c>
      <c r="C241" s="9"/>
      <c r="D241" s="3"/>
    </row>
    <row r="242" spans="1:4" x14ac:dyDescent="0.25">
      <c r="A242" s="47">
        <v>535554181</v>
      </c>
      <c r="B242" s="9">
        <v>40368</v>
      </c>
      <c r="C242" s="9"/>
      <c r="D242" s="3"/>
    </row>
    <row r="243" spans="1:4" x14ac:dyDescent="0.25">
      <c r="A243" s="47">
        <v>537348201</v>
      </c>
      <c r="B243" s="9">
        <v>55656</v>
      </c>
      <c r="C243" s="9"/>
      <c r="D243" s="3"/>
    </row>
    <row r="244" spans="1:4" x14ac:dyDescent="0.25">
      <c r="A244" s="47">
        <v>537451504</v>
      </c>
      <c r="B244" s="9">
        <v>88824</v>
      </c>
      <c r="C244" s="9"/>
      <c r="D244" s="3"/>
    </row>
    <row r="245" spans="1:4" x14ac:dyDescent="0.25">
      <c r="A245" s="47">
        <v>538093864</v>
      </c>
      <c r="B245" s="9">
        <v>53124</v>
      </c>
      <c r="C245" s="9"/>
      <c r="D245" s="3"/>
    </row>
    <row r="246" spans="1:4" x14ac:dyDescent="0.25">
      <c r="A246" s="47">
        <v>538138172</v>
      </c>
      <c r="B246" s="9">
        <v>85680</v>
      </c>
      <c r="C246" s="9"/>
      <c r="D246" s="3"/>
    </row>
    <row r="247" spans="1:4" x14ac:dyDescent="0.25">
      <c r="A247" s="47">
        <v>545322139</v>
      </c>
      <c r="B247" s="9">
        <v>75300</v>
      </c>
      <c r="C247" s="9"/>
      <c r="D247" s="3"/>
    </row>
    <row r="248" spans="1:4" x14ac:dyDescent="0.25">
      <c r="A248" s="47">
        <v>546853745</v>
      </c>
      <c r="B248" s="9">
        <v>73380</v>
      </c>
      <c r="C248" s="9"/>
      <c r="D248" s="3"/>
    </row>
    <row r="249" spans="1:4" x14ac:dyDescent="0.25">
      <c r="A249" s="47">
        <v>549412698</v>
      </c>
      <c r="B249" s="9">
        <v>73272</v>
      </c>
      <c r="C249" s="9"/>
      <c r="D249" s="3"/>
    </row>
    <row r="250" spans="1:4" x14ac:dyDescent="0.25">
      <c r="A250" s="47">
        <v>550086584</v>
      </c>
      <c r="B250" s="9">
        <v>56808</v>
      </c>
      <c r="C250" s="9"/>
      <c r="D250" s="3"/>
    </row>
    <row r="251" spans="1:4" x14ac:dyDescent="0.25">
      <c r="A251" s="47">
        <v>550165895</v>
      </c>
      <c r="B251" s="9">
        <v>84024</v>
      </c>
      <c r="C251" s="9"/>
      <c r="D251" s="3"/>
    </row>
    <row r="252" spans="1:4" x14ac:dyDescent="0.25">
      <c r="A252" s="47">
        <v>551497999</v>
      </c>
      <c r="B252" s="9">
        <v>76620</v>
      </c>
      <c r="C252" s="9"/>
      <c r="D252" s="3"/>
    </row>
    <row r="253" spans="1:4" x14ac:dyDescent="0.25">
      <c r="A253" s="47">
        <v>552791311</v>
      </c>
      <c r="B253" s="9">
        <v>88140</v>
      </c>
      <c r="C253" s="9"/>
      <c r="D253" s="3"/>
    </row>
    <row r="254" spans="1:4" x14ac:dyDescent="0.25">
      <c r="A254" s="47">
        <v>553640223</v>
      </c>
      <c r="B254" s="9">
        <v>45312</v>
      </c>
      <c r="C254" s="9"/>
      <c r="D254" s="3"/>
    </row>
    <row r="255" spans="1:4" x14ac:dyDescent="0.25">
      <c r="A255" s="47">
        <v>554711629</v>
      </c>
      <c r="B255" s="9">
        <v>69528</v>
      </c>
      <c r="C255" s="9"/>
      <c r="D255" s="3"/>
    </row>
    <row r="256" spans="1:4" x14ac:dyDescent="0.25">
      <c r="A256" s="47">
        <v>558284242</v>
      </c>
      <c r="B256" s="9">
        <v>67824</v>
      </c>
      <c r="C256" s="9"/>
      <c r="D256" s="3"/>
    </row>
    <row r="257" spans="1:4" x14ac:dyDescent="0.25">
      <c r="A257" s="47">
        <v>562496892</v>
      </c>
      <c r="B257" s="9">
        <v>94452</v>
      </c>
      <c r="C257" s="9"/>
      <c r="D257" s="3"/>
    </row>
    <row r="258" spans="1:4" x14ac:dyDescent="0.25">
      <c r="A258" s="47">
        <v>562519395</v>
      </c>
      <c r="B258" s="9">
        <v>88716</v>
      </c>
      <c r="C258" s="9"/>
      <c r="D258" s="3"/>
    </row>
    <row r="259" spans="1:4" x14ac:dyDescent="0.25">
      <c r="A259" s="47">
        <v>563798815</v>
      </c>
      <c r="B259" s="9">
        <v>69024</v>
      </c>
      <c r="C259" s="9"/>
      <c r="D259" s="3"/>
    </row>
    <row r="260" spans="1:4" x14ac:dyDescent="0.25">
      <c r="A260" s="47">
        <v>565329211</v>
      </c>
      <c r="B260" s="9">
        <v>46728</v>
      </c>
      <c r="C260" s="9"/>
      <c r="D260" s="3"/>
    </row>
    <row r="261" spans="1:4" x14ac:dyDescent="0.25">
      <c r="A261" s="47">
        <v>565360294</v>
      </c>
      <c r="B261" s="9">
        <v>70104</v>
      </c>
      <c r="C261" s="9"/>
      <c r="D261" s="3"/>
    </row>
    <row r="262" spans="1:4" x14ac:dyDescent="0.25">
      <c r="A262" s="47">
        <v>565807405</v>
      </c>
      <c r="B262" s="9">
        <v>49104</v>
      </c>
      <c r="C262" s="9"/>
      <c r="D262" s="3"/>
    </row>
    <row r="263" spans="1:4" x14ac:dyDescent="0.25">
      <c r="A263" s="47">
        <v>565878731</v>
      </c>
      <c r="B263" s="9">
        <v>55608</v>
      </c>
      <c r="C263" s="9"/>
      <c r="D263" s="3"/>
    </row>
    <row r="264" spans="1:4" x14ac:dyDescent="0.25">
      <c r="A264" s="47">
        <v>566029710</v>
      </c>
      <c r="B264" s="9">
        <v>93264</v>
      </c>
      <c r="C264" s="9"/>
      <c r="D264" s="3"/>
    </row>
    <row r="265" spans="1:4" x14ac:dyDescent="0.25">
      <c r="A265" s="47">
        <v>568238462</v>
      </c>
      <c r="B265" s="9">
        <v>103116</v>
      </c>
      <c r="C265" s="9"/>
      <c r="D265" s="3"/>
    </row>
    <row r="266" spans="1:4" x14ac:dyDescent="0.25">
      <c r="A266" s="47">
        <v>572457470</v>
      </c>
      <c r="B266" s="9">
        <v>54852</v>
      </c>
      <c r="C266" s="9"/>
      <c r="D266" s="3"/>
    </row>
    <row r="267" spans="1:4" x14ac:dyDescent="0.25">
      <c r="A267" s="47">
        <v>573438391</v>
      </c>
      <c r="B267" s="9">
        <v>64308</v>
      </c>
      <c r="C267" s="9"/>
      <c r="D267" s="3"/>
    </row>
    <row r="268" spans="1:4" x14ac:dyDescent="0.25">
      <c r="A268" s="47">
        <v>574616301</v>
      </c>
      <c r="B268" s="9">
        <v>89364</v>
      </c>
      <c r="C268" s="9"/>
      <c r="D268" s="3"/>
    </row>
    <row r="269" spans="1:4" x14ac:dyDescent="0.25">
      <c r="A269" s="47">
        <v>574620145</v>
      </c>
      <c r="B269" s="9">
        <v>65712</v>
      </c>
      <c r="C269" s="9"/>
      <c r="D269" s="3"/>
    </row>
    <row r="270" spans="1:4" x14ac:dyDescent="0.25">
      <c r="A270" s="47">
        <v>574686753</v>
      </c>
      <c r="B270" s="9">
        <v>81504</v>
      </c>
      <c r="C270" s="9"/>
      <c r="D270" s="3"/>
    </row>
    <row r="271" spans="1:4" x14ac:dyDescent="0.25">
      <c r="A271" s="47">
        <v>574750919</v>
      </c>
      <c r="B271" s="9">
        <v>90120</v>
      </c>
      <c r="C271" s="9"/>
      <c r="D271" s="3"/>
    </row>
    <row r="272" spans="1:4" x14ac:dyDescent="0.25">
      <c r="A272" s="47">
        <v>574776174</v>
      </c>
      <c r="B272" s="9">
        <v>51984</v>
      </c>
      <c r="C272" s="9"/>
      <c r="D272" s="3"/>
    </row>
    <row r="273" spans="1:4" x14ac:dyDescent="0.25">
      <c r="A273" s="47">
        <v>575042970</v>
      </c>
      <c r="B273" s="9">
        <v>56760</v>
      </c>
      <c r="C273" s="9"/>
      <c r="D273" s="3"/>
    </row>
    <row r="274" spans="1:4" x14ac:dyDescent="0.25">
      <c r="A274" s="47">
        <v>578023079</v>
      </c>
      <c r="B274" s="9">
        <v>83292</v>
      </c>
      <c r="C274" s="9"/>
      <c r="D274" s="3"/>
    </row>
    <row r="275" spans="1:4" x14ac:dyDescent="0.25">
      <c r="A275" s="47">
        <v>579529411</v>
      </c>
      <c r="B275" s="9">
        <v>45204</v>
      </c>
      <c r="C275" s="9"/>
      <c r="D275" s="3"/>
    </row>
    <row r="276" spans="1:4" x14ac:dyDescent="0.25">
      <c r="A276" s="47">
        <v>580757934</v>
      </c>
      <c r="B276" s="9">
        <v>51898</v>
      </c>
      <c r="C276" s="9"/>
      <c r="D276" s="3"/>
    </row>
    <row r="277" spans="1:4" x14ac:dyDescent="0.25">
      <c r="A277" s="47">
        <v>580787021</v>
      </c>
      <c r="B277" s="9">
        <v>53904</v>
      </c>
      <c r="C277" s="9"/>
      <c r="D277" s="3"/>
    </row>
    <row r="278" spans="1:4" x14ac:dyDescent="0.25">
      <c r="A278" s="47">
        <v>581894891</v>
      </c>
      <c r="B278" s="9">
        <v>103320</v>
      </c>
      <c r="C278" s="9"/>
      <c r="D278" s="3"/>
    </row>
    <row r="279" spans="1:4" x14ac:dyDescent="0.25">
      <c r="A279" s="47">
        <v>582796309</v>
      </c>
      <c r="B279" s="9">
        <v>97836</v>
      </c>
      <c r="C279" s="9"/>
      <c r="D279" s="3"/>
    </row>
    <row r="280" spans="1:4" x14ac:dyDescent="0.25">
      <c r="A280" s="47">
        <v>585349730</v>
      </c>
      <c r="B280" s="9">
        <v>60660</v>
      </c>
      <c r="C280" s="9"/>
      <c r="D280" s="3"/>
    </row>
    <row r="281" spans="1:4" x14ac:dyDescent="0.25">
      <c r="A281" s="47">
        <v>585896380</v>
      </c>
      <c r="B281" s="9">
        <v>69912</v>
      </c>
      <c r="C281" s="9"/>
      <c r="D281" s="3"/>
    </row>
    <row r="282" spans="1:4" x14ac:dyDescent="0.25">
      <c r="A282" s="47">
        <v>586355383</v>
      </c>
      <c r="B282" s="9">
        <v>101004</v>
      </c>
      <c r="C282" s="9"/>
      <c r="D282" s="3"/>
    </row>
    <row r="283" spans="1:4" x14ac:dyDescent="0.25">
      <c r="A283" s="47">
        <v>587213972</v>
      </c>
      <c r="B283" s="9">
        <v>35196</v>
      </c>
      <c r="C283" s="9"/>
      <c r="D283" s="3"/>
    </row>
    <row r="284" spans="1:4" x14ac:dyDescent="0.25">
      <c r="A284" s="47">
        <v>587739734</v>
      </c>
      <c r="B284" s="9">
        <v>69948</v>
      </c>
      <c r="C284" s="9"/>
      <c r="D284" s="3"/>
    </row>
    <row r="285" spans="1:4" x14ac:dyDescent="0.25">
      <c r="A285" s="47">
        <v>591475967</v>
      </c>
      <c r="B285" s="9">
        <v>107688</v>
      </c>
      <c r="C285" s="9"/>
      <c r="D285" s="3"/>
    </row>
    <row r="286" spans="1:4" x14ac:dyDescent="0.25">
      <c r="A286" s="47">
        <v>592710464</v>
      </c>
      <c r="B286" s="9">
        <v>47688</v>
      </c>
      <c r="C286" s="9"/>
      <c r="D286" s="3"/>
    </row>
    <row r="287" spans="1:4" x14ac:dyDescent="0.25">
      <c r="A287" s="47">
        <v>593072976</v>
      </c>
      <c r="B287" s="9">
        <v>36534</v>
      </c>
      <c r="C287" s="9"/>
      <c r="D287" s="3"/>
    </row>
    <row r="288" spans="1:4" x14ac:dyDescent="0.25">
      <c r="A288" s="47">
        <v>593345440</v>
      </c>
      <c r="B288" s="9">
        <v>36936</v>
      </c>
      <c r="C288" s="9"/>
      <c r="D288" s="3"/>
    </row>
    <row r="289" spans="1:4" x14ac:dyDescent="0.25">
      <c r="A289" s="47">
        <v>593447409</v>
      </c>
      <c r="B289" s="9">
        <v>80304</v>
      </c>
      <c r="C289" s="9"/>
      <c r="D289" s="3"/>
    </row>
    <row r="290" spans="1:4" x14ac:dyDescent="0.25">
      <c r="A290" s="47">
        <v>594960537</v>
      </c>
      <c r="B290" s="9">
        <v>61188</v>
      </c>
      <c r="C290" s="9"/>
      <c r="D290" s="3"/>
    </row>
    <row r="291" spans="1:4" x14ac:dyDescent="0.25">
      <c r="A291" s="47">
        <v>596942829</v>
      </c>
      <c r="B291" s="9">
        <v>79092</v>
      </c>
      <c r="C291" s="9"/>
      <c r="D291" s="3"/>
    </row>
    <row r="292" spans="1:4" x14ac:dyDescent="0.25">
      <c r="A292" s="47">
        <v>597519332</v>
      </c>
      <c r="B292" s="9">
        <v>39528</v>
      </c>
      <c r="C292" s="9"/>
      <c r="D292" s="3"/>
    </row>
    <row r="293" spans="1:4" x14ac:dyDescent="0.25">
      <c r="A293" s="47">
        <v>599070702</v>
      </c>
      <c r="B293" s="9">
        <v>39120</v>
      </c>
      <c r="C293" s="9"/>
      <c r="D293" s="3"/>
    </row>
    <row r="294" spans="1:4" x14ac:dyDescent="0.25">
      <c r="A294" s="47">
        <v>599869966</v>
      </c>
      <c r="B294" s="9">
        <v>74580</v>
      </c>
      <c r="C294" s="9"/>
      <c r="D294" s="3"/>
    </row>
    <row r="295" spans="1:4" x14ac:dyDescent="0.25">
      <c r="A295" s="47">
        <v>600018859</v>
      </c>
      <c r="B295" s="9">
        <v>54864</v>
      </c>
      <c r="C295" s="9"/>
      <c r="D295" s="3"/>
    </row>
    <row r="296" spans="1:4" x14ac:dyDescent="0.25">
      <c r="A296" s="47">
        <v>601982462</v>
      </c>
      <c r="B296" s="9">
        <v>63264</v>
      </c>
      <c r="C296" s="9"/>
      <c r="D296" s="3"/>
    </row>
    <row r="297" spans="1:4" x14ac:dyDescent="0.25">
      <c r="A297" s="47">
        <v>604875432</v>
      </c>
      <c r="B297" s="9">
        <v>58098</v>
      </c>
      <c r="C297" s="9"/>
      <c r="D297" s="3"/>
    </row>
    <row r="298" spans="1:4" x14ac:dyDescent="0.25">
      <c r="A298" s="47">
        <v>605112271</v>
      </c>
      <c r="B298" s="9">
        <v>96060</v>
      </c>
      <c r="C298" s="9"/>
      <c r="D298" s="3"/>
    </row>
    <row r="299" spans="1:4" x14ac:dyDescent="0.25">
      <c r="A299" s="47">
        <v>605707422</v>
      </c>
      <c r="B299" s="9">
        <v>56004</v>
      </c>
      <c r="C299" s="9"/>
      <c r="D299" s="3"/>
    </row>
    <row r="300" spans="1:4" x14ac:dyDescent="0.25">
      <c r="A300" s="47">
        <v>606100205</v>
      </c>
      <c r="B300" s="9">
        <v>36499</v>
      </c>
      <c r="C300" s="9"/>
      <c r="D300" s="3"/>
    </row>
    <row r="301" spans="1:4" x14ac:dyDescent="0.25">
      <c r="A301" s="47">
        <v>607793129</v>
      </c>
      <c r="B301" s="9">
        <v>46476</v>
      </c>
      <c r="C301" s="9"/>
      <c r="D301" s="3"/>
    </row>
    <row r="302" spans="1:4" x14ac:dyDescent="0.25">
      <c r="A302" s="47">
        <v>608429195</v>
      </c>
      <c r="B302" s="9">
        <v>77412</v>
      </c>
      <c r="C302" s="9"/>
      <c r="D302" s="3"/>
    </row>
    <row r="303" spans="1:4" x14ac:dyDescent="0.25">
      <c r="A303" s="47">
        <v>610305853</v>
      </c>
      <c r="B303" s="9">
        <v>38290</v>
      </c>
      <c r="C303" s="9"/>
      <c r="D303" s="3"/>
    </row>
    <row r="304" spans="1:4" x14ac:dyDescent="0.25">
      <c r="A304" s="47">
        <v>611588396</v>
      </c>
      <c r="B304" s="9">
        <v>97056</v>
      </c>
      <c r="C304" s="9"/>
      <c r="D304" s="3"/>
    </row>
    <row r="305" spans="1:4" x14ac:dyDescent="0.25">
      <c r="A305" s="47">
        <v>611810478</v>
      </c>
      <c r="B305" s="9">
        <v>49788</v>
      </c>
      <c r="C305" s="9"/>
      <c r="D305" s="3"/>
    </row>
    <row r="306" spans="1:4" x14ac:dyDescent="0.25">
      <c r="A306" s="47">
        <v>612875731</v>
      </c>
      <c r="B306" s="9">
        <v>37332</v>
      </c>
      <c r="C306" s="9"/>
      <c r="D306" s="3"/>
    </row>
    <row r="307" spans="1:4" x14ac:dyDescent="0.25">
      <c r="A307" s="47">
        <v>615379336</v>
      </c>
      <c r="B307" s="9">
        <v>54540</v>
      </c>
      <c r="C307" s="9"/>
      <c r="D307" s="3"/>
    </row>
    <row r="308" spans="1:4" x14ac:dyDescent="0.25">
      <c r="A308" s="47">
        <v>615544704</v>
      </c>
      <c r="B308" s="9">
        <v>64800</v>
      </c>
      <c r="C308" s="9"/>
      <c r="D308" s="3"/>
    </row>
    <row r="309" spans="1:4" x14ac:dyDescent="0.25">
      <c r="A309" s="47">
        <v>615923912</v>
      </c>
      <c r="B309" s="9">
        <v>87024</v>
      </c>
      <c r="C309" s="9"/>
      <c r="D309" s="3"/>
    </row>
    <row r="310" spans="1:4" x14ac:dyDescent="0.25">
      <c r="A310" s="47">
        <v>615926676</v>
      </c>
      <c r="B310" s="9">
        <v>40932</v>
      </c>
      <c r="C310" s="9"/>
      <c r="D310" s="3"/>
    </row>
    <row r="311" spans="1:4" x14ac:dyDescent="0.25">
      <c r="A311" s="47">
        <v>618391657</v>
      </c>
      <c r="B311" s="9">
        <v>45162</v>
      </c>
      <c r="C311" s="9"/>
      <c r="D311" s="3"/>
    </row>
    <row r="312" spans="1:4" x14ac:dyDescent="0.25">
      <c r="A312" s="47">
        <v>618716193</v>
      </c>
      <c r="B312" s="9">
        <v>45134</v>
      </c>
      <c r="C312" s="9"/>
      <c r="D312" s="3"/>
    </row>
    <row r="313" spans="1:4" x14ac:dyDescent="0.25">
      <c r="A313" s="47">
        <v>619778135</v>
      </c>
      <c r="B313" s="9">
        <v>60588</v>
      </c>
      <c r="C313" s="9"/>
      <c r="D313" s="3"/>
    </row>
    <row r="314" spans="1:4" x14ac:dyDescent="0.25">
      <c r="A314" s="47">
        <v>621671024</v>
      </c>
      <c r="B314" s="9">
        <v>80888</v>
      </c>
      <c r="C314" s="9"/>
      <c r="D314" s="3"/>
    </row>
    <row r="315" spans="1:4" x14ac:dyDescent="0.25">
      <c r="A315" s="47">
        <v>623824838</v>
      </c>
      <c r="B315" s="9">
        <v>89652</v>
      </c>
      <c r="C315" s="9"/>
      <c r="D315" s="3"/>
    </row>
    <row r="316" spans="1:4" x14ac:dyDescent="0.25">
      <c r="A316" s="47">
        <v>625182507</v>
      </c>
      <c r="B316" s="9">
        <v>58920</v>
      </c>
      <c r="C316" s="9"/>
      <c r="D316" s="3"/>
    </row>
    <row r="317" spans="1:4" x14ac:dyDescent="0.25">
      <c r="A317" s="47">
        <v>626776930</v>
      </c>
      <c r="B317" s="9">
        <v>84576</v>
      </c>
      <c r="C317" s="9"/>
      <c r="D317" s="3"/>
    </row>
    <row r="318" spans="1:4" x14ac:dyDescent="0.25">
      <c r="A318" s="47">
        <v>626944481</v>
      </c>
      <c r="B318" s="9">
        <v>62160</v>
      </c>
      <c r="C318" s="9"/>
      <c r="D318" s="3"/>
    </row>
    <row r="319" spans="1:4" x14ac:dyDescent="0.25">
      <c r="A319" s="47">
        <v>627751218</v>
      </c>
      <c r="B319" s="9">
        <v>83184</v>
      </c>
      <c r="C319" s="9"/>
      <c r="D319" s="3"/>
    </row>
    <row r="320" spans="1:4" x14ac:dyDescent="0.25">
      <c r="A320" s="47">
        <v>630342120</v>
      </c>
      <c r="B320" s="9">
        <v>79728</v>
      </c>
      <c r="C320" s="9"/>
      <c r="D320" s="3"/>
    </row>
    <row r="321" spans="1:4" x14ac:dyDescent="0.25">
      <c r="A321" s="47">
        <v>630360795</v>
      </c>
      <c r="B321" s="9">
        <v>91430</v>
      </c>
      <c r="C321" s="9"/>
      <c r="D321" s="3"/>
    </row>
    <row r="322" spans="1:4" x14ac:dyDescent="0.25">
      <c r="A322" s="47">
        <v>630933700</v>
      </c>
      <c r="B322" s="9">
        <v>59556</v>
      </c>
      <c r="C322" s="9"/>
      <c r="D322" s="3"/>
    </row>
    <row r="323" spans="1:4" x14ac:dyDescent="0.25">
      <c r="A323" s="47">
        <v>632004244</v>
      </c>
      <c r="B323" s="9">
        <v>107340</v>
      </c>
      <c r="C323" s="9"/>
      <c r="D323" s="3"/>
    </row>
    <row r="324" spans="1:4" x14ac:dyDescent="0.25">
      <c r="A324" s="47">
        <v>633607217</v>
      </c>
      <c r="B324" s="9">
        <v>69756</v>
      </c>
      <c r="C324" s="9"/>
      <c r="D324" s="3"/>
    </row>
    <row r="325" spans="1:4" x14ac:dyDescent="0.25">
      <c r="A325" s="47">
        <v>633674515</v>
      </c>
      <c r="B325" s="9">
        <v>66828</v>
      </c>
      <c r="C325" s="9"/>
      <c r="D325" s="3"/>
    </row>
    <row r="326" spans="1:4" x14ac:dyDescent="0.25">
      <c r="A326" s="47">
        <v>633829493</v>
      </c>
      <c r="B326" s="9">
        <v>55632</v>
      </c>
      <c r="C326" s="9"/>
      <c r="D326" s="3"/>
    </row>
    <row r="327" spans="1:4" x14ac:dyDescent="0.25">
      <c r="A327" s="47">
        <v>633929770</v>
      </c>
      <c r="B327" s="9">
        <v>94632</v>
      </c>
      <c r="C327" s="9"/>
      <c r="D327" s="3"/>
    </row>
    <row r="328" spans="1:4" x14ac:dyDescent="0.25">
      <c r="A328" s="47">
        <v>636091306</v>
      </c>
      <c r="B328" s="9">
        <v>93096</v>
      </c>
      <c r="C328" s="9"/>
      <c r="D328" s="3"/>
    </row>
    <row r="329" spans="1:4" x14ac:dyDescent="0.25">
      <c r="A329" s="47">
        <v>636833479</v>
      </c>
      <c r="B329" s="9">
        <v>48408</v>
      </c>
      <c r="C329" s="9"/>
      <c r="D329" s="3"/>
    </row>
    <row r="330" spans="1:4" x14ac:dyDescent="0.25">
      <c r="A330" s="47">
        <v>637176113</v>
      </c>
      <c r="B330" s="9">
        <v>42374</v>
      </c>
      <c r="C330" s="9"/>
      <c r="D330" s="3"/>
    </row>
    <row r="331" spans="1:4" x14ac:dyDescent="0.25">
      <c r="A331" s="47">
        <v>637916675</v>
      </c>
      <c r="B331" s="9">
        <v>95280</v>
      </c>
      <c r="C331" s="9"/>
      <c r="D331" s="3"/>
    </row>
    <row r="332" spans="1:4" x14ac:dyDescent="0.25">
      <c r="A332" s="47">
        <v>641904420</v>
      </c>
      <c r="B332" s="9">
        <v>103488</v>
      </c>
      <c r="C332" s="9"/>
      <c r="D332" s="3"/>
    </row>
    <row r="333" spans="1:4" x14ac:dyDescent="0.25">
      <c r="A333" s="47">
        <v>643430418</v>
      </c>
      <c r="B333" s="9">
        <v>89688</v>
      </c>
      <c r="C333" s="9"/>
      <c r="D333" s="3"/>
    </row>
    <row r="334" spans="1:4" x14ac:dyDescent="0.25">
      <c r="A334" s="47">
        <v>644862982</v>
      </c>
      <c r="B334" s="9">
        <v>77316</v>
      </c>
      <c r="C334" s="9"/>
      <c r="D334" s="3"/>
    </row>
    <row r="335" spans="1:4" x14ac:dyDescent="0.25">
      <c r="A335" s="47">
        <v>646194777</v>
      </c>
      <c r="B335" s="9">
        <v>85428</v>
      </c>
      <c r="C335" s="9"/>
      <c r="D335" s="3"/>
    </row>
    <row r="336" spans="1:4" x14ac:dyDescent="0.25">
      <c r="A336" s="47">
        <v>646373844</v>
      </c>
      <c r="B336" s="9">
        <v>59286</v>
      </c>
      <c r="C336" s="9"/>
      <c r="D336" s="3"/>
    </row>
    <row r="337" spans="1:4" x14ac:dyDescent="0.25">
      <c r="A337" s="47">
        <v>646474531</v>
      </c>
      <c r="B337" s="9">
        <v>57108</v>
      </c>
      <c r="C337" s="9"/>
      <c r="D337" s="3"/>
    </row>
    <row r="338" spans="1:4" x14ac:dyDescent="0.25">
      <c r="A338" s="47">
        <v>649296931</v>
      </c>
      <c r="B338" s="9">
        <v>51792</v>
      </c>
      <c r="C338" s="9"/>
      <c r="D338" s="3"/>
    </row>
    <row r="339" spans="1:4" x14ac:dyDescent="0.25">
      <c r="A339" s="47">
        <v>651162119</v>
      </c>
      <c r="B339" s="9">
        <v>98532</v>
      </c>
      <c r="C339" s="9"/>
      <c r="D339" s="3"/>
    </row>
    <row r="340" spans="1:4" x14ac:dyDescent="0.25">
      <c r="A340" s="47">
        <v>651922560</v>
      </c>
      <c r="B340" s="9">
        <v>86472</v>
      </c>
      <c r="C340" s="9"/>
      <c r="D340" s="3"/>
    </row>
    <row r="341" spans="1:4" x14ac:dyDescent="0.25">
      <c r="A341" s="47">
        <v>651972107</v>
      </c>
      <c r="B341" s="9">
        <v>86052</v>
      </c>
      <c r="C341" s="9"/>
      <c r="D341" s="3"/>
    </row>
    <row r="342" spans="1:4" x14ac:dyDescent="0.25">
      <c r="A342" s="47">
        <v>655654975</v>
      </c>
      <c r="B342" s="9">
        <v>54312</v>
      </c>
      <c r="C342" s="9"/>
      <c r="D342" s="3"/>
    </row>
    <row r="343" spans="1:4" x14ac:dyDescent="0.25">
      <c r="A343" s="47">
        <v>655938513</v>
      </c>
      <c r="B343" s="9">
        <v>61992</v>
      </c>
      <c r="C343" s="9"/>
      <c r="D343" s="3"/>
    </row>
    <row r="344" spans="1:4" x14ac:dyDescent="0.25">
      <c r="A344" s="47">
        <v>656579960</v>
      </c>
      <c r="B344" s="9">
        <v>35712</v>
      </c>
      <c r="C344" s="9"/>
      <c r="D344" s="3"/>
    </row>
    <row r="345" spans="1:4" x14ac:dyDescent="0.25">
      <c r="A345" s="47">
        <v>657110626</v>
      </c>
      <c r="B345" s="9">
        <v>76620</v>
      </c>
      <c r="C345" s="9"/>
      <c r="D345" s="3"/>
    </row>
    <row r="346" spans="1:4" x14ac:dyDescent="0.25">
      <c r="A346" s="47">
        <v>657733068</v>
      </c>
      <c r="B346" s="9">
        <v>56472</v>
      </c>
      <c r="C346" s="9"/>
      <c r="D346" s="3"/>
    </row>
    <row r="347" spans="1:4" x14ac:dyDescent="0.25">
      <c r="A347" s="47">
        <v>660724644</v>
      </c>
      <c r="B347" s="9">
        <v>58584</v>
      </c>
      <c r="C347" s="9"/>
      <c r="D347" s="3"/>
    </row>
    <row r="348" spans="1:4" x14ac:dyDescent="0.25">
      <c r="A348" s="47">
        <v>662539900</v>
      </c>
      <c r="B348" s="9">
        <v>39852</v>
      </c>
      <c r="C348" s="9"/>
      <c r="D348" s="3"/>
    </row>
    <row r="349" spans="1:4" x14ac:dyDescent="0.25">
      <c r="A349" s="47">
        <v>665708515</v>
      </c>
      <c r="B349" s="9">
        <v>38292</v>
      </c>
      <c r="C349" s="9"/>
      <c r="D349" s="3"/>
    </row>
    <row r="350" spans="1:4" x14ac:dyDescent="0.25">
      <c r="A350" s="47">
        <v>665947771</v>
      </c>
      <c r="B350" s="9">
        <v>42552</v>
      </c>
      <c r="C350" s="9"/>
      <c r="D350" s="3"/>
    </row>
    <row r="351" spans="1:4" x14ac:dyDescent="0.25">
      <c r="A351" s="47">
        <v>667397994</v>
      </c>
      <c r="B351" s="9">
        <v>67728</v>
      </c>
      <c r="C351" s="9"/>
      <c r="D351" s="3"/>
    </row>
    <row r="352" spans="1:4" x14ac:dyDescent="0.25">
      <c r="A352" s="47">
        <v>669509980</v>
      </c>
      <c r="B352" s="9">
        <v>75660</v>
      </c>
      <c r="C352" s="9"/>
      <c r="D352" s="3"/>
    </row>
    <row r="353" spans="1:4" x14ac:dyDescent="0.25">
      <c r="A353" s="47">
        <v>671450241</v>
      </c>
      <c r="B353" s="9">
        <v>42384</v>
      </c>
      <c r="C353" s="9"/>
      <c r="D353" s="3"/>
    </row>
    <row r="354" spans="1:4" x14ac:dyDescent="0.25">
      <c r="A354" s="47">
        <v>672802098</v>
      </c>
      <c r="B354" s="9">
        <v>90936</v>
      </c>
      <c r="C354" s="9"/>
      <c r="D354" s="3"/>
    </row>
    <row r="355" spans="1:4" x14ac:dyDescent="0.25">
      <c r="A355" s="47">
        <v>674233534</v>
      </c>
      <c r="B355" s="9">
        <v>60312</v>
      </c>
      <c r="C355" s="9"/>
      <c r="D355" s="3"/>
    </row>
    <row r="356" spans="1:4" x14ac:dyDescent="0.25">
      <c r="A356" s="47">
        <v>674873787</v>
      </c>
      <c r="B356" s="9">
        <v>61692</v>
      </c>
      <c r="C356" s="9"/>
      <c r="D356" s="3"/>
    </row>
    <row r="357" spans="1:4" x14ac:dyDescent="0.25">
      <c r="A357" s="47">
        <v>675688768</v>
      </c>
      <c r="B357" s="9">
        <v>56808</v>
      </c>
      <c r="C357" s="9"/>
      <c r="D357" s="3"/>
    </row>
    <row r="358" spans="1:4" x14ac:dyDescent="0.25">
      <c r="A358" s="47">
        <v>675697525</v>
      </c>
      <c r="B358" s="9">
        <v>57312</v>
      </c>
      <c r="C358" s="9"/>
      <c r="D358" s="3"/>
    </row>
    <row r="359" spans="1:4" x14ac:dyDescent="0.25">
      <c r="A359" s="47">
        <v>676556479</v>
      </c>
      <c r="B359" s="9">
        <v>55656</v>
      </c>
      <c r="C359" s="9"/>
      <c r="D359" s="3"/>
    </row>
    <row r="360" spans="1:4" x14ac:dyDescent="0.25">
      <c r="A360" s="47">
        <v>677366719</v>
      </c>
      <c r="B360" s="9">
        <v>38436</v>
      </c>
      <c r="C360" s="9"/>
      <c r="D360" s="3"/>
    </row>
    <row r="361" spans="1:4" x14ac:dyDescent="0.25">
      <c r="A361" s="47">
        <v>678133575</v>
      </c>
      <c r="B361" s="9">
        <v>97284</v>
      </c>
      <c r="C361" s="9"/>
      <c r="D361" s="3"/>
    </row>
    <row r="362" spans="1:4" x14ac:dyDescent="0.25">
      <c r="A362" s="47">
        <v>679263796</v>
      </c>
      <c r="B362" s="9">
        <v>75288</v>
      </c>
      <c r="C362" s="9"/>
      <c r="D362" s="3"/>
    </row>
    <row r="363" spans="1:4" x14ac:dyDescent="0.25">
      <c r="A363" s="47">
        <v>680104027</v>
      </c>
      <c r="B363" s="9">
        <v>58260</v>
      </c>
      <c r="C363" s="9"/>
      <c r="D363" s="3"/>
    </row>
    <row r="364" spans="1:4" x14ac:dyDescent="0.25">
      <c r="A364" s="47">
        <v>680238094</v>
      </c>
      <c r="B364" s="9">
        <v>72048</v>
      </c>
      <c r="C364" s="9"/>
      <c r="D364" s="3"/>
    </row>
    <row r="365" spans="1:4" x14ac:dyDescent="0.25">
      <c r="A365" s="47">
        <v>682969352</v>
      </c>
      <c r="B365" s="9">
        <v>37524</v>
      </c>
      <c r="C365" s="9"/>
      <c r="D365" s="3"/>
    </row>
    <row r="366" spans="1:4" x14ac:dyDescent="0.25">
      <c r="A366" s="47">
        <v>683271296</v>
      </c>
      <c r="B366" s="9">
        <v>93540</v>
      </c>
      <c r="C366" s="9"/>
      <c r="D366" s="3"/>
    </row>
    <row r="367" spans="1:4" x14ac:dyDescent="0.25">
      <c r="A367" s="47">
        <v>684544929</v>
      </c>
      <c r="B367" s="9">
        <v>54960</v>
      </c>
      <c r="C367" s="9"/>
      <c r="D367" s="3"/>
    </row>
    <row r="368" spans="1:4" x14ac:dyDescent="0.25">
      <c r="A368" s="47">
        <v>688277511</v>
      </c>
      <c r="B368" s="9">
        <v>54120</v>
      </c>
      <c r="C368" s="9"/>
      <c r="D368" s="3"/>
    </row>
    <row r="369" spans="1:4" x14ac:dyDescent="0.25">
      <c r="A369" s="47">
        <v>688868376</v>
      </c>
      <c r="B369" s="9">
        <v>80424</v>
      </c>
      <c r="C369" s="9"/>
      <c r="D369" s="3"/>
    </row>
    <row r="370" spans="1:4" x14ac:dyDescent="0.25">
      <c r="A370" s="47">
        <v>689542796</v>
      </c>
      <c r="B370" s="9">
        <v>64536</v>
      </c>
      <c r="C370" s="9"/>
      <c r="D370" s="3"/>
    </row>
    <row r="371" spans="1:4" x14ac:dyDescent="0.25">
      <c r="A371" s="47">
        <v>689966801</v>
      </c>
      <c r="B371" s="9">
        <v>39168</v>
      </c>
      <c r="C371" s="9"/>
      <c r="D371" s="3"/>
    </row>
    <row r="372" spans="1:4" x14ac:dyDescent="0.25">
      <c r="A372" s="47">
        <v>691288453</v>
      </c>
      <c r="B372" s="9">
        <v>42360</v>
      </c>
      <c r="C372" s="9"/>
      <c r="D372" s="3"/>
    </row>
    <row r="373" spans="1:4" x14ac:dyDescent="0.25">
      <c r="A373" s="47">
        <v>693762404</v>
      </c>
      <c r="B373" s="9">
        <v>87686</v>
      </c>
      <c r="C373" s="9"/>
      <c r="D373" s="3"/>
    </row>
    <row r="374" spans="1:4" x14ac:dyDescent="0.25">
      <c r="A374" s="47">
        <v>694249618</v>
      </c>
      <c r="B374" s="9">
        <v>39878</v>
      </c>
      <c r="C374" s="9"/>
      <c r="D374" s="3"/>
    </row>
    <row r="375" spans="1:4" x14ac:dyDescent="0.25">
      <c r="A375" s="47">
        <v>695523356</v>
      </c>
      <c r="B375" s="9">
        <v>100452</v>
      </c>
      <c r="C375" s="9"/>
      <c r="D375" s="3"/>
    </row>
    <row r="376" spans="1:4" x14ac:dyDescent="0.25">
      <c r="A376" s="47">
        <v>696351854</v>
      </c>
      <c r="B376" s="9">
        <v>38544</v>
      </c>
      <c r="C376" s="9"/>
      <c r="D376" s="3"/>
    </row>
    <row r="377" spans="1:4" x14ac:dyDescent="0.25">
      <c r="A377" s="47">
        <v>697693553</v>
      </c>
      <c r="B377" s="9">
        <v>76008</v>
      </c>
      <c r="C377" s="9"/>
      <c r="D377" s="3"/>
    </row>
    <row r="378" spans="1:4" x14ac:dyDescent="0.25">
      <c r="A378" s="47">
        <v>699681736</v>
      </c>
      <c r="B378" s="9">
        <v>58560</v>
      </c>
      <c r="C378" s="9"/>
      <c r="D378" s="3"/>
    </row>
    <row r="379" spans="1:4" x14ac:dyDescent="0.25">
      <c r="A379" s="47">
        <v>701613210</v>
      </c>
      <c r="B379" s="9">
        <v>37104</v>
      </c>
      <c r="C379" s="9"/>
      <c r="D379" s="3"/>
    </row>
    <row r="380" spans="1:4" x14ac:dyDescent="0.25">
      <c r="A380" s="47">
        <v>703527001</v>
      </c>
      <c r="B380" s="9">
        <v>52152</v>
      </c>
      <c r="C380" s="9"/>
      <c r="D380" s="3"/>
    </row>
    <row r="381" spans="1:4" x14ac:dyDescent="0.25">
      <c r="A381" s="47">
        <v>703892281</v>
      </c>
      <c r="B381" s="9">
        <v>57144</v>
      </c>
      <c r="C381" s="9"/>
      <c r="D381" s="3"/>
    </row>
    <row r="382" spans="1:4" x14ac:dyDescent="0.25">
      <c r="A382" s="47">
        <v>705958742</v>
      </c>
      <c r="B382" s="9">
        <v>75558</v>
      </c>
      <c r="C382" s="9"/>
      <c r="D382" s="3"/>
    </row>
    <row r="383" spans="1:4" x14ac:dyDescent="0.25">
      <c r="A383" s="47">
        <v>706544471</v>
      </c>
      <c r="B383" s="9">
        <v>78685</v>
      </c>
      <c r="C383" s="9"/>
      <c r="D383" s="3"/>
    </row>
    <row r="384" spans="1:4" x14ac:dyDescent="0.25">
      <c r="A384" s="47">
        <v>708634159</v>
      </c>
      <c r="B384" s="9">
        <v>95724</v>
      </c>
      <c r="C384" s="9"/>
      <c r="D384" s="3"/>
    </row>
    <row r="385" spans="1:4" x14ac:dyDescent="0.25">
      <c r="A385" s="47">
        <v>710868070</v>
      </c>
      <c r="B385" s="9">
        <v>95676</v>
      </c>
      <c r="C385" s="9"/>
      <c r="D385" s="3"/>
    </row>
    <row r="386" spans="1:4" x14ac:dyDescent="0.25">
      <c r="A386" s="47">
        <v>712618234</v>
      </c>
      <c r="B386" s="9">
        <v>39690</v>
      </c>
      <c r="C386" s="9"/>
      <c r="D386" s="3"/>
    </row>
    <row r="387" spans="1:4" x14ac:dyDescent="0.25">
      <c r="A387" s="47">
        <v>713572285</v>
      </c>
      <c r="B387" s="9">
        <v>37512</v>
      </c>
      <c r="C387" s="9"/>
      <c r="D387" s="3"/>
    </row>
    <row r="388" spans="1:4" x14ac:dyDescent="0.25">
      <c r="A388" s="47">
        <v>714156150</v>
      </c>
      <c r="B388" s="9">
        <v>82224</v>
      </c>
      <c r="C388" s="9"/>
      <c r="D388" s="3"/>
    </row>
    <row r="389" spans="1:4" x14ac:dyDescent="0.25">
      <c r="A389" s="47">
        <v>715106344</v>
      </c>
      <c r="B389" s="9">
        <v>73704</v>
      </c>
      <c r="C389" s="9"/>
      <c r="D389" s="3"/>
    </row>
    <row r="390" spans="1:4" x14ac:dyDescent="0.25">
      <c r="A390" s="47">
        <v>720463458</v>
      </c>
      <c r="B390" s="9">
        <v>97968</v>
      </c>
      <c r="C390" s="9"/>
      <c r="D390" s="3"/>
    </row>
    <row r="391" spans="1:4" x14ac:dyDescent="0.25">
      <c r="A391" s="47">
        <v>723097934</v>
      </c>
      <c r="B391" s="9">
        <v>54600</v>
      </c>
      <c r="C391" s="9"/>
      <c r="D391" s="3"/>
    </row>
    <row r="392" spans="1:4" x14ac:dyDescent="0.25">
      <c r="A392" s="47">
        <v>724347435</v>
      </c>
      <c r="B392" s="9">
        <v>96396</v>
      </c>
      <c r="C392" s="9"/>
      <c r="D392" s="3"/>
    </row>
    <row r="393" spans="1:4" x14ac:dyDescent="0.25">
      <c r="A393" s="47">
        <v>725587605</v>
      </c>
      <c r="B393" s="9">
        <v>38196</v>
      </c>
      <c r="C393" s="9"/>
      <c r="D393" s="3"/>
    </row>
    <row r="394" spans="1:4" x14ac:dyDescent="0.25">
      <c r="A394" s="47">
        <v>727578626</v>
      </c>
      <c r="B394" s="9">
        <v>86076</v>
      </c>
      <c r="C394" s="9"/>
      <c r="D394" s="3"/>
    </row>
    <row r="395" spans="1:4" x14ac:dyDescent="0.25">
      <c r="A395" s="47">
        <v>728161046</v>
      </c>
      <c r="B395" s="9">
        <v>55236</v>
      </c>
      <c r="C395" s="9"/>
      <c r="D395" s="3"/>
    </row>
    <row r="396" spans="1:4" x14ac:dyDescent="0.25">
      <c r="A396" s="47">
        <v>731605495</v>
      </c>
      <c r="B396" s="9">
        <v>103512</v>
      </c>
      <c r="C396" s="9"/>
      <c r="D396" s="3"/>
    </row>
    <row r="397" spans="1:4" x14ac:dyDescent="0.25">
      <c r="A397" s="47">
        <v>732327014</v>
      </c>
      <c r="B397" s="9">
        <v>53064</v>
      </c>
      <c r="C397" s="9"/>
      <c r="D397" s="3"/>
    </row>
    <row r="398" spans="1:4" x14ac:dyDescent="0.25">
      <c r="A398" s="47">
        <v>738787450</v>
      </c>
      <c r="B398" s="9">
        <v>50580</v>
      </c>
      <c r="C398" s="9"/>
      <c r="D398" s="3"/>
    </row>
    <row r="399" spans="1:4" x14ac:dyDescent="0.25">
      <c r="A399" s="47">
        <v>739788846</v>
      </c>
      <c r="B399" s="9">
        <v>77352</v>
      </c>
      <c r="C399" s="9"/>
      <c r="D399" s="3"/>
    </row>
    <row r="400" spans="1:4" x14ac:dyDescent="0.25">
      <c r="A400" s="47">
        <v>740484980</v>
      </c>
      <c r="B400" s="9">
        <v>75972</v>
      </c>
      <c r="C400" s="9"/>
      <c r="D400" s="3"/>
    </row>
    <row r="401" spans="1:4" x14ac:dyDescent="0.25">
      <c r="A401" s="47">
        <v>742427623</v>
      </c>
      <c r="B401" s="9">
        <v>57420</v>
      </c>
      <c r="C401" s="9"/>
      <c r="D401" s="3"/>
    </row>
    <row r="402" spans="1:4" x14ac:dyDescent="0.25">
      <c r="A402" s="47">
        <v>742926630</v>
      </c>
      <c r="B402" s="9">
        <v>58440</v>
      </c>
      <c r="C402" s="9"/>
      <c r="D402" s="3"/>
    </row>
    <row r="403" spans="1:4" x14ac:dyDescent="0.25">
      <c r="A403" s="47">
        <v>743123174</v>
      </c>
      <c r="B403" s="9">
        <v>56448</v>
      </c>
      <c r="C403" s="9"/>
      <c r="D403" s="3"/>
    </row>
    <row r="404" spans="1:4" x14ac:dyDescent="0.25">
      <c r="A404" s="47">
        <v>743218572</v>
      </c>
      <c r="B404" s="9">
        <v>41196</v>
      </c>
      <c r="C404" s="9"/>
      <c r="D404" s="3"/>
    </row>
    <row r="405" spans="1:4" x14ac:dyDescent="0.25">
      <c r="A405" s="47">
        <v>745487020</v>
      </c>
      <c r="B405" s="9">
        <v>64296</v>
      </c>
      <c r="C405" s="9"/>
      <c r="D405" s="3"/>
    </row>
    <row r="406" spans="1:4" x14ac:dyDescent="0.25">
      <c r="A406" s="47">
        <v>745505615</v>
      </c>
      <c r="B406" s="9">
        <v>106620</v>
      </c>
      <c r="C406" s="9"/>
      <c r="D406" s="3"/>
    </row>
    <row r="407" spans="1:4" x14ac:dyDescent="0.25">
      <c r="A407" s="47">
        <v>746041107</v>
      </c>
      <c r="B407" s="9">
        <v>56544</v>
      </c>
      <c r="C407" s="9"/>
      <c r="D407" s="3"/>
    </row>
    <row r="408" spans="1:4" x14ac:dyDescent="0.25">
      <c r="A408" s="47">
        <v>746629138</v>
      </c>
      <c r="B408" s="9">
        <v>85380</v>
      </c>
      <c r="C408" s="9"/>
      <c r="D408" s="3"/>
    </row>
    <row r="409" spans="1:4" x14ac:dyDescent="0.25">
      <c r="A409" s="47">
        <v>750391765</v>
      </c>
      <c r="B409" s="9">
        <v>54576</v>
      </c>
      <c r="C409" s="9"/>
      <c r="D409" s="3"/>
    </row>
    <row r="410" spans="1:4" x14ac:dyDescent="0.25">
      <c r="A410" s="47">
        <v>751429538</v>
      </c>
      <c r="B410" s="9">
        <v>87168</v>
      </c>
      <c r="C410" s="9"/>
      <c r="D410" s="3"/>
    </row>
    <row r="411" spans="1:4" x14ac:dyDescent="0.25">
      <c r="A411" s="47">
        <v>751857002</v>
      </c>
      <c r="B411" s="9">
        <v>36012</v>
      </c>
      <c r="C411" s="9"/>
      <c r="D411" s="3"/>
    </row>
    <row r="412" spans="1:4" x14ac:dyDescent="0.25">
      <c r="A412" s="47">
        <v>753258432</v>
      </c>
      <c r="B412" s="9">
        <v>87773</v>
      </c>
      <c r="C412" s="9"/>
      <c r="D412" s="3"/>
    </row>
    <row r="413" spans="1:4" x14ac:dyDescent="0.25">
      <c r="A413" s="47">
        <v>753539317</v>
      </c>
      <c r="B413" s="9">
        <v>63300</v>
      </c>
      <c r="C413" s="9"/>
      <c r="D413" s="3"/>
    </row>
    <row r="414" spans="1:4" x14ac:dyDescent="0.25">
      <c r="A414" s="47">
        <v>753908826</v>
      </c>
      <c r="B414" s="9">
        <v>53544</v>
      </c>
      <c r="C414" s="9"/>
      <c r="D414" s="3"/>
    </row>
    <row r="415" spans="1:4" x14ac:dyDescent="0.25">
      <c r="A415" s="47">
        <v>754086593</v>
      </c>
      <c r="B415" s="9">
        <v>86196</v>
      </c>
      <c r="C415" s="9"/>
      <c r="D415" s="3"/>
    </row>
    <row r="416" spans="1:4" x14ac:dyDescent="0.25">
      <c r="A416" s="47">
        <v>758630295</v>
      </c>
      <c r="B416" s="9">
        <v>74880</v>
      </c>
      <c r="C416" s="9"/>
      <c r="D416" s="3"/>
    </row>
    <row r="417" spans="1:4" x14ac:dyDescent="0.25">
      <c r="A417" s="47">
        <v>758668410</v>
      </c>
      <c r="B417" s="9">
        <v>78672</v>
      </c>
      <c r="C417" s="9"/>
      <c r="D417" s="3"/>
    </row>
    <row r="418" spans="1:4" x14ac:dyDescent="0.25">
      <c r="A418" s="47">
        <v>759713459</v>
      </c>
      <c r="B418" s="9">
        <v>77184</v>
      </c>
      <c r="C418" s="9"/>
      <c r="D418" s="3"/>
    </row>
    <row r="419" spans="1:4" x14ac:dyDescent="0.25">
      <c r="A419" s="47">
        <v>759893020</v>
      </c>
      <c r="B419" s="9">
        <v>89808</v>
      </c>
      <c r="C419" s="9"/>
      <c r="D419" s="3"/>
    </row>
    <row r="420" spans="1:4" x14ac:dyDescent="0.25">
      <c r="A420" s="47">
        <v>764058858</v>
      </c>
      <c r="B420" s="9">
        <v>59304</v>
      </c>
      <c r="C420" s="9"/>
      <c r="D420" s="3"/>
    </row>
    <row r="421" spans="1:4" x14ac:dyDescent="0.25">
      <c r="A421" s="47">
        <v>767278107</v>
      </c>
      <c r="B421" s="9">
        <v>41628</v>
      </c>
      <c r="C421" s="9"/>
      <c r="D421" s="3"/>
    </row>
    <row r="422" spans="1:4" x14ac:dyDescent="0.25">
      <c r="A422" s="47">
        <v>770471699</v>
      </c>
      <c r="B422" s="9">
        <v>58884</v>
      </c>
      <c r="C422" s="9"/>
      <c r="D422" s="3"/>
    </row>
    <row r="423" spans="1:4" x14ac:dyDescent="0.25">
      <c r="A423" s="47">
        <v>773653991</v>
      </c>
      <c r="B423" s="9">
        <v>69588</v>
      </c>
      <c r="C423" s="9"/>
      <c r="D423" s="3"/>
    </row>
    <row r="424" spans="1:4" x14ac:dyDescent="0.25">
      <c r="A424" s="47">
        <v>776815393</v>
      </c>
      <c r="B424" s="9">
        <v>42552</v>
      </c>
      <c r="C424" s="9"/>
      <c r="D424" s="3"/>
    </row>
    <row r="425" spans="1:4" x14ac:dyDescent="0.25">
      <c r="A425" s="47">
        <v>779721515</v>
      </c>
      <c r="B425" s="9">
        <v>57462</v>
      </c>
      <c r="C425" s="9"/>
      <c r="D425" s="3"/>
    </row>
    <row r="426" spans="1:4" x14ac:dyDescent="0.25">
      <c r="A426" s="47">
        <v>780852747</v>
      </c>
      <c r="B426" s="9">
        <v>105312</v>
      </c>
      <c r="C426" s="9"/>
      <c r="D426" s="3"/>
    </row>
    <row r="427" spans="1:4" x14ac:dyDescent="0.25">
      <c r="A427" s="47">
        <v>781760152</v>
      </c>
      <c r="B427" s="9">
        <v>54084</v>
      </c>
      <c r="C427" s="9"/>
      <c r="D427" s="3"/>
    </row>
    <row r="428" spans="1:4" x14ac:dyDescent="0.25">
      <c r="A428" s="47">
        <v>783583769</v>
      </c>
      <c r="B428" s="9">
        <v>58602</v>
      </c>
      <c r="C428" s="9"/>
      <c r="D428" s="3"/>
    </row>
    <row r="429" spans="1:4" x14ac:dyDescent="0.25">
      <c r="A429" s="47">
        <v>784151255</v>
      </c>
      <c r="B429" s="9">
        <v>50424</v>
      </c>
      <c r="C429" s="9"/>
      <c r="D429" s="3"/>
    </row>
    <row r="430" spans="1:4" x14ac:dyDescent="0.25">
      <c r="A430" s="47">
        <v>786742916</v>
      </c>
      <c r="B430" s="9">
        <v>42432</v>
      </c>
      <c r="C430" s="9"/>
      <c r="D430" s="3"/>
    </row>
    <row r="431" spans="1:4" x14ac:dyDescent="0.25">
      <c r="A431" s="47">
        <v>787263308</v>
      </c>
      <c r="B431" s="9">
        <v>107424</v>
      </c>
      <c r="C431" s="9"/>
      <c r="D431" s="3"/>
    </row>
    <row r="432" spans="1:4" x14ac:dyDescent="0.25">
      <c r="A432" s="47">
        <v>787347014</v>
      </c>
      <c r="B432" s="9">
        <v>77064</v>
      </c>
      <c r="C432" s="9"/>
      <c r="D432" s="3"/>
    </row>
    <row r="433" spans="1:4" x14ac:dyDescent="0.25">
      <c r="A433" s="47">
        <v>787898206</v>
      </c>
      <c r="B433" s="9">
        <v>87480</v>
      </c>
      <c r="C433" s="9"/>
      <c r="D433" s="3"/>
    </row>
    <row r="434" spans="1:4" x14ac:dyDescent="0.25">
      <c r="A434" s="47">
        <v>790404252</v>
      </c>
      <c r="B434" s="9">
        <v>46522</v>
      </c>
      <c r="C434" s="9"/>
      <c r="D434" s="3"/>
    </row>
    <row r="435" spans="1:4" x14ac:dyDescent="0.25">
      <c r="A435" s="47">
        <v>790696174</v>
      </c>
      <c r="B435" s="9">
        <v>79716</v>
      </c>
      <c r="C435" s="9"/>
      <c r="D435" s="3"/>
    </row>
    <row r="436" spans="1:4" x14ac:dyDescent="0.25">
      <c r="A436" s="47">
        <v>791377197</v>
      </c>
      <c r="B436" s="9">
        <v>59772</v>
      </c>
      <c r="C436" s="9"/>
      <c r="D436" s="3"/>
    </row>
    <row r="437" spans="1:4" x14ac:dyDescent="0.25">
      <c r="A437" s="47">
        <v>791865559</v>
      </c>
      <c r="B437" s="9">
        <v>49620</v>
      </c>
      <c r="C437" s="9"/>
      <c r="D437" s="3"/>
    </row>
    <row r="438" spans="1:4" x14ac:dyDescent="0.25">
      <c r="A438" s="47">
        <v>792581465</v>
      </c>
      <c r="B438" s="9">
        <v>88272</v>
      </c>
      <c r="C438" s="9"/>
      <c r="D438" s="3"/>
    </row>
    <row r="439" spans="1:4" x14ac:dyDescent="0.25">
      <c r="A439" s="47">
        <v>797042288</v>
      </c>
      <c r="B439" s="9">
        <v>40764</v>
      </c>
      <c r="C439" s="9"/>
      <c r="D439" s="3"/>
    </row>
    <row r="440" spans="1:4" x14ac:dyDescent="0.25">
      <c r="A440" s="47">
        <v>797261467</v>
      </c>
      <c r="B440" s="9">
        <v>63972</v>
      </c>
      <c r="C440" s="9"/>
      <c r="D440" s="3"/>
    </row>
    <row r="441" spans="1:4" x14ac:dyDescent="0.25">
      <c r="A441" s="47">
        <v>799457921</v>
      </c>
      <c r="B441" s="9">
        <v>41448</v>
      </c>
      <c r="C441" s="9"/>
      <c r="D441" s="3"/>
    </row>
    <row r="442" spans="1:4" x14ac:dyDescent="0.25">
      <c r="A442" s="47">
        <v>805023090</v>
      </c>
      <c r="B442" s="9">
        <v>55008</v>
      </c>
      <c r="C442" s="9"/>
      <c r="D442" s="3"/>
    </row>
    <row r="443" spans="1:4" x14ac:dyDescent="0.25">
      <c r="A443" s="47">
        <v>805387248</v>
      </c>
      <c r="B443" s="9">
        <v>56112</v>
      </c>
      <c r="C443" s="9"/>
      <c r="D443" s="3"/>
    </row>
    <row r="444" spans="1:4" x14ac:dyDescent="0.25">
      <c r="A444" s="47">
        <v>807341396</v>
      </c>
      <c r="B444" s="9">
        <v>95712</v>
      </c>
      <c r="C444" s="9"/>
      <c r="D444" s="3"/>
    </row>
    <row r="445" spans="1:4" x14ac:dyDescent="0.25">
      <c r="A445" s="47">
        <v>807640102</v>
      </c>
      <c r="B445" s="9">
        <v>42720</v>
      </c>
      <c r="C445" s="9"/>
      <c r="D445" s="3"/>
    </row>
    <row r="446" spans="1:4" x14ac:dyDescent="0.25">
      <c r="A446" s="47">
        <v>808252849</v>
      </c>
      <c r="B446" s="9">
        <v>54000</v>
      </c>
      <c r="C446" s="9"/>
      <c r="D446" s="3"/>
    </row>
    <row r="447" spans="1:4" x14ac:dyDescent="0.25">
      <c r="A447" s="47">
        <v>811614574</v>
      </c>
      <c r="B447" s="9">
        <v>46704</v>
      </c>
      <c r="C447" s="9"/>
      <c r="D447" s="3"/>
    </row>
    <row r="448" spans="1:4" x14ac:dyDescent="0.25">
      <c r="A448" s="47">
        <v>811870345</v>
      </c>
      <c r="B448" s="9">
        <v>80268</v>
      </c>
      <c r="C448" s="9"/>
      <c r="D448" s="3"/>
    </row>
    <row r="449" spans="1:4" x14ac:dyDescent="0.25">
      <c r="A449" s="47">
        <v>813422316</v>
      </c>
      <c r="B449" s="9">
        <v>57828</v>
      </c>
      <c r="C449" s="9"/>
      <c r="D449" s="3"/>
    </row>
    <row r="450" spans="1:4" x14ac:dyDescent="0.25">
      <c r="A450" s="47">
        <v>813599650</v>
      </c>
      <c r="B450" s="9">
        <v>91728</v>
      </c>
      <c r="C450" s="9"/>
      <c r="D450" s="3"/>
    </row>
    <row r="451" spans="1:4" x14ac:dyDescent="0.25">
      <c r="A451" s="47">
        <v>813922988</v>
      </c>
      <c r="B451" s="9">
        <v>63528</v>
      </c>
      <c r="C451" s="9"/>
      <c r="D451" s="3"/>
    </row>
    <row r="452" spans="1:4" x14ac:dyDescent="0.25">
      <c r="A452" s="47">
        <v>814804939</v>
      </c>
      <c r="B452" s="9">
        <v>80676</v>
      </c>
      <c r="C452" s="9"/>
      <c r="D452" s="3"/>
    </row>
    <row r="453" spans="1:4" x14ac:dyDescent="0.25">
      <c r="A453" s="47">
        <v>815016608</v>
      </c>
      <c r="B453" s="9">
        <v>58788</v>
      </c>
      <c r="C453" s="9"/>
      <c r="D453" s="3"/>
    </row>
    <row r="454" spans="1:4" x14ac:dyDescent="0.25">
      <c r="A454" s="47">
        <v>815310775</v>
      </c>
      <c r="B454" s="9">
        <v>49200</v>
      </c>
      <c r="C454" s="9"/>
      <c r="D454" s="3"/>
    </row>
    <row r="455" spans="1:4" x14ac:dyDescent="0.25">
      <c r="A455" s="47">
        <v>816016006</v>
      </c>
      <c r="B455" s="9">
        <v>36134</v>
      </c>
      <c r="C455" s="9"/>
      <c r="D455" s="3"/>
    </row>
    <row r="456" spans="1:4" x14ac:dyDescent="0.25">
      <c r="A456" s="47">
        <v>816254323</v>
      </c>
      <c r="B456" s="9">
        <v>76956</v>
      </c>
      <c r="C456" s="9"/>
      <c r="D456" s="3"/>
    </row>
    <row r="457" spans="1:4" x14ac:dyDescent="0.25">
      <c r="A457" s="47">
        <v>818319298</v>
      </c>
      <c r="B457" s="9">
        <v>57996</v>
      </c>
      <c r="C457" s="9"/>
      <c r="D457" s="3"/>
    </row>
    <row r="458" spans="1:4" x14ac:dyDescent="0.25">
      <c r="A458" s="47">
        <v>818653410</v>
      </c>
      <c r="B458" s="9">
        <v>51486</v>
      </c>
      <c r="C458" s="9"/>
      <c r="D458" s="3"/>
    </row>
    <row r="459" spans="1:4" x14ac:dyDescent="0.25">
      <c r="A459" s="47">
        <v>819353294</v>
      </c>
      <c r="B459" s="9">
        <v>75226</v>
      </c>
      <c r="C459" s="9"/>
      <c r="D459" s="3"/>
    </row>
    <row r="460" spans="1:4" x14ac:dyDescent="0.25">
      <c r="A460" s="47">
        <v>820120633</v>
      </c>
      <c r="B460" s="9">
        <v>29054</v>
      </c>
      <c r="C460" s="9"/>
      <c r="D460" s="3"/>
    </row>
    <row r="461" spans="1:4" x14ac:dyDescent="0.25">
      <c r="A461" s="47">
        <v>820452652</v>
      </c>
      <c r="B461" s="9">
        <v>45324</v>
      </c>
      <c r="C461" s="9"/>
      <c r="D461" s="3"/>
    </row>
    <row r="462" spans="1:4" x14ac:dyDescent="0.25">
      <c r="A462" s="47">
        <v>822227287</v>
      </c>
      <c r="B462" s="9">
        <v>90144</v>
      </c>
      <c r="C462" s="9"/>
      <c r="D462" s="3"/>
    </row>
    <row r="463" spans="1:4" x14ac:dyDescent="0.25">
      <c r="A463" s="47">
        <v>822253614</v>
      </c>
      <c r="B463" s="9">
        <v>70092</v>
      </c>
      <c r="C463" s="9"/>
      <c r="D463" s="3"/>
    </row>
    <row r="464" spans="1:4" x14ac:dyDescent="0.25">
      <c r="A464" s="47">
        <v>822502893</v>
      </c>
      <c r="B464" s="9">
        <v>82092</v>
      </c>
      <c r="C464" s="9"/>
      <c r="D464" s="3"/>
    </row>
    <row r="465" spans="1:4" x14ac:dyDescent="0.25">
      <c r="A465" s="47">
        <v>822968464</v>
      </c>
      <c r="B465" s="9">
        <v>69600</v>
      </c>
      <c r="C465" s="9"/>
      <c r="D465" s="3"/>
    </row>
    <row r="466" spans="1:4" x14ac:dyDescent="0.25">
      <c r="A466" s="47">
        <v>824664208</v>
      </c>
      <c r="B466" s="9">
        <v>70968</v>
      </c>
      <c r="C466" s="9"/>
      <c r="D466" s="3"/>
    </row>
    <row r="467" spans="1:4" x14ac:dyDescent="0.25">
      <c r="A467" s="47">
        <v>827994617</v>
      </c>
      <c r="B467" s="9">
        <v>50976</v>
      </c>
      <c r="C467" s="9"/>
      <c r="D467" s="3"/>
    </row>
    <row r="468" spans="1:4" x14ac:dyDescent="0.25">
      <c r="A468" s="47">
        <v>828107391</v>
      </c>
      <c r="B468" s="9">
        <v>80088</v>
      </c>
      <c r="C468" s="9"/>
      <c r="D468" s="3"/>
    </row>
    <row r="469" spans="1:4" x14ac:dyDescent="0.25">
      <c r="A469" s="47">
        <v>830667009</v>
      </c>
      <c r="B469" s="9">
        <v>87636</v>
      </c>
      <c r="C469" s="9"/>
      <c r="D469" s="3"/>
    </row>
    <row r="470" spans="1:4" x14ac:dyDescent="0.25">
      <c r="A470" s="47">
        <v>832066602</v>
      </c>
      <c r="B470" s="9">
        <v>55980</v>
      </c>
      <c r="C470" s="9"/>
      <c r="D470" s="3"/>
    </row>
    <row r="471" spans="1:4" x14ac:dyDescent="0.25">
      <c r="A471" s="47">
        <v>835500058</v>
      </c>
      <c r="B471" s="9">
        <v>80736</v>
      </c>
      <c r="C471" s="9"/>
      <c r="D471" s="3"/>
    </row>
    <row r="472" spans="1:4" x14ac:dyDescent="0.25">
      <c r="A472" s="47">
        <v>836896150</v>
      </c>
      <c r="B472" s="9">
        <v>57816</v>
      </c>
      <c r="C472" s="9"/>
      <c r="D472" s="3"/>
    </row>
    <row r="473" spans="1:4" x14ac:dyDescent="0.25">
      <c r="A473" s="47">
        <v>837045809</v>
      </c>
      <c r="B473" s="9">
        <v>72660</v>
      </c>
      <c r="C473" s="9"/>
      <c r="D473" s="3"/>
    </row>
    <row r="474" spans="1:4" x14ac:dyDescent="0.25">
      <c r="A474" s="47">
        <v>837322849</v>
      </c>
      <c r="B474" s="9">
        <v>48366</v>
      </c>
      <c r="C474" s="9"/>
      <c r="D474" s="3"/>
    </row>
    <row r="475" spans="1:4" x14ac:dyDescent="0.25">
      <c r="A475" s="47">
        <v>838914410</v>
      </c>
      <c r="B475" s="9">
        <v>55464</v>
      </c>
      <c r="C475" s="9"/>
      <c r="D475" s="3"/>
    </row>
    <row r="476" spans="1:4" x14ac:dyDescent="0.25">
      <c r="A476" s="47">
        <v>843226481</v>
      </c>
      <c r="B476" s="9">
        <v>47328</v>
      </c>
      <c r="C476" s="9"/>
      <c r="D476" s="3"/>
    </row>
    <row r="477" spans="1:4" x14ac:dyDescent="0.25">
      <c r="A477" s="47">
        <v>844913845</v>
      </c>
      <c r="B477" s="9">
        <v>107172</v>
      </c>
      <c r="C477" s="9"/>
      <c r="D477" s="3"/>
    </row>
    <row r="478" spans="1:4" x14ac:dyDescent="0.25">
      <c r="A478" s="47">
        <v>845583189</v>
      </c>
      <c r="B478" s="9">
        <v>53940</v>
      </c>
      <c r="C478" s="9"/>
      <c r="D478" s="3"/>
    </row>
    <row r="479" spans="1:4" x14ac:dyDescent="0.25">
      <c r="A479" s="47">
        <v>849675575</v>
      </c>
      <c r="B479" s="9">
        <v>75336</v>
      </c>
      <c r="C479" s="9"/>
      <c r="D479" s="3"/>
    </row>
    <row r="480" spans="1:4" x14ac:dyDescent="0.25">
      <c r="A480" s="47">
        <v>850231815</v>
      </c>
      <c r="B480" s="9">
        <v>41376</v>
      </c>
      <c r="C480" s="9"/>
      <c r="D480" s="3"/>
    </row>
    <row r="481" spans="1:4" x14ac:dyDescent="0.25">
      <c r="A481" s="47">
        <v>851183913</v>
      </c>
      <c r="B481" s="9">
        <v>54888</v>
      </c>
      <c r="C481" s="9"/>
      <c r="D481" s="3"/>
    </row>
    <row r="482" spans="1:4" x14ac:dyDescent="0.25">
      <c r="A482" s="47">
        <v>851410283</v>
      </c>
      <c r="B482" s="9">
        <v>65232</v>
      </c>
      <c r="C482" s="9"/>
      <c r="D482" s="3"/>
    </row>
    <row r="483" spans="1:4" x14ac:dyDescent="0.25">
      <c r="A483" s="47">
        <v>852849496</v>
      </c>
      <c r="B483" s="9">
        <v>66144</v>
      </c>
      <c r="C483" s="9"/>
      <c r="D483" s="3"/>
    </row>
    <row r="484" spans="1:4" x14ac:dyDescent="0.25">
      <c r="A484" s="47">
        <v>854566796</v>
      </c>
      <c r="B484" s="9">
        <v>75924</v>
      </c>
      <c r="C484" s="9"/>
      <c r="D484" s="3"/>
    </row>
    <row r="485" spans="1:4" x14ac:dyDescent="0.25">
      <c r="A485" s="47">
        <v>856558604</v>
      </c>
      <c r="B485" s="9">
        <v>54048</v>
      </c>
      <c r="C485" s="9"/>
      <c r="D485" s="3"/>
    </row>
    <row r="486" spans="1:4" x14ac:dyDescent="0.25">
      <c r="A486" s="47">
        <v>857894677</v>
      </c>
      <c r="B486" s="9">
        <v>38268</v>
      </c>
      <c r="C486" s="9"/>
      <c r="D486" s="3"/>
    </row>
    <row r="487" spans="1:4" x14ac:dyDescent="0.25">
      <c r="A487" s="47">
        <v>858496695</v>
      </c>
      <c r="B487" s="9">
        <v>65028</v>
      </c>
      <c r="C487" s="9"/>
      <c r="D487" s="3"/>
    </row>
    <row r="488" spans="1:4" x14ac:dyDescent="0.25">
      <c r="A488" s="47">
        <v>858702971</v>
      </c>
      <c r="B488" s="9">
        <v>58188</v>
      </c>
      <c r="C488" s="9"/>
      <c r="D488" s="3"/>
    </row>
    <row r="489" spans="1:4" x14ac:dyDescent="0.25">
      <c r="A489" s="47">
        <v>860350101</v>
      </c>
      <c r="B489" s="9">
        <v>82500</v>
      </c>
      <c r="C489" s="9"/>
      <c r="D489" s="3"/>
    </row>
    <row r="490" spans="1:4" x14ac:dyDescent="0.25">
      <c r="A490" s="47">
        <v>860475372</v>
      </c>
      <c r="B490" s="9">
        <v>85212</v>
      </c>
      <c r="C490" s="9"/>
      <c r="D490" s="3"/>
    </row>
    <row r="491" spans="1:4" x14ac:dyDescent="0.25">
      <c r="A491" s="47">
        <v>860714319</v>
      </c>
      <c r="B491" s="9">
        <v>69072</v>
      </c>
      <c r="C491" s="9"/>
      <c r="D491" s="3"/>
    </row>
    <row r="492" spans="1:4" x14ac:dyDescent="0.25">
      <c r="A492" s="47">
        <v>860959198</v>
      </c>
      <c r="B492" s="9">
        <v>56544</v>
      </c>
      <c r="C492" s="9"/>
      <c r="D492" s="3"/>
    </row>
    <row r="493" spans="1:4" x14ac:dyDescent="0.25">
      <c r="A493" s="47">
        <v>862566543</v>
      </c>
      <c r="B493" s="9">
        <v>45634</v>
      </c>
      <c r="C493" s="9"/>
      <c r="D493" s="3"/>
    </row>
    <row r="494" spans="1:4" x14ac:dyDescent="0.25">
      <c r="A494" s="47">
        <v>863124691</v>
      </c>
      <c r="B494" s="9">
        <v>59496</v>
      </c>
      <c r="C494" s="9"/>
      <c r="D494" s="3"/>
    </row>
    <row r="495" spans="1:4" x14ac:dyDescent="0.25">
      <c r="A495" s="47">
        <v>864772276</v>
      </c>
      <c r="B495" s="9">
        <v>42516</v>
      </c>
      <c r="C495" s="9"/>
      <c r="D495" s="3"/>
    </row>
    <row r="496" spans="1:4" x14ac:dyDescent="0.25">
      <c r="A496" s="47">
        <v>865152754</v>
      </c>
      <c r="B496" s="9">
        <v>63624</v>
      </c>
      <c r="C496" s="9"/>
      <c r="D496" s="3"/>
    </row>
    <row r="497" spans="1:4" x14ac:dyDescent="0.25">
      <c r="A497" s="47">
        <v>865635103</v>
      </c>
      <c r="B497" s="9">
        <v>65124</v>
      </c>
      <c r="C497" s="9"/>
      <c r="D497" s="3"/>
    </row>
    <row r="498" spans="1:4" x14ac:dyDescent="0.25">
      <c r="A498" s="47">
        <v>865644892</v>
      </c>
      <c r="B498" s="9">
        <v>93312</v>
      </c>
      <c r="C498" s="9"/>
      <c r="D498" s="3"/>
    </row>
    <row r="499" spans="1:4" x14ac:dyDescent="0.25">
      <c r="A499" s="47">
        <v>865782988</v>
      </c>
      <c r="B499" s="9">
        <v>55992</v>
      </c>
      <c r="C499" s="9"/>
      <c r="D499" s="3"/>
    </row>
    <row r="500" spans="1:4" x14ac:dyDescent="0.25">
      <c r="A500" s="47">
        <v>866277969</v>
      </c>
      <c r="B500" s="9">
        <v>86976</v>
      </c>
      <c r="C500" s="9"/>
      <c r="D500" s="3"/>
    </row>
    <row r="501" spans="1:4" x14ac:dyDescent="0.25">
      <c r="A501" s="47">
        <v>866619998</v>
      </c>
      <c r="B501" s="9">
        <v>99240</v>
      </c>
      <c r="C501" s="9"/>
      <c r="D501" s="3"/>
    </row>
    <row r="502" spans="1:4" x14ac:dyDescent="0.25">
      <c r="A502" s="47">
        <v>868060323</v>
      </c>
      <c r="B502" s="9">
        <v>64644</v>
      </c>
      <c r="C502" s="9"/>
      <c r="D502" s="3"/>
    </row>
    <row r="503" spans="1:4" x14ac:dyDescent="0.25">
      <c r="A503" s="47">
        <v>868665832</v>
      </c>
      <c r="B503" s="9">
        <v>77364</v>
      </c>
      <c r="C503" s="9"/>
      <c r="D503" s="3"/>
    </row>
    <row r="504" spans="1:4" x14ac:dyDescent="0.25">
      <c r="A504" s="47">
        <v>870134566</v>
      </c>
      <c r="B504" s="9">
        <v>54180</v>
      </c>
      <c r="C504" s="9"/>
      <c r="D504" s="3"/>
    </row>
    <row r="505" spans="1:4" x14ac:dyDescent="0.25">
      <c r="A505" s="47">
        <v>871938294</v>
      </c>
      <c r="B505" s="9">
        <v>73596</v>
      </c>
      <c r="C505" s="9"/>
      <c r="D505" s="3"/>
    </row>
    <row r="506" spans="1:4" x14ac:dyDescent="0.25">
      <c r="A506" s="47">
        <v>872770222</v>
      </c>
      <c r="B506" s="9">
        <v>105888</v>
      </c>
      <c r="C506" s="9"/>
      <c r="D506" s="3"/>
    </row>
    <row r="507" spans="1:4" x14ac:dyDescent="0.25">
      <c r="A507" s="47">
        <v>873526287</v>
      </c>
      <c r="B507" s="9">
        <v>103836</v>
      </c>
      <c r="C507" s="9"/>
      <c r="D507" s="3"/>
    </row>
    <row r="508" spans="1:4" x14ac:dyDescent="0.25">
      <c r="A508" s="47">
        <v>873602706</v>
      </c>
      <c r="B508" s="9">
        <v>101160</v>
      </c>
      <c r="C508" s="9"/>
      <c r="D508" s="3"/>
    </row>
    <row r="509" spans="1:4" x14ac:dyDescent="0.25">
      <c r="A509" s="47">
        <v>874351124</v>
      </c>
      <c r="B509" s="9">
        <v>70380</v>
      </c>
      <c r="C509" s="9"/>
      <c r="D509" s="3"/>
    </row>
    <row r="510" spans="1:4" x14ac:dyDescent="0.25">
      <c r="A510" s="47">
        <v>875282498</v>
      </c>
      <c r="B510" s="9">
        <v>56292</v>
      </c>
      <c r="C510" s="9"/>
      <c r="D510" s="3"/>
    </row>
    <row r="511" spans="1:4" x14ac:dyDescent="0.25">
      <c r="A511" s="47">
        <v>875506030</v>
      </c>
      <c r="B511" s="9">
        <v>68532</v>
      </c>
      <c r="C511" s="9"/>
      <c r="D511" s="3"/>
    </row>
    <row r="512" spans="1:4" x14ac:dyDescent="0.25">
      <c r="A512" s="47">
        <v>876351949</v>
      </c>
      <c r="B512" s="9">
        <v>52445</v>
      </c>
      <c r="C512" s="9"/>
      <c r="D512" s="3"/>
    </row>
    <row r="513" spans="1:4" x14ac:dyDescent="0.25">
      <c r="A513" s="47">
        <v>878200065</v>
      </c>
      <c r="B513" s="9">
        <v>49128</v>
      </c>
      <c r="C513" s="9"/>
      <c r="D513" s="3"/>
    </row>
    <row r="514" spans="1:4" x14ac:dyDescent="0.25">
      <c r="A514" s="47">
        <v>879239682</v>
      </c>
      <c r="B514" s="9">
        <v>99000</v>
      </c>
      <c r="C514" s="9"/>
      <c r="D514" s="3"/>
    </row>
    <row r="515" spans="1:4" x14ac:dyDescent="0.25">
      <c r="A515" s="47">
        <v>880815350</v>
      </c>
      <c r="B515" s="9">
        <v>73596</v>
      </c>
      <c r="C515" s="9"/>
      <c r="D515" s="3"/>
    </row>
    <row r="516" spans="1:4" x14ac:dyDescent="0.25">
      <c r="A516" s="47">
        <v>884339537</v>
      </c>
      <c r="B516" s="9">
        <v>57246</v>
      </c>
      <c r="C516" s="9"/>
      <c r="D516" s="3"/>
    </row>
    <row r="517" spans="1:4" x14ac:dyDescent="0.25">
      <c r="A517" s="47">
        <v>888699298</v>
      </c>
      <c r="B517" s="9">
        <v>51048</v>
      </c>
      <c r="C517" s="9"/>
      <c r="D517" s="3"/>
    </row>
    <row r="518" spans="1:4" x14ac:dyDescent="0.25">
      <c r="A518" s="47">
        <v>891885192</v>
      </c>
      <c r="B518" s="9">
        <v>81960</v>
      </c>
      <c r="C518" s="9"/>
      <c r="D518" s="3"/>
    </row>
    <row r="519" spans="1:4" x14ac:dyDescent="0.25">
      <c r="A519" s="47">
        <v>892142996</v>
      </c>
      <c r="B519" s="9">
        <v>44424</v>
      </c>
      <c r="C519" s="9"/>
      <c r="D519" s="3"/>
    </row>
    <row r="520" spans="1:4" x14ac:dyDescent="0.25">
      <c r="A520" s="47">
        <v>894221180</v>
      </c>
      <c r="B520" s="9">
        <v>64644</v>
      </c>
      <c r="C520" s="9"/>
      <c r="D520" s="3"/>
    </row>
    <row r="521" spans="1:4" x14ac:dyDescent="0.25">
      <c r="A521" s="47">
        <v>896439608</v>
      </c>
      <c r="B521" s="9">
        <v>83040</v>
      </c>
      <c r="C521" s="9"/>
      <c r="D521" s="3"/>
    </row>
    <row r="522" spans="1:4" x14ac:dyDescent="0.25">
      <c r="A522" s="47">
        <v>899436911</v>
      </c>
      <c r="B522" s="9">
        <v>59724</v>
      </c>
      <c r="C522" s="9"/>
      <c r="D522" s="3"/>
    </row>
    <row r="523" spans="1:4" x14ac:dyDescent="0.25">
      <c r="A523" s="47">
        <v>899640441</v>
      </c>
      <c r="B523" s="9">
        <v>89436</v>
      </c>
      <c r="C523" s="9"/>
      <c r="D523" s="3"/>
    </row>
    <row r="524" spans="1:4" x14ac:dyDescent="0.25">
      <c r="A524" s="47">
        <v>900348340</v>
      </c>
      <c r="B524" s="9">
        <v>92244</v>
      </c>
      <c r="C524" s="9"/>
      <c r="D524" s="3"/>
    </row>
    <row r="525" spans="1:4" x14ac:dyDescent="0.25">
      <c r="A525" s="47">
        <v>900528631</v>
      </c>
      <c r="B525" s="9">
        <v>84336</v>
      </c>
      <c r="C525" s="9"/>
      <c r="D525" s="3"/>
    </row>
    <row r="526" spans="1:4" x14ac:dyDescent="0.25">
      <c r="A526" s="47">
        <v>900927231</v>
      </c>
      <c r="B526" s="9">
        <v>39744</v>
      </c>
      <c r="C526" s="9"/>
      <c r="D526" s="3"/>
    </row>
    <row r="527" spans="1:4" x14ac:dyDescent="0.25">
      <c r="A527" s="47">
        <v>901752213</v>
      </c>
      <c r="B527" s="9">
        <v>52008</v>
      </c>
      <c r="C527" s="9"/>
      <c r="D527" s="3"/>
    </row>
    <row r="528" spans="1:4" x14ac:dyDescent="0.25">
      <c r="A528" s="47">
        <v>902526148</v>
      </c>
      <c r="B528" s="9">
        <v>94284</v>
      </c>
      <c r="C528" s="9"/>
      <c r="D528" s="3"/>
    </row>
    <row r="529" spans="1:4" x14ac:dyDescent="0.25">
      <c r="A529" s="47">
        <v>903468528</v>
      </c>
      <c r="B529" s="9">
        <v>75996</v>
      </c>
      <c r="C529" s="9"/>
      <c r="D529" s="3"/>
    </row>
    <row r="530" spans="1:4" x14ac:dyDescent="0.25">
      <c r="A530" s="47">
        <v>905949743</v>
      </c>
      <c r="B530" s="9">
        <v>37506</v>
      </c>
      <c r="C530" s="9"/>
      <c r="D530" s="3"/>
    </row>
    <row r="531" spans="1:4" x14ac:dyDescent="0.25">
      <c r="A531" s="47">
        <v>907946778</v>
      </c>
      <c r="B531" s="9">
        <v>73764</v>
      </c>
      <c r="C531" s="9"/>
      <c r="D531" s="3"/>
    </row>
    <row r="532" spans="1:4" x14ac:dyDescent="0.25">
      <c r="A532" s="47">
        <v>908214493</v>
      </c>
      <c r="B532" s="9">
        <v>68244</v>
      </c>
      <c r="C532" s="9"/>
      <c r="D532" s="3"/>
    </row>
    <row r="533" spans="1:4" x14ac:dyDescent="0.25">
      <c r="A533" s="47">
        <v>910432607</v>
      </c>
      <c r="B533" s="9">
        <v>60132</v>
      </c>
      <c r="C533" s="9"/>
      <c r="D533" s="3"/>
    </row>
    <row r="534" spans="1:4" x14ac:dyDescent="0.25">
      <c r="A534" s="47">
        <v>910797864</v>
      </c>
      <c r="B534" s="9">
        <v>106608</v>
      </c>
      <c r="C534" s="9"/>
      <c r="D534" s="3"/>
    </row>
    <row r="535" spans="1:4" x14ac:dyDescent="0.25">
      <c r="A535" s="47">
        <v>911982005</v>
      </c>
      <c r="B535" s="9">
        <v>82452</v>
      </c>
      <c r="C535" s="9"/>
      <c r="D535" s="3"/>
    </row>
    <row r="536" spans="1:4" x14ac:dyDescent="0.25">
      <c r="A536" s="47">
        <v>912063876</v>
      </c>
      <c r="B536" s="9">
        <v>103440</v>
      </c>
      <c r="C536" s="9"/>
      <c r="D536" s="3"/>
    </row>
    <row r="537" spans="1:4" x14ac:dyDescent="0.25">
      <c r="A537" s="47">
        <v>912526094</v>
      </c>
      <c r="B537" s="9">
        <v>69216</v>
      </c>
      <c r="C537" s="9"/>
      <c r="D537" s="3"/>
    </row>
    <row r="538" spans="1:4" x14ac:dyDescent="0.25">
      <c r="A538" s="47">
        <v>912548058</v>
      </c>
      <c r="B538" s="9">
        <v>99684</v>
      </c>
      <c r="C538" s="9"/>
      <c r="D538" s="3"/>
    </row>
    <row r="539" spans="1:4" x14ac:dyDescent="0.25">
      <c r="A539" s="47">
        <v>913001707</v>
      </c>
      <c r="B539" s="9">
        <v>59112</v>
      </c>
      <c r="C539" s="9"/>
      <c r="D539" s="3"/>
    </row>
    <row r="540" spans="1:4" x14ac:dyDescent="0.25">
      <c r="A540" s="47">
        <v>915011186</v>
      </c>
      <c r="B540" s="9">
        <v>63528</v>
      </c>
      <c r="C540" s="9"/>
      <c r="D540" s="3"/>
    </row>
    <row r="541" spans="1:4" x14ac:dyDescent="0.25">
      <c r="A541" s="47">
        <v>917052754</v>
      </c>
      <c r="B541" s="9">
        <v>90180</v>
      </c>
      <c r="C541" s="9"/>
      <c r="D541" s="3"/>
    </row>
    <row r="542" spans="1:4" x14ac:dyDescent="0.25">
      <c r="A542" s="47">
        <v>918488572</v>
      </c>
      <c r="B542" s="9">
        <v>36624</v>
      </c>
      <c r="C542" s="9"/>
      <c r="D542" s="3"/>
    </row>
    <row r="543" spans="1:4" x14ac:dyDescent="0.25">
      <c r="A543" s="47">
        <v>920144282</v>
      </c>
      <c r="B543" s="9">
        <v>36096</v>
      </c>
      <c r="C543" s="9"/>
      <c r="D543" s="3"/>
    </row>
    <row r="544" spans="1:4" x14ac:dyDescent="0.25">
      <c r="A544" s="47">
        <v>920774188</v>
      </c>
      <c r="B544" s="9">
        <v>65400</v>
      </c>
      <c r="C544" s="9"/>
      <c r="D544" s="3"/>
    </row>
    <row r="545" spans="1:4" x14ac:dyDescent="0.25">
      <c r="A545" s="47">
        <v>921575454</v>
      </c>
      <c r="B545" s="9">
        <v>89400</v>
      </c>
      <c r="C545" s="9"/>
      <c r="D545" s="3"/>
    </row>
    <row r="546" spans="1:4" x14ac:dyDescent="0.25">
      <c r="A546" s="47">
        <v>924880465</v>
      </c>
      <c r="B546" s="9">
        <v>104364</v>
      </c>
      <c r="C546" s="9"/>
      <c r="D546" s="3"/>
    </row>
    <row r="547" spans="1:4" x14ac:dyDescent="0.25">
      <c r="A547" s="47">
        <v>925762174</v>
      </c>
      <c r="B547" s="9">
        <v>68700</v>
      </c>
      <c r="C547" s="9"/>
      <c r="D547" s="3"/>
    </row>
    <row r="548" spans="1:4" x14ac:dyDescent="0.25">
      <c r="A548" s="47">
        <v>928443485</v>
      </c>
      <c r="B548" s="9">
        <v>53568</v>
      </c>
      <c r="C548" s="9"/>
      <c r="D548" s="3"/>
    </row>
    <row r="549" spans="1:4" x14ac:dyDescent="0.25">
      <c r="A549" s="47">
        <v>928454246</v>
      </c>
      <c r="B549" s="9">
        <v>93516</v>
      </c>
      <c r="C549" s="9"/>
      <c r="D549" s="3"/>
    </row>
    <row r="550" spans="1:4" x14ac:dyDescent="0.25">
      <c r="A550" s="47">
        <v>928874199</v>
      </c>
      <c r="B550" s="9">
        <v>40872</v>
      </c>
      <c r="C550" s="9"/>
      <c r="D550" s="3"/>
    </row>
    <row r="551" spans="1:4" x14ac:dyDescent="0.25">
      <c r="A551" s="47">
        <v>929827709</v>
      </c>
      <c r="B551" s="9">
        <v>90504</v>
      </c>
      <c r="C551" s="9"/>
      <c r="D551" s="3"/>
    </row>
    <row r="552" spans="1:4" x14ac:dyDescent="0.25">
      <c r="A552" s="47">
        <v>932212974</v>
      </c>
      <c r="B552" s="9">
        <v>51528</v>
      </c>
      <c r="C552" s="9"/>
      <c r="D552" s="3"/>
    </row>
    <row r="553" spans="1:4" x14ac:dyDescent="0.25">
      <c r="A553" s="47">
        <v>932781112</v>
      </c>
      <c r="B553" s="9">
        <v>90444</v>
      </c>
      <c r="C553" s="9"/>
      <c r="D553" s="3"/>
    </row>
    <row r="554" spans="1:4" x14ac:dyDescent="0.25">
      <c r="A554" s="47">
        <v>935395291</v>
      </c>
      <c r="B554" s="9">
        <v>73380</v>
      </c>
      <c r="C554" s="9"/>
      <c r="D554" s="3"/>
    </row>
    <row r="555" spans="1:4" x14ac:dyDescent="0.25">
      <c r="A555" s="47">
        <v>935921652</v>
      </c>
      <c r="B555" s="9">
        <v>104196</v>
      </c>
      <c r="C555" s="9"/>
      <c r="D555" s="3"/>
    </row>
    <row r="556" spans="1:4" x14ac:dyDescent="0.25">
      <c r="A556" s="47">
        <v>936494157</v>
      </c>
      <c r="B556" s="9">
        <v>62988</v>
      </c>
      <c r="C556" s="9"/>
      <c r="D556" s="3"/>
    </row>
    <row r="557" spans="1:4" x14ac:dyDescent="0.25">
      <c r="A557" s="47">
        <v>936881557</v>
      </c>
      <c r="B557" s="9">
        <v>76128</v>
      </c>
      <c r="C557" s="9"/>
      <c r="D557" s="3"/>
    </row>
    <row r="558" spans="1:4" x14ac:dyDescent="0.25">
      <c r="A558" s="47">
        <v>939356440</v>
      </c>
      <c r="B558" s="9">
        <v>72072</v>
      </c>
      <c r="C558" s="9"/>
      <c r="D558" s="3"/>
    </row>
    <row r="559" spans="1:4" x14ac:dyDescent="0.25">
      <c r="A559" s="47">
        <v>940627679</v>
      </c>
      <c r="B559" s="9">
        <v>93720</v>
      </c>
      <c r="C559" s="9"/>
      <c r="D559" s="3"/>
    </row>
    <row r="560" spans="1:4" x14ac:dyDescent="0.25">
      <c r="A560" s="47">
        <v>940865188</v>
      </c>
      <c r="B560" s="9">
        <v>64680</v>
      </c>
      <c r="C560" s="9"/>
      <c r="D560" s="3"/>
    </row>
    <row r="561" spans="1:4" x14ac:dyDescent="0.25">
      <c r="A561" s="47">
        <v>941320559</v>
      </c>
      <c r="B561" s="9">
        <v>46800</v>
      </c>
      <c r="C561" s="9"/>
      <c r="D561" s="3"/>
    </row>
    <row r="562" spans="1:4" x14ac:dyDescent="0.25">
      <c r="A562" s="47">
        <v>942472353</v>
      </c>
      <c r="B562" s="9">
        <v>54504</v>
      </c>
      <c r="C562" s="9"/>
      <c r="D562" s="3"/>
    </row>
    <row r="563" spans="1:4" x14ac:dyDescent="0.25">
      <c r="A563" s="47">
        <v>942803101</v>
      </c>
      <c r="B563" s="9">
        <v>44772</v>
      </c>
      <c r="C563" s="9"/>
      <c r="D563" s="3"/>
    </row>
    <row r="564" spans="1:4" x14ac:dyDescent="0.25">
      <c r="A564" s="47">
        <v>945282450</v>
      </c>
      <c r="B564" s="9">
        <v>37446</v>
      </c>
      <c r="C564" s="9"/>
      <c r="D564" s="3"/>
    </row>
    <row r="565" spans="1:4" x14ac:dyDescent="0.25">
      <c r="A565" s="47">
        <v>945445174</v>
      </c>
      <c r="B565" s="9">
        <v>56136</v>
      </c>
      <c r="C565" s="9"/>
      <c r="D565" s="3"/>
    </row>
    <row r="566" spans="1:4" x14ac:dyDescent="0.25">
      <c r="A566" s="47">
        <v>945892458</v>
      </c>
      <c r="B566" s="9">
        <v>40620</v>
      </c>
      <c r="C566" s="9"/>
      <c r="D566" s="3"/>
    </row>
    <row r="567" spans="1:4" x14ac:dyDescent="0.25">
      <c r="A567" s="47">
        <v>946022542</v>
      </c>
      <c r="B567" s="9">
        <v>54060</v>
      </c>
      <c r="C567" s="9"/>
      <c r="D567" s="3"/>
    </row>
    <row r="568" spans="1:4" x14ac:dyDescent="0.25">
      <c r="A568" s="47">
        <v>946252635</v>
      </c>
      <c r="B568" s="9">
        <v>47160</v>
      </c>
      <c r="C568" s="9"/>
      <c r="D568" s="3"/>
    </row>
    <row r="569" spans="1:4" x14ac:dyDescent="0.25">
      <c r="A569" s="47">
        <v>946742758</v>
      </c>
      <c r="B569" s="9">
        <v>44400</v>
      </c>
      <c r="C569" s="9"/>
      <c r="D569" s="3"/>
    </row>
    <row r="570" spans="1:4" x14ac:dyDescent="0.25">
      <c r="A570" s="47">
        <v>947168082</v>
      </c>
      <c r="B570" s="9">
        <v>96108</v>
      </c>
      <c r="C570" s="9"/>
      <c r="D570" s="3"/>
    </row>
    <row r="571" spans="1:4" x14ac:dyDescent="0.25">
      <c r="A571" s="47">
        <v>948609049</v>
      </c>
      <c r="B571" s="9">
        <v>42336</v>
      </c>
      <c r="C571" s="9"/>
      <c r="D571" s="3"/>
    </row>
    <row r="572" spans="1:4" x14ac:dyDescent="0.25">
      <c r="A572" s="47">
        <v>951897396</v>
      </c>
      <c r="B572" s="9">
        <v>80208</v>
      </c>
      <c r="C572" s="9"/>
      <c r="D572" s="3"/>
    </row>
    <row r="573" spans="1:4" x14ac:dyDescent="0.25">
      <c r="A573" s="47">
        <v>952317755</v>
      </c>
      <c r="B573" s="9">
        <v>65796</v>
      </c>
      <c r="C573" s="9"/>
      <c r="D573" s="3"/>
    </row>
    <row r="574" spans="1:4" x14ac:dyDescent="0.25">
      <c r="A574" s="47">
        <v>952405562</v>
      </c>
      <c r="B574" s="9">
        <v>65028</v>
      </c>
      <c r="C574" s="9"/>
      <c r="D574" s="3"/>
    </row>
    <row r="575" spans="1:4" x14ac:dyDescent="0.25">
      <c r="A575" s="47">
        <v>952666644</v>
      </c>
      <c r="B575" s="9">
        <v>54900</v>
      </c>
      <c r="C575" s="9"/>
      <c r="D575" s="3"/>
    </row>
    <row r="576" spans="1:4" x14ac:dyDescent="0.25">
      <c r="A576" s="47">
        <v>952767515</v>
      </c>
      <c r="B576" s="9">
        <v>58416</v>
      </c>
      <c r="C576" s="9"/>
      <c r="D576" s="3"/>
    </row>
    <row r="577" spans="1:4" x14ac:dyDescent="0.25">
      <c r="A577" s="47">
        <v>954035650</v>
      </c>
      <c r="B577" s="9">
        <v>88596</v>
      </c>
      <c r="C577" s="9"/>
      <c r="D577" s="3"/>
    </row>
    <row r="578" spans="1:4" x14ac:dyDescent="0.25">
      <c r="A578" s="47">
        <v>954056781</v>
      </c>
      <c r="B578" s="9">
        <v>75828</v>
      </c>
      <c r="C578" s="9"/>
      <c r="D578" s="3"/>
    </row>
    <row r="579" spans="1:4" x14ac:dyDescent="0.25">
      <c r="A579" s="47">
        <v>955871435</v>
      </c>
      <c r="B579" s="9">
        <v>60684</v>
      </c>
      <c r="C579" s="9"/>
      <c r="D579" s="3"/>
    </row>
    <row r="580" spans="1:4" x14ac:dyDescent="0.25">
      <c r="A580" s="47">
        <v>957007463</v>
      </c>
      <c r="B580" s="9">
        <v>55974</v>
      </c>
      <c r="C580" s="9"/>
      <c r="D580" s="3"/>
    </row>
    <row r="581" spans="1:4" x14ac:dyDescent="0.25">
      <c r="A581" s="47">
        <v>957391982</v>
      </c>
      <c r="B581" s="9">
        <v>42054</v>
      </c>
      <c r="C581" s="9"/>
      <c r="D581" s="3"/>
    </row>
    <row r="582" spans="1:4" x14ac:dyDescent="0.25">
      <c r="A582" s="47">
        <v>958201858</v>
      </c>
      <c r="B582" s="9">
        <v>47460</v>
      </c>
      <c r="C582" s="9"/>
      <c r="D582" s="3"/>
    </row>
    <row r="583" spans="1:4" x14ac:dyDescent="0.25">
      <c r="A583" s="47">
        <v>959359762</v>
      </c>
      <c r="B583" s="9">
        <v>55542</v>
      </c>
      <c r="C583" s="9"/>
      <c r="D583" s="3"/>
    </row>
    <row r="584" spans="1:4" x14ac:dyDescent="0.25">
      <c r="A584" s="47">
        <v>961973325</v>
      </c>
      <c r="B584" s="9">
        <v>73236</v>
      </c>
      <c r="C584" s="9"/>
      <c r="D584" s="3"/>
    </row>
    <row r="585" spans="1:4" x14ac:dyDescent="0.25">
      <c r="A585" s="47">
        <v>963146055</v>
      </c>
      <c r="B585" s="9">
        <v>79212</v>
      </c>
      <c r="C585" s="9"/>
      <c r="D585" s="3"/>
    </row>
    <row r="586" spans="1:4" x14ac:dyDescent="0.25">
      <c r="A586" s="47">
        <v>963278428</v>
      </c>
      <c r="B586" s="9">
        <v>55314</v>
      </c>
      <c r="C586" s="9"/>
      <c r="D586" s="3"/>
    </row>
    <row r="587" spans="1:4" x14ac:dyDescent="0.25">
      <c r="A587" s="47">
        <v>964438616</v>
      </c>
      <c r="B587" s="9">
        <v>41736</v>
      </c>
      <c r="C587" s="9"/>
      <c r="D587" s="3"/>
    </row>
    <row r="588" spans="1:4" x14ac:dyDescent="0.25">
      <c r="A588" s="47">
        <v>965409175</v>
      </c>
      <c r="B588" s="9">
        <v>46290</v>
      </c>
      <c r="C588" s="9"/>
      <c r="D588" s="3"/>
    </row>
    <row r="589" spans="1:4" x14ac:dyDescent="0.25">
      <c r="A589" s="47">
        <v>966339594</v>
      </c>
      <c r="B589" s="9">
        <v>55248</v>
      </c>
      <c r="C589" s="9"/>
      <c r="D589" s="3"/>
    </row>
    <row r="590" spans="1:4" x14ac:dyDescent="0.25">
      <c r="A590" s="47">
        <v>966853793</v>
      </c>
      <c r="B590" s="9">
        <v>35112</v>
      </c>
      <c r="C590" s="9"/>
      <c r="D590" s="3"/>
    </row>
    <row r="591" spans="1:4" x14ac:dyDescent="0.25">
      <c r="A591" s="47">
        <v>967062199</v>
      </c>
      <c r="B591" s="9">
        <v>97680</v>
      </c>
      <c r="C591" s="9"/>
      <c r="D591" s="3"/>
    </row>
    <row r="592" spans="1:4" x14ac:dyDescent="0.25">
      <c r="A592" s="47">
        <v>967752248</v>
      </c>
      <c r="B592" s="9">
        <v>38059</v>
      </c>
      <c r="C592" s="9"/>
      <c r="D592" s="3"/>
    </row>
    <row r="593" spans="1:4" x14ac:dyDescent="0.25">
      <c r="A593" s="47">
        <v>967815301</v>
      </c>
      <c r="B593" s="9">
        <v>28011</v>
      </c>
      <c r="C593" s="9"/>
      <c r="D593" s="3"/>
    </row>
    <row r="594" spans="1:4" x14ac:dyDescent="0.25">
      <c r="A594" s="47">
        <v>970153698</v>
      </c>
      <c r="B594" s="9">
        <v>51595</v>
      </c>
      <c r="C594" s="9"/>
      <c r="D594" s="3"/>
    </row>
    <row r="595" spans="1:4" x14ac:dyDescent="0.25">
      <c r="A595" s="47">
        <v>970446726</v>
      </c>
      <c r="B595" s="9">
        <v>38208</v>
      </c>
      <c r="C595" s="9"/>
      <c r="D595" s="3"/>
    </row>
    <row r="596" spans="1:4" x14ac:dyDescent="0.25">
      <c r="A596" s="47">
        <v>970759408</v>
      </c>
      <c r="B596" s="9">
        <v>39480</v>
      </c>
      <c r="C596" s="9"/>
      <c r="D596" s="3"/>
    </row>
    <row r="597" spans="1:4" x14ac:dyDescent="0.25">
      <c r="A597" s="47">
        <v>972705824</v>
      </c>
      <c r="B597" s="9">
        <v>47717</v>
      </c>
      <c r="C597" s="9"/>
      <c r="D597" s="3"/>
    </row>
    <row r="598" spans="1:4" x14ac:dyDescent="0.25">
      <c r="A598" s="47">
        <v>973277644</v>
      </c>
      <c r="B598" s="9">
        <v>53784</v>
      </c>
      <c r="C598" s="9"/>
      <c r="D598" s="3"/>
    </row>
    <row r="599" spans="1:4" x14ac:dyDescent="0.25">
      <c r="A599" s="47">
        <v>975391140</v>
      </c>
      <c r="B599" s="9">
        <v>58320</v>
      </c>
      <c r="C599" s="9"/>
      <c r="D599" s="3"/>
    </row>
    <row r="600" spans="1:4" x14ac:dyDescent="0.25">
      <c r="A600" s="47">
        <v>975889466</v>
      </c>
      <c r="B600" s="9">
        <v>74232</v>
      </c>
      <c r="C600" s="9"/>
      <c r="D600" s="3"/>
    </row>
    <row r="601" spans="1:4" x14ac:dyDescent="0.25">
      <c r="A601" s="47">
        <v>976272365</v>
      </c>
      <c r="B601" s="9">
        <v>92292</v>
      </c>
      <c r="C601" s="9"/>
      <c r="D601" s="3"/>
    </row>
    <row r="602" spans="1:4" x14ac:dyDescent="0.25">
      <c r="A602" s="47">
        <v>977924142</v>
      </c>
      <c r="B602" s="9">
        <v>88488</v>
      </c>
      <c r="C602" s="9"/>
      <c r="D602" s="3"/>
    </row>
    <row r="603" spans="1:4" x14ac:dyDescent="0.25">
      <c r="A603" s="47">
        <v>979931675</v>
      </c>
      <c r="B603" s="9">
        <v>38520</v>
      </c>
      <c r="C603" s="9"/>
      <c r="D603" s="3"/>
    </row>
    <row r="604" spans="1:4" x14ac:dyDescent="0.25">
      <c r="A604" s="47">
        <v>982212265</v>
      </c>
      <c r="B604" s="9">
        <v>71196</v>
      </c>
      <c r="C604" s="9"/>
      <c r="D604" s="3"/>
    </row>
    <row r="605" spans="1:4" x14ac:dyDescent="0.25">
      <c r="A605" s="47">
        <v>982550731</v>
      </c>
      <c r="B605" s="9">
        <v>46800</v>
      </c>
      <c r="C605" s="9"/>
      <c r="D605" s="3"/>
    </row>
    <row r="606" spans="1:4" x14ac:dyDescent="0.25">
      <c r="A606" s="47">
        <v>982932178</v>
      </c>
      <c r="B606" s="9">
        <v>92316</v>
      </c>
      <c r="C606" s="9"/>
      <c r="D606" s="3"/>
    </row>
    <row r="607" spans="1:4" x14ac:dyDescent="0.25">
      <c r="A607" s="47">
        <v>983814038</v>
      </c>
      <c r="B607" s="9">
        <v>47616</v>
      </c>
      <c r="C607" s="9"/>
      <c r="D607" s="3"/>
    </row>
    <row r="608" spans="1:4" x14ac:dyDescent="0.25">
      <c r="A608" s="47">
        <v>985808350</v>
      </c>
      <c r="B608" s="9">
        <v>36420</v>
      </c>
      <c r="C608" s="9"/>
      <c r="D608" s="3"/>
    </row>
    <row r="609" spans="1:4" x14ac:dyDescent="0.25">
      <c r="A609" s="47">
        <v>986163808</v>
      </c>
      <c r="B609" s="9">
        <v>53933</v>
      </c>
      <c r="C609" s="9"/>
      <c r="D609" s="3"/>
    </row>
    <row r="610" spans="1:4" x14ac:dyDescent="0.25">
      <c r="A610" s="47">
        <v>986986455</v>
      </c>
      <c r="B610" s="9">
        <v>104544</v>
      </c>
      <c r="C610" s="9"/>
      <c r="D610" s="3"/>
    </row>
    <row r="611" spans="1:4" x14ac:dyDescent="0.25">
      <c r="A611" s="47">
        <v>989661682</v>
      </c>
      <c r="B611" s="9">
        <v>86016</v>
      </c>
      <c r="C611" s="9"/>
      <c r="D611" s="3"/>
    </row>
    <row r="612" spans="1:4" x14ac:dyDescent="0.25">
      <c r="A612" s="47">
        <v>989729458</v>
      </c>
      <c r="B612" s="9">
        <v>107568</v>
      </c>
      <c r="C612" s="9"/>
      <c r="D612" s="3"/>
    </row>
    <row r="613" spans="1:4" x14ac:dyDescent="0.25">
      <c r="A613" s="47">
        <v>990861618</v>
      </c>
      <c r="B613" s="9">
        <v>49272</v>
      </c>
      <c r="C613" s="9"/>
      <c r="D613" s="3"/>
    </row>
    <row r="614" spans="1:4" x14ac:dyDescent="0.25">
      <c r="A614" s="47">
        <v>990954335</v>
      </c>
      <c r="B614" s="9">
        <v>81912</v>
      </c>
      <c r="C614" s="9"/>
      <c r="D614" s="3"/>
    </row>
    <row r="615" spans="1:4" x14ac:dyDescent="0.25">
      <c r="A615" s="47">
        <v>994039123</v>
      </c>
      <c r="B615" s="9">
        <v>90211</v>
      </c>
      <c r="C615" s="9"/>
      <c r="D615" s="3"/>
    </row>
    <row r="616" spans="1:4" x14ac:dyDescent="0.25">
      <c r="A616" s="47">
        <v>994495939</v>
      </c>
      <c r="B616" s="9">
        <v>88068</v>
      </c>
      <c r="C616" s="9"/>
      <c r="D616" s="3"/>
    </row>
    <row r="617" spans="1:4" x14ac:dyDescent="0.25">
      <c r="A617" s="47">
        <v>994612793</v>
      </c>
      <c r="B617" s="9">
        <v>92292</v>
      </c>
      <c r="C617" s="9"/>
      <c r="D617" s="3"/>
    </row>
    <row r="618" spans="1:4" x14ac:dyDescent="0.25">
      <c r="A618" s="47">
        <v>995301167</v>
      </c>
      <c r="B618" s="9">
        <v>45348</v>
      </c>
      <c r="C618" s="9"/>
      <c r="D618" s="3"/>
    </row>
    <row r="619" spans="1:4" x14ac:dyDescent="0.25">
      <c r="A619" s="47">
        <v>996145627</v>
      </c>
      <c r="B619" s="9">
        <v>84912</v>
      </c>
      <c r="C619" s="9"/>
      <c r="D619" s="3"/>
    </row>
    <row r="620" spans="1:4" x14ac:dyDescent="0.25">
      <c r="A620" s="47">
        <v>998715860</v>
      </c>
      <c r="B620" s="9">
        <v>72996</v>
      </c>
      <c r="C620" s="9"/>
      <c r="D620" s="3"/>
    </row>
    <row r="621" spans="1:4" x14ac:dyDescent="0.25">
      <c r="A621" s="47">
        <v>998969432</v>
      </c>
      <c r="B621" s="9">
        <v>107736</v>
      </c>
      <c r="C621" s="9"/>
      <c r="D621" s="3"/>
    </row>
    <row r="622" spans="1:4" x14ac:dyDescent="0.25">
      <c r="B622" s="9"/>
      <c r="C622" s="9"/>
      <c r="D622" s="3"/>
    </row>
    <row r="623" spans="1:4" x14ac:dyDescent="0.25">
      <c r="B623" s="9"/>
      <c r="C623" s="9"/>
      <c r="D623" s="3"/>
    </row>
    <row r="624" spans="1:4" x14ac:dyDescent="0.25">
      <c r="B624" s="9"/>
      <c r="C624" s="9"/>
      <c r="D624" s="3"/>
    </row>
    <row r="625" spans="2:4" x14ac:dyDescent="0.25">
      <c r="B625" s="9"/>
      <c r="C625" s="9"/>
      <c r="D625" s="3"/>
    </row>
    <row r="626" spans="2:4" x14ac:dyDescent="0.25">
      <c r="B626" s="9"/>
      <c r="C626" s="9"/>
      <c r="D626" s="3"/>
    </row>
    <row r="627" spans="2:4" x14ac:dyDescent="0.25">
      <c r="B627" s="9"/>
      <c r="C627" s="9"/>
      <c r="D627" s="3"/>
    </row>
    <row r="628" spans="2:4" x14ac:dyDescent="0.25">
      <c r="B628" s="9"/>
      <c r="C628" s="9"/>
      <c r="D628" s="3"/>
    </row>
    <row r="629" spans="2:4" x14ac:dyDescent="0.25">
      <c r="B629" s="9"/>
      <c r="C629" s="9"/>
      <c r="D629" s="3"/>
    </row>
    <row r="630" spans="2:4" x14ac:dyDescent="0.25">
      <c r="B630" s="9"/>
      <c r="C630" s="9"/>
      <c r="D630" s="3"/>
    </row>
    <row r="631" spans="2:4" x14ac:dyDescent="0.25">
      <c r="B631" s="9"/>
      <c r="C631" s="9"/>
      <c r="D631" s="3"/>
    </row>
    <row r="632" spans="2:4" x14ac:dyDescent="0.25">
      <c r="B632" s="9"/>
      <c r="C632" s="9"/>
      <c r="D632" s="3"/>
    </row>
    <row r="633" spans="2:4" x14ac:dyDescent="0.25">
      <c r="B633" s="9"/>
      <c r="C633" s="9"/>
      <c r="D633" s="3"/>
    </row>
    <row r="634" spans="2:4" x14ac:dyDescent="0.25">
      <c r="B634" s="9"/>
      <c r="C634" s="9"/>
      <c r="D634" s="3"/>
    </row>
    <row r="635" spans="2:4" x14ac:dyDescent="0.25">
      <c r="B635" s="9"/>
      <c r="C635" s="9"/>
      <c r="D635" s="3"/>
    </row>
    <row r="636" spans="2:4" x14ac:dyDescent="0.25">
      <c r="B636" s="9"/>
      <c r="C636" s="9"/>
      <c r="D636" s="3"/>
    </row>
    <row r="637" spans="2:4" x14ac:dyDescent="0.25">
      <c r="B637" s="9"/>
      <c r="C637" s="9"/>
      <c r="D637" s="3"/>
    </row>
    <row r="638" spans="2:4" x14ac:dyDescent="0.25">
      <c r="B638" s="9"/>
      <c r="C638" s="9"/>
      <c r="D638" s="3"/>
    </row>
    <row r="639" spans="2:4" x14ac:dyDescent="0.25">
      <c r="B639" s="9"/>
      <c r="C639" s="9"/>
      <c r="D639" s="3"/>
    </row>
    <row r="640" spans="2:4" x14ac:dyDescent="0.25">
      <c r="B640" s="9"/>
      <c r="C640" s="9"/>
      <c r="D640" s="3"/>
    </row>
    <row r="641" spans="2:4" x14ac:dyDescent="0.25">
      <c r="B641" s="9"/>
      <c r="C641" s="9"/>
      <c r="D641" s="3"/>
    </row>
    <row r="642" spans="2:4" x14ac:dyDescent="0.25">
      <c r="B642" s="9"/>
      <c r="C642" s="9"/>
      <c r="D642" s="3"/>
    </row>
    <row r="643" spans="2:4" x14ac:dyDescent="0.25">
      <c r="B643" s="9"/>
      <c r="C643" s="9"/>
      <c r="D643" s="3"/>
    </row>
    <row r="644" spans="2:4" x14ac:dyDescent="0.25">
      <c r="B644" s="9"/>
      <c r="C644" s="9"/>
      <c r="D644" s="3"/>
    </row>
    <row r="645" spans="2:4" x14ac:dyDescent="0.25">
      <c r="B645" s="9"/>
      <c r="C645" s="9"/>
      <c r="D645" s="3"/>
    </row>
    <row r="646" spans="2:4" x14ac:dyDescent="0.25">
      <c r="B646" s="9"/>
      <c r="C646" s="9"/>
      <c r="D646" s="3"/>
    </row>
    <row r="647" spans="2:4" x14ac:dyDescent="0.25">
      <c r="B647" s="9"/>
      <c r="C647" s="9"/>
      <c r="D647" s="3"/>
    </row>
    <row r="648" spans="2:4" x14ac:dyDescent="0.25">
      <c r="B648" s="9"/>
      <c r="C648" s="9"/>
      <c r="D648" s="3"/>
    </row>
    <row r="649" spans="2:4" x14ac:dyDescent="0.25">
      <c r="B649" s="9"/>
      <c r="C649" s="9"/>
      <c r="D649" s="3"/>
    </row>
    <row r="650" spans="2:4" x14ac:dyDescent="0.25">
      <c r="B650" s="9"/>
      <c r="C650" s="9"/>
      <c r="D650" s="3"/>
    </row>
    <row r="651" spans="2:4" x14ac:dyDescent="0.25">
      <c r="B651" s="9"/>
      <c r="C651" s="9"/>
      <c r="D651" s="3"/>
    </row>
    <row r="652" spans="2:4" x14ac:dyDescent="0.25">
      <c r="B652" s="9"/>
      <c r="C652" s="9"/>
      <c r="D652" s="3"/>
    </row>
    <row r="653" spans="2:4" x14ac:dyDescent="0.25">
      <c r="B653" s="9"/>
      <c r="C653" s="9"/>
      <c r="D653" s="3"/>
    </row>
    <row r="654" spans="2:4" x14ac:dyDescent="0.25">
      <c r="B654" s="9"/>
      <c r="C654" s="9"/>
      <c r="D654" s="3"/>
    </row>
    <row r="655" spans="2:4" x14ac:dyDescent="0.25">
      <c r="B655" s="9"/>
      <c r="C655" s="9"/>
      <c r="D655" s="3"/>
    </row>
    <row r="656" spans="2:4" x14ac:dyDescent="0.25">
      <c r="B656" s="9"/>
      <c r="C656" s="9"/>
      <c r="D656" s="3"/>
    </row>
    <row r="657" spans="2:4" x14ac:dyDescent="0.25">
      <c r="B657" s="9"/>
      <c r="C657" s="9"/>
      <c r="D657" s="3"/>
    </row>
    <row r="658" spans="2:4" x14ac:dyDescent="0.25">
      <c r="B658" s="9"/>
      <c r="C658" s="9"/>
      <c r="D658" s="3"/>
    </row>
    <row r="659" spans="2:4" x14ac:dyDescent="0.25">
      <c r="B659" s="9"/>
      <c r="C659" s="9"/>
      <c r="D659" s="3"/>
    </row>
    <row r="660" spans="2:4" x14ac:dyDescent="0.25">
      <c r="B660" s="9"/>
      <c r="C660" s="9"/>
      <c r="D660" s="3"/>
    </row>
    <row r="661" spans="2:4" x14ac:dyDescent="0.25">
      <c r="B661" s="9"/>
      <c r="C661" s="9"/>
      <c r="D661" s="3"/>
    </row>
    <row r="662" spans="2:4" x14ac:dyDescent="0.25">
      <c r="B662" s="9"/>
      <c r="C662" s="9"/>
      <c r="D662" s="3"/>
    </row>
    <row r="663" spans="2:4" x14ac:dyDescent="0.25">
      <c r="B663" s="9"/>
      <c r="C663" s="9"/>
      <c r="D663" s="3"/>
    </row>
    <row r="664" spans="2:4" x14ac:dyDescent="0.25">
      <c r="B664" s="9"/>
      <c r="C664" s="9"/>
      <c r="D664" s="3"/>
    </row>
    <row r="665" spans="2:4" x14ac:dyDescent="0.25">
      <c r="B665" s="9"/>
      <c r="C665" s="9"/>
      <c r="D665" s="3"/>
    </row>
    <row r="666" spans="2:4" x14ac:dyDescent="0.25">
      <c r="B666" s="9"/>
      <c r="C666" s="9"/>
      <c r="D666" s="3"/>
    </row>
    <row r="667" spans="2:4" x14ac:dyDescent="0.25">
      <c r="B667" s="9"/>
      <c r="C667" s="9"/>
      <c r="D667" s="3"/>
    </row>
    <row r="668" spans="2:4" x14ac:dyDescent="0.25">
      <c r="B668" s="9"/>
      <c r="C668" s="9"/>
      <c r="D668" s="3"/>
    </row>
    <row r="669" spans="2:4" x14ac:dyDescent="0.25">
      <c r="B669" s="9"/>
      <c r="C669" s="9"/>
      <c r="D669" s="3"/>
    </row>
    <row r="670" spans="2:4" x14ac:dyDescent="0.25">
      <c r="B670" s="9"/>
      <c r="C670" s="9"/>
      <c r="D670" s="3"/>
    </row>
    <row r="671" spans="2:4" x14ac:dyDescent="0.25">
      <c r="B671" s="9"/>
      <c r="C671" s="9"/>
      <c r="D671" s="3"/>
    </row>
    <row r="672" spans="2:4" x14ac:dyDescent="0.25">
      <c r="B672" s="9"/>
      <c r="C672" s="9"/>
      <c r="D672" s="3"/>
    </row>
    <row r="673" spans="2:4" x14ac:dyDescent="0.25">
      <c r="B673" s="9"/>
      <c r="C673" s="9"/>
      <c r="D673" s="3"/>
    </row>
    <row r="674" spans="2:4" x14ac:dyDescent="0.25">
      <c r="B674" s="9"/>
      <c r="C674" s="9"/>
      <c r="D674" s="3"/>
    </row>
    <row r="675" spans="2:4" x14ac:dyDescent="0.25">
      <c r="B675" s="9"/>
      <c r="C675" s="9"/>
      <c r="D675" s="3"/>
    </row>
    <row r="676" spans="2:4" x14ac:dyDescent="0.25">
      <c r="B676" s="9"/>
      <c r="C676" s="9"/>
      <c r="D676" s="3"/>
    </row>
    <row r="677" spans="2:4" x14ac:dyDescent="0.25">
      <c r="B677" s="9"/>
      <c r="C677" s="9"/>
      <c r="D677" s="3"/>
    </row>
    <row r="678" spans="2:4" x14ac:dyDescent="0.25">
      <c r="B678" s="9"/>
      <c r="C678" s="9"/>
      <c r="D678" s="3"/>
    </row>
    <row r="679" spans="2:4" x14ac:dyDescent="0.25">
      <c r="B679" s="9"/>
      <c r="C679" s="9"/>
      <c r="D679" s="3"/>
    </row>
    <row r="680" spans="2:4" x14ac:dyDescent="0.25">
      <c r="B680" s="9"/>
      <c r="C680" s="9"/>
      <c r="D680" s="3"/>
    </row>
    <row r="681" spans="2:4" x14ac:dyDescent="0.25">
      <c r="B681" s="9"/>
      <c r="C681" s="9"/>
      <c r="D681" s="3"/>
    </row>
    <row r="682" spans="2:4" x14ac:dyDescent="0.25">
      <c r="B682" s="9"/>
      <c r="C682" s="9"/>
      <c r="D682" s="3"/>
    </row>
    <row r="683" spans="2:4" x14ac:dyDescent="0.25">
      <c r="B683" s="9"/>
      <c r="C683" s="9"/>
      <c r="D683" s="3"/>
    </row>
    <row r="684" spans="2:4" x14ac:dyDescent="0.25">
      <c r="B684" s="9"/>
      <c r="C684" s="9"/>
      <c r="D684" s="3"/>
    </row>
    <row r="685" spans="2:4" x14ac:dyDescent="0.25">
      <c r="B685" s="9"/>
      <c r="C685" s="9"/>
      <c r="D685" s="3"/>
    </row>
    <row r="686" spans="2:4" x14ac:dyDescent="0.25">
      <c r="B686" s="9"/>
      <c r="C686" s="9"/>
      <c r="D686" s="3"/>
    </row>
    <row r="687" spans="2:4" x14ac:dyDescent="0.25">
      <c r="B687" s="9"/>
      <c r="C687" s="9"/>
      <c r="D687" s="3"/>
    </row>
    <row r="688" spans="2:4" x14ac:dyDescent="0.25">
      <c r="B688" s="9"/>
      <c r="C688" s="9"/>
      <c r="D688" s="3"/>
    </row>
    <row r="689" spans="2:4" x14ac:dyDescent="0.25">
      <c r="B689" s="9"/>
      <c r="C689" s="9"/>
      <c r="D689" s="3"/>
    </row>
    <row r="690" spans="2:4" x14ac:dyDescent="0.25">
      <c r="B690" s="9"/>
      <c r="C690" s="9"/>
      <c r="D690" s="3"/>
    </row>
    <row r="691" spans="2:4" x14ac:dyDescent="0.25">
      <c r="B691" s="9"/>
      <c r="C691" s="9"/>
      <c r="D691" s="3"/>
    </row>
    <row r="692" spans="2:4" x14ac:dyDescent="0.25">
      <c r="B692" s="9"/>
      <c r="C692" s="9"/>
      <c r="D692" s="3"/>
    </row>
    <row r="693" spans="2:4" x14ac:dyDescent="0.25">
      <c r="B693" s="9"/>
      <c r="C693" s="9"/>
      <c r="D693" s="3"/>
    </row>
    <row r="694" spans="2:4" x14ac:dyDescent="0.25">
      <c r="B694" s="9"/>
      <c r="C694" s="9"/>
      <c r="D694" s="3"/>
    </row>
    <row r="695" spans="2:4" x14ac:dyDescent="0.25">
      <c r="B695" s="9"/>
      <c r="C695" s="9"/>
      <c r="D695" s="3"/>
    </row>
    <row r="696" spans="2:4" x14ac:dyDescent="0.25">
      <c r="B696" s="9"/>
      <c r="C696" s="9"/>
      <c r="D696" s="3"/>
    </row>
    <row r="697" spans="2:4" x14ac:dyDescent="0.25">
      <c r="B697" s="9"/>
      <c r="C697" s="9"/>
      <c r="D697" s="3"/>
    </row>
    <row r="698" spans="2:4" x14ac:dyDescent="0.25">
      <c r="B698" s="9"/>
      <c r="C698" s="9"/>
      <c r="D698" s="3"/>
    </row>
    <row r="699" spans="2:4" x14ac:dyDescent="0.25">
      <c r="B699" s="9"/>
      <c r="C699" s="9"/>
      <c r="D699" s="3"/>
    </row>
    <row r="700" spans="2:4" x14ac:dyDescent="0.25">
      <c r="B700" s="9"/>
      <c r="C700" s="9"/>
      <c r="D700" s="3"/>
    </row>
    <row r="701" spans="2:4" x14ac:dyDescent="0.25">
      <c r="B701" s="9"/>
      <c r="C701" s="9"/>
      <c r="D701" s="3"/>
    </row>
    <row r="702" spans="2:4" x14ac:dyDescent="0.25">
      <c r="B702" s="9"/>
      <c r="C702" s="9"/>
      <c r="D702" s="3"/>
    </row>
    <row r="703" spans="2:4" x14ac:dyDescent="0.25">
      <c r="B703" s="9"/>
      <c r="C703" s="9"/>
      <c r="D703" s="3"/>
    </row>
    <row r="704" spans="2:4" x14ac:dyDescent="0.25">
      <c r="B704" s="9"/>
      <c r="C704" s="9"/>
      <c r="D704" s="3"/>
    </row>
    <row r="705" spans="2:4" x14ac:dyDescent="0.25">
      <c r="B705" s="9"/>
      <c r="C705" s="9"/>
      <c r="D705" s="3"/>
    </row>
    <row r="706" spans="2:4" x14ac:dyDescent="0.25">
      <c r="B706" s="9"/>
      <c r="C706" s="9"/>
      <c r="D706" s="3"/>
    </row>
    <row r="707" spans="2:4" x14ac:dyDescent="0.25">
      <c r="B707" s="9"/>
      <c r="C707" s="9"/>
      <c r="D707" s="3"/>
    </row>
    <row r="708" spans="2:4" x14ac:dyDescent="0.25">
      <c r="B708" s="9"/>
      <c r="C708" s="9"/>
      <c r="D708" s="3"/>
    </row>
    <row r="709" spans="2:4" x14ac:dyDescent="0.25">
      <c r="B709" s="9"/>
      <c r="C709" s="9"/>
      <c r="D709" s="3"/>
    </row>
    <row r="710" spans="2:4" x14ac:dyDescent="0.25">
      <c r="B710" s="9"/>
      <c r="C710" s="9"/>
      <c r="D710" s="3"/>
    </row>
    <row r="711" spans="2:4" x14ac:dyDescent="0.25">
      <c r="B711" s="9"/>
      <c r="C711" s="9"/>
      <c r="D711" s="3"/>
    </row>
    <row r="712" spans="2:4" x14ac:dyDescent="0.25">
      <c r="B712" s="9"/>
      <c r="C712" s="9"/>
      <c r="D712" s="3"/>
    </row>
    <row r="713" spans="2:4" x14ac:dyDescent="0.25">
      <c r="B713" s="9"/>
      <c r="C713" s="9"/>
      <c r="D713" s="3"/>
    </row>
    <row r="714" spans="2:4" x14ac:dyDescent="0.25">
      <c r="B714" s="9"/>
      <c r="C714" s="9"/>
      <c r="D714" s="3"/>
    </row>
    <row r="715" spans="2:4" x14ac:dyDescent="0.25">
      <c r="B715" s="9"/>
      <c r="C715" s="9"/>
      <c r="D715" s="3"/>
    </row>
    <row r="716" spans="2:4" x14ac:dyDescent="0.25">
      <c r="B716" s="9"/>
      <c r="C716" s="9"/>
      <c r="D716" s="3"/>
    </row>
    <row r="717" spans="2:4" x14ac:dyDescent="0.25">
      <c r="B717" s="9"/>
      <c r="C717" s="9"/>
      <c r="D717" s="3"/>
    </row>
    <row r="718" spans="2:4" x14ac:dyDescent="0.25">
      <c r="B718" s="9"/>
      <c r="C718" s="9"/>
      <c r="D718" s="3"/>
    </row>
    <row r="719" spans="2:4" x14ac:dyDescent="0.25">
      <c r="B719" s="9"/>
      <c r="C719" s="9"/>
      <c r="D719" s="3"/>
    </row>
    <row r="720" spans="2:4" x14ac:dyDescent="0.25">
      <c r="B720" s="9"/>
      <c r="C720" s="9"/>
      <c r="D720" s="3"/>
    </row>
    <row r="721" spans="2:4" x14ac:dyDescent="0.25">
      <c r="B721" s="9"/>
      <c r="C721" s="9"/>
      <c r="D721" s="3"/>
    </row>
    <row r="722" spans="2:4" x14ac:dyDescent="0.25">
      <c r="B722" s="9"/>
      <c r="C722" s="9"/>
      <c r="D722" s="3"/>
    </row>
    <row r="723" spans="2:4" x14ac:dyDescent="0.25">
      <c r="B723" s="9"/>
      <c r="C723" s="9"/>
      <c r="D723" s="3"/>
    </row>
    <row r="724" spans="2:4" x14ac:dyDescent="0.25">
      <c r="B724" s="9"/>
      <c r="C724" s="9"/>
      <c r="D724" s="3"/>
    </row>
    <row r="725" spans="2:4" x14ac:dyDescent="0.25">
      <c r="B725" s="9"/>
      <c r="C725" s="9"/>
      <c r="D725" s="3"/>
    </row>
    <row r="726" spans="2:4" x14ac:dyDescent="0.25">
      <c r="B726" s="9"/>
      <c r="C726" s="9"/>
      <c r="D726" s="3"/>
    </row>
    <row r="727" spans="2:4" x14ac:dyDescent="0.25">
      <c r="B727" s="9"/>
      <c r="C727" s="9"/>
      <c r="D727" s="3"/>
    </row>
    <row r="728" spans="2:4" x14ac:dyDescent="0.25">
      <c r="B728" s="9"/>
      <c r="C728" s="9"/>
      <c r="D728" s="3"/>
    </row>
    <row r="729" spans="2:4" x14ac:dyDescent="0.25">
      <c r="B729" s="9"/>
      <c r="C729" s="9"/>
      <c r="D729" s="3"/>
    </row>
    <row r="730" spans="2:4" x14ac:dyDescent="0.25">
      <c r="B730" s="9"/>
      <c r="C730" s="9"/>
      <c r="D730" s="3"/>
    </row>
    <row r="731" spans="2:4" x14ac:dyDescent="0.25">
      <c r="B731" s="9"/>
      <c r="C731" s="9"/>
      <c r="D731" s="3"/>
    </row>
    <row r="732" spans="2:4" x14ac:dyDescent="0.25">
      <c r="B732" s="9"/>
      <c r="C732" s="9"/>
      <c r="D732" s="3"/>
    </row>
    <row r="733" spans="2:4" x14ac:dyDescent="0.25">
      <c r="B733" s="9"/>
      <c r="C733" s="9"/>
      <c r="D733" s="3"/>
    </row>
    <row r="734" spans="2:4" x14ac:dyDescent="0.25">
      <c r="B734" s="9"/>
      <c r="C734" s="9"/>
      <c r="D734" s="3"/>
    </row>
    <row r="735" spans="2:4" x14ac:dyDescent="0.25">
      <c r="B735" s="9"/>
      <c r="C735" s="9"/>
      <c r="D735" s="3"/>
    </row>
    <row r="736" spans="2:4" x14ac:dyDescent="0.25">
      <c r="B736" s="9"/>
      <c r="C736" s="9"/>
      <c r="D736" s="3"/>
    </row>
    <row r="737" spans="2:4" x14ac:dyDescent="0.25">
      <c r="B737" s="9"/>
      <c r="C737" s="9"/>
      <c r="D737" s="3"/>
    </row>
    <row r="738" spans="2:4" x14ac:dyDescent="0.25">
      <c r="B738" s="9"/>
      <c r="C738" s="9"/>
      <c r="D738" s="3"/>
    </row>
    <row r="739" spans="2:4" x14ac:dyDescent="0.25">
      <c r="B739" s="9"/>
      <c r="C739" s="9"/>
      <c r="D739" s="3"/>
    </row>
    <row r="740" spans="2:4" x14ac:dyDescent="0.25">
      <c r="B740" s="9"/>
      <c r="C740" s="9"/>
      <c r="D740" s="3"/>
    </row>
    <row r="741" spans="2:4" x14ac:dyDescent="0.25">
      <c r="B741" s="9"/>
      <c r="C741" s="9"/>
      <c r="D741" s="3"/>
    </row>
    <row r="742" spans="2:4" x14ac:dyDescent="0.25">
      <c r="B742" s="9"/>
      <c r="C742" s="9"/>
      <c r="D742" s="3"/>
    </row>
  </sheetData>
  <sortState ref="A2:B621">
    <sortCondition ref="A4"/>
  </sortState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L16"/>
  <sheetViews>
    <sheetView zoomScale="130" zoomScaleNormal="130" workbookViewId="0">
      <selection sqref="A1:I1"/>
    </sheetView>
  </sheetViews>
  <sheetFormatPr defaultColWidth="9.140625" defaultRowHeight="15" x14ac:dyDescent="0.25"/>
  <cols>
    <col min="1" max="1" width="9.5703125" style="4" bestFit="1" customWidth="1"/>
    <col min="2" max="2" width="10.140625" style="4" bestFit="1" customWidth="1"/>
    <col min="3" max="7" width="9.42578125" style="4" bestFit="1" customWidth="1"/>
    <col min="8" max="8" width="11.140625" style="4" bestFit="1" customWidth="1"/>
    <col min="9" max="9" width="9.42578125" style="4" bestFit="1" customWidth="1"/>
    <col min="10" max="10" width="9.140625" style="4"/>
    <col min="11" max="11" width="12.7109375" style="4" bestFit="1" customWidth="1"/>
    <col min="12" max="16384" width="9.140625" style="4"/>
  </cols>
  <sheetData>
    <row r="1" spans="1:12" ht="26.25" customHeight="1" x14ac:dyDescent="0.45">
      <c r="A1" s="80" t="s">
        <v>457</v>
      </c>
      <c r="B1" s="80"/>
      <c r="C1" s="80"/>
      <c r="D1" s="80"/>
      <c r="E1" s="80"/>
      <c r="F1" s="80"/>
      <c r="G1" s="80"/>
      <c r="H1" s="80"/>
      <c r="I1" s="80"/>
      <c r="J1" s="34"/>
      <c r="K1" s="35"/>
      <c r="L1" s="34"/>
    </row>
    <row r="2" spans="1:12" x14ac:dyDescent="0.25">
      <c r="A2" s="79" t="s">
        <v>509</v>
      </c>
      <c r="B2" s="79"/>
      <c r="C2" s="79"/>
      <c r="D2" s="79"/>
      <c r="E2" s="79"/>
      <c r="F2" s="79"/>
      <c r="G2" s="79"/>
      <c r="H2" s="79"/>
      <c r="I2" s="79"/>
      <c r="J2" s="34"/>
      <c r="K2" s="36"/>
      <c r="L2" s="34"/>
    </row>
    <row r="3" spans="1:12" x14ac:dyDescent="0.25">
      <c r="A3" s="37"/>
      <c r="B3" s="38" t="s">
        <v>23</v>
      </c>
      <c r="C3" s="38" t="s">
        <v>25</v>
      </c>
      <c r="D3" s="38" t="s">
        <v>27</v>
      </c>
      <c r="E3" s="38" t="s">
        <v>29</v>
      </c>
      <c r="F3" s="38" t="s">
        <v>30</v>
      </c>
      <c r="G3" s="38" t="s">
        <v>32</v>
      </c>
      <c r="H3" s="38" t="s">
        <v>3</v>
      </c>
      <c r="I3" s="38" t="s">
        <v>458</v>
      </c>
      <c r="J3" s="34"/>
      <c r="K3" s="35"/>
      <c r="L3" s="34"/>
    </row>
    <row r="4" spans="1:12" x14ac:dyDescent="0.25">
      <c r="A4" s="39" t="s">
        <v>459</v>
      </c>
      <c r="B4" s="40">
        <v>155</v>
      </c>
      <c r="C4" s="40">
        <v>180</v>
      </c>
      <c r="D4" s="40">
        <v>250</v>
      </c>
      <c r="E4" s="40">
        <v>240</v>
      </c>
      <c r="F4" s="40">
        <v>300</v>
      </c>
      <c r="G4" s="40">
        <v>450</v>
      </c>
      <c r="H4" s="40">
        <f>SUM(B4:G4)</f>
        <v>1575</v>
      </c>
      <c r="I4" s="40">
        <f>AVERAGE(B4:G4)</f>
        <v>262.5</v>
      </c>
      <c r="J4" s="34"/>
      <c r="K4" s="34"/>
      <c r="L4" s="34"/>
    </row>
    <row r="5" spans="1:12" x14ac:dyDescent="0.25">
      <c r="A5" s="39" t="s">
        <v>460</v>
      </c>
      <c r="B5" s="8">
        <v>100</v>
      </c>
      <c r="C5" s="8">
        <v>130</v>
      </c>
      <c r="D5" s="8">
        <v>120</v>
      </c>
      <c r="E5" s="8">
        <v>220</v>
      </c>
      <c r="F5" s="8">
        <v>260</v>
      </c>
      <c r="G5" s="8">
        <v>350</v>
      </c>
      <c r="H5" s="8">
        <f>SUM(B5:G5)</f>
        <v>1180</v>
      </c>
      <c r="I5" s="8">
        <f>AVERAGE(B5:G5)</f>
        <v>196.66666666666666</v>
      </c>
      <c r="J5" s="34"/>
      <c r="K5" s="41"/>
      <c r="L5" s="34"/>
    </row>
    <row r="6" spans="1:12" x14ac:dyDescent="0.25">
      <c r="A6" s="39" t="s">
        <v>461</v>
      </c>
      <c r="B6" s="8">
        <f t="shared" ref="B6:G6" si="0">B4-B5</f>
        <v>55</v>
      </c>
      <c r="C6" s="8">
        <f t="shared" si="0"/>
        <v>50</v>
      </c>
      <c r="D6" s="8">
        <f t="shared" si="0"/>
        <v>130</v>
      </c>
      <c r="E6" s="8">
        <f t="shared" si="0"/>
        <v>20</v>
      </c>
      <c r="F6" s="8">
        <f t="shared" si="0"/>
        <v>40</v>
      </c>
      <c r="G6" s="8">
        <f t="shared" si="0"/>
        <v>100</v>
      </c>
      <c r="H6" s="8">
        <f>SUM(B6:G6)</f>
        <v>395</v>
      </c>
      <c r="I6" s="8">
        <f>AVERAGE(B6:G6)</f>
        <v>65.833333333333329</v>
      </c>
      <c r="J6" s="34"/>
      <c r="K6" s="42"/>
      <c r="L6" s="34"/>
    </row>
    <row r="7" spans="1:12" x14ac:dyDescent="0.25">
      <c r="A7" s="39"/>
      <c r="B7" s="8"/>
      <c r="C7" s="8"/>
      <c r="D7" s="8"/>
      <c r="E7" s="8"/>
      <c r="F7" s="8"/>
      <c r="G7" s="8"/>
      <c r="H7" s="8"/>
      <c r="I7" s="8"/>
      <c r="J7" s="34"/>
      <c r="K7" s="34"/>
      <c r="L7" s="34"/>
    </row>
    <row r="9" spans="1:12" x14ac:dyDescent="0.25">
      <c r="B9" s="43"/>
      <c r="C9" s="43"/>
      <c r="D9" s="43"/>
    </row>
    <row r="10" spans="1:12" x14ac:dyDescent="0.25">
      <c r="B10" s="26"/>
      <c r="C10" s="26"/>
      <c r="D10" s="26"/>
    </row>
    <row r="11" spans="1:12" x14ac:dyDescent="0.25">
      <c r="B11" s="26"/>
      <c r="C11" s="26"/>
      <c r="D11" s="26"/>
    </row>
    <row r="12" spans="1:12" x14ac:dyDescent="0.25">
      <c r="B12" s="26"/>
      <c r="C12" s="26"/>
      <c r="D12" s="26"/>
    </row>
    <row r="13" spans="1:12" x14ac:dyDescent="0.25">
      <c r="B13" s="26"/>
      <c r="C13" s="26"/>
      <c r="D13" s="26"/>
    </row>
    <row r="14" spans="1:12" x14ac:dyDescent="0.25">
      <c r="B14" s="26"/>
      <c r="C14" s="26"/>
      <c r="D14" s="26"/>
    </row>
    <row r="15" spans="1:12" x14ac:dyDescent="0.25">
      <c r="B15" s="26"/>
      <c r="C15" s="26"/>
      <c r="D15" s="26"/>
    </row>
    <row r="16" spans="1:12" x14ac:dyDescent="0.25">
      <c r="B16" s="26"/>
      <c r="C16" s="26"/>
      <c r="D16" s="26"/>
    </row>
  </sheetData>
  <mergeCells count="2">
    <mergeCell ref="A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P31"/>
  <sheetViews>
    <sheetView zoomScale="130" zoomScaleNormal="130" workbookViewId="0">
      <selection activeCell="B1" sqref="B1:D1"/>
    </sheetView>
  </sheetViews>
  <sheetFormatPr defaultColWidth="9.140625" defaultRowHeight="15" x14ac:dyDescent="0.25"/>
  <cols>
    <col min="1" max="1" width="9.85546875" style="31" bestFit="1" customWidth="1"/>
    <col min="2" max="2" width="12.28515625" style="5" bestFit="1" customWidth="1"/>
    <col min="3" max="4" width="11" style="5" bestFit="1" customWidth="1"/>
    <col min="5" max="16384" width="9.140625" style="32"/>
  </cols>
  <sheetData>
    <row r="1" spans="1:16" x14ac:dyDescent="0.25">
      <c r="B1" s="77" t="s">
        <v>459</v>
      </c>
      <c r="C1" s="77" t="s">
        <v>462</v>
      </c>
      <c r="D1" s="77" t="s">
        <v>463</v>
      </c>
    </row>
    <row r="2" spans="1:16" x14ac:dyDescent="0.25">
      <c r="A2" s="31">
        <v>41456</v>
      </c>
      <c r="B2" s="5">
        <v>1592398</v>
      </c>
      <c r="N2" s="33"/>
      <c r="O2" s="5"/>
      <c r="P2" s="5"/>
    </row>
    <row r="3" spans="1:16" x14ac:dyDescent="0.25">
      <c r="A3" s="31">
        <v>41487</v>
      </c>
      <c r="B3" s="5">
        <v>1597197</v>
      </c>
      <c r="N3" s="33"/>
    </row>
    <row r="4" spans="1:16" x14ac:dyDescent="0.25">
      <c r="A4" s="31">
        <v>41518</v>
      </c>
      <c r="B4" s="5">
        <v>1666080</v>
      </c>
      <c r="N4" s="33"/>
    </row>
    <row r="5" spans="1:16" x14ac:dyDescent="0.25">
      <c r="A5" s="31">
        <v>41548</v>
      </c>
      <c r="B5" s="5">
        <v>2484340</v>
      </c>
      <c r="N5" s="33"/>
    </row>
    <row r="6" spans="1:16" x14ac:dyDescent="0.25">
      <c r="A6" s="31">
        <v>41579</v>
      </c>
      <c r="B6" s="5">
        <v>2669994</v>
      </c>
      <c r="N6" s="33"/>
    </row>
    <row r="7" spans="1:16" x14ac:dyDescent="0.25">
      <c r="A7" s="31">
        <v>41609</v>
      </c>
      <c r="B7" s="5">
        <v>5081937</v>
      </c>
      <c r="N7" s="33"/>
    </row>
    <row r="8" spans="1:16" x14ac:dyDescent="0.25">
      <c r="A8" s="31">
        <v>41640</v>
      </c>
      <c r="B8" s="5">
        <v>3360840</v>
      </c>
      <c r="N8" s="33"/>
    </row>
    <row r="9" spans="1:16" x14ac:dyDescent="0.25">
      <c r="A9" s="31">
        <v>41671</v>
      </c>
      <c r="B9" s="5">
        <v>6989238</v>
      </c>
      <c r="N9" s="33"/>
    </row>
    <row r="10" spans="1:16" x14ac:dyDescent="0.25">
      <c r="A10" s="31">
        <v>41699</v>
      </c>
      <c r="B10" s="5">
        <v>7729650</v>
      </c>
      <c r="N10" s="33"/>
    </row>
    <row r="11" spans="1:16" x14ac:dyDescent="0.25">
      <c r="A11" s="31">
        <v>41730</v>
      </c>
      <c r="B11" s="5">
        <v>6038549</v>
      </c>
      <c r="N11" s="33"/>
    </row>
    <row r="12" spans="1:16" x14ac:dyDescent="0.25">
      <c r="A12" s="31">
        <v>41760</v>
      </c>
      <c r="B12" s="5">
        <v>5484312</v>
      </c>
      <c r="N12" s="33"/>
    </row>
    <row r="13" spans="1:16" x14ac:dyDescent="0.25">
      <c r="A13" s="31">
        <v>41791</v>
      </c>
      <c r="B13" s="5">
        <v>8551452</v>
      </c>
      <c r="N13" s="33"/>
    </row>
    <row r="14" spans="1:16" x14ac:dyDescent="0.25">
      <c r="A14" s="31">
        <v>41821</v>
      </c>
      <c r="B14" s="5">
        <v>8238174</v>
      </c>
      <c r="N14" s="33"/>
    </row>
    <row r="15" spans="1:16" x14ac:dyDescent="0.25">
      <c r="A15" s="31">
        <v>41852</v>
      </c>
      <c r="B15" s="5">
        <v>8831025</v>
      </c>
      <c r="N15" s="33"/>
    </row>
    <row r="16" spans="1:16" x14ac:dyDescent="0.25">
      <c r="A16" s="31">
        <v>41883</v>
      </c>
      <c r="B16" s="5">
        <v>6924096</v>
      </c>
      <c r="N16" s="33"/>
    </row>
    <row r="17" spans="1:14" x14ac:dyDescent="0.25">
      <c r="A17" s="31">
        <v>41913</v>
      </c>
      <c r="B17" s="5">
        <v>13085376</v>
      </c>
      <c r="N17" s="33"/>
    </row>
    <row r="18" spans="1:14" x14ac:dyDescent="0.25">
      <c r="A18" s="31">
        <v>41944</v>
      </c>
      <c r="B18" s="5">
        <v>8230572</v>
      </c>
      <c r="N18" s="33"/>
    </row>
    <row r="19" spans="1:14" x14ac:dyDescent="0.25">
      <c r="A19" s="31">
        <v>41974</v>
      </c>
      <c r="B19" s="5">
        <v>12352014</v>
      </c>
      <c r="N19" s="33"/>
    </row>
    <row r="20" spans="1:14" x14ac:dyDescent="0.25">
      <c r="A20" s="31">
        <v>42005</v>
      </c>
      <c r="B20" s="5">
        <v>8246180</v>
      </c>
      <c r="N20" s="33"/>
    </row>
    <row r="21" spans="1:14" x14ac:dyDescent="0.25">
      <c r="A21" s="31">
        <v>42036</v>
      </c>
      <c r="B21" s="5">
        <v>12531645</v>
      </c>
      <c r="N21" s="33"/>
    </row>
    <row r="22" spans="1:14" x14ac:dyDescent="0.25">
      <c r="A22" s="31">
        <v>42064</v>
      </c>
      <c r="B22" s="5">
        <v>11636328</v>
      </c>
      <c r="N22" s="33"/>
    </row>
    <row r="23" spans="1:14" x14ac:dyDescent="0.25">
      <c r="A23" s="31">
        <v>42095</v>
      </c>
      <c r="B23" s="5">
        <v>14015464</v>
      </c>
      <c r="N23" s="33"/>
    </row>
    <row r="24" spans="1:14" x14ac:dyDescent="0.25">
      <c r="A24" s="31">
        <v>42125</v>
      </c>
      <c r="B24" s="5">
        <v>19252800</v>
      </c>
      <c r="N24" s="33"/>
    </row>
    <row r="25" spans="1:14" x14ac:dyDescent="0.25">
      <c r="A25" s="31">
        <v>42156</v>
      </c>
      <c r="B25" s="5">
        <v>19362725</v>
      </c>
      <c r="N25" s="33"/>
    </row>
    <row r="26" spans="1:14" x14ac:dyDescent="0.25">
      <c r="A26" s="31">
        <v>42186</v>
      </c>
      <c r="B26" s="5">
        <v>12495600</v>
      </c>
      <c r="N26" s="33"/>
    </row>
    <row r="27" spans="1:14" x14ac:dyDescent="0.25">
      <c r="A27" s="31">
        <v>42217</v>
      </c>
      <c r="B27" s="5">
        <v>19798587</v>
      </c>
      <c r="N27" s="33"/>
    </row>
    <row r="28" spans="1:14" x14ac:dyDescent="0.25">
      <c r="A28" s="31">
        <v>42248</v>
      </c>
      <c r="B28" s="5">
        <v>17511312</v>
      </c>
      <c r="N28" s="33"/>
    </row>
    <row r="29" spans="1:14" x14ac:dyDescent="0.25">
      <c r="A29" s="31">
        <v>42278</v>
      </c>
      <c r="B29" s="5">
        <v>22216929</v>
      </c>
      <c r="N29" s="33"/>
    </row>
    <row r="30" spans="1:14" x14ac:dyDescent="0.25">
      <c r="A30" s="31">
        <v>42309</v>
      </c>
      <c r="B30" s="5">
        <v>14804280</v>
      </c>
      <c r="N30" s="33"/>
    </row>
    <row r="31" spans="1:14" x14ac:dyDescent="0.25">
      <c r="A31" s="31">
        <v>42339</v>
      </c>
      <c r="B31" s="5">
        <v>17176170</v>
      </c>
      <c r="N31" s="33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20"/>
  <sheetViews>
    <sheetView zoomScale="145" zoomScaleNormal="145" workbookViewId="0"/>
  </sheetViews>
  <sheetFormatPr defaultRowHeight="15" x14ac:dyDescent="0.25"/>
  <cols>
    <col min="1" max="1" width="10.7109375" style="11" bestFit="1" customWidth="1"/>
    <col min="2" max="2" width="10" style="11" bestFit="1" customWidth="1"/>
    <col min="3" max="3" width="8" style="11" bestFit="1" customWidth="1"/>
    <col min="4" max="4" width="4.140625" style="11" bestFit="1" customWidth="1"/>
    <col min="5" max="5" width="9.140625" style="11"/>
    <col min="6" max="6" width="4.85546875" style="11" customWidth="1"/>
    <col min="7" max="7" width="18.42578125" style="11" bestFit="1" customWidth="1"/>
    <col min="8" max="8" width="4.140625" style="11" bestFit="1" customWidth="1"/>
    <col min="9" max="9" width="30.140625" style="11" customWidth="1"/>
    <col min="10" max="16384" width="9.140625" style="11"/>
  </cols>
  <sheetData>
    <row r="1" spans="1:9" x14ac:dyDescent="0.25">
      <c r="A1" s="1" t="s">
        <v>470</v>
      </c>
      <c r="B1" s="1" t="s">
        <v>469</v>
      </c>
      <c r="C1" s="1" t="s">
        <v>459</v>
      </c>
      <c r="D1" s="2" t="s">
        <v>504</v>
      </c>
      <c r="E1" s="1"/>
      <c r="F1" s="1"/>
      <c r="G1" s="1" t="s">
        <v>471</v>
      </c>
      <c r="H1" s="2" t="s">
        <v>472</v>
      </c>
      <c r="I1" s="7" t="s">
        <v>459</v>
      </c>
    </row>
    <row r="2" spans="1:9" x14ac:dyDescent="0.25">
      <c r="A2" s="4" t="s">
        <v>505</v>
      </c>
      <c r="B2" s="3" t="s">
        <v>473</v>
      </c>
      <c r="C2" s="5">
        <v>61113</v>
      </c>
      <c r="D2" s="4">
        <f>VLOOKUP(B2&amp;", "&amp;A2,G:H,2,0)</f>
        <v>891</v>
      </c>
      <c r="E2" s="4"/>
      <c r="F2" s="4"/>
      <c r="G2" s="3" t="s">
        <v>513</v>
      </c>
      <c r="H2" s="4">
        <v>189</v>
      </c>
      <c r="I2" s="6"/>
    </row>
    <row r="3" spans="1:9" x14ac:dyDescent="0.25">
      <c r="A3" s="4" t="s">
        <v>515</v>
      </c>
      <c r="B3" s="3" t="s">
        <v>514</v>
      </c>
      <c r="C3" s="5">
        <v>77945</v>
      </c>
      <c r="D3" s="4">
        <f>VLOOKUP(B3&amp;", "&amp;A3,G:H,2,0)</f>
        <v>189</v>
      </c>
      <c r="E3" s="4"/>
      <c r="F3" s="4"/>
      <c r="G3" s="3" t="s">
        <v>502</v>
      </c>
      <c r="H3" s="4">
        <v>642</v>
      </c>
      <c r="I3" s="6"/>
    </row>
    <row r="4" spans="1:9" x14ac:dyDescent="0.25">
      <c r="A4" s="4" t="s">
        <v>475</v>
      </c>
      <c r="B4" s="3" t="s">
        <v>474</v>
      </c>
      <c r="C4" s="5">
        <v>98382</v>
      </c>
      <c r="D4" s="4">
        <f>VLOOKUP(B4&amp;", "&amp;A4,G:H,2,0)</f>
        <v>760</v>
      </c>
      <c r="E4" s="4"/>
      <c r="F4" s="4"/>
      <c r="G4" s="3" t="s">
        <v>420</v>
      </c>
      <c r="H4" s="4">
        <v>939</v>
      </c>
      <c r="I4" s="6"/>
    </row>
    <row r="5" spans="1:9" x14ac:dyDescent="0.25">
      <c r="A5" s="4" t="s">
        <v>477</v>
      </c>
      <c r="B5" s="3" t="s">
        <v>476</v>
      </c>
      <c r="C5" s="5">
        <v>63436</v>
      </c>
      <c r="D5" s="4">
        <f>VLOOKUP(B5&amp;", "&amp;A5,G:H,2,0)</f>
        <v>452</v>
      </c>
      <c r="E5" s="4"/>
      <c r="F5" s="4"/>
      <c r="G5" s="3" t="s">
        <v>291</v>
      </c>
      <c r="H5" s="4">
        <v>918</v>
      </c>
      <c r="I5" s="6"/>
    </row>
    <row r="6" spans="1:9" x14ac:dyDescent="0.25">
      <c r="A6" s="4" t="s">
        <v>479</v>
      </c>
      <c r="B6" s="3" t="s">
        <v>478</v>
      </c>
      <c r="C6" s="5">
        <v>67433</v>
      </c>
      <c r="D6" s="4">
        <f>VLOOKUP(B6&amp;", "&amp;A6,G:H,2,0)</f>
        <v>307</v>
      </c>
      <c r="E6" s="4"/>
      <c r="F6" s="4"/>
      <c r="G6" s="3" t="s">
        <v>74</v>
      </c>
      <c r="H6" s="4">
        <v>654</v>
      </c>
      <c r="I6" s="6"/>
    </row>
    <row r="7" spans="1:9" x14ac:dyDescent="0.25">
      <c r="A7" s="4" t="s">
        <v>481</v>
      </c>
      <c r="B7" s="3" t="s">
        <v>480</v>
      </c>
      <c r="C7" s="5">
        <v>58871</v>
      </c>
      <c r="D7" s="4">
        <f>VLOOKUP(B7&amp;", "&amp;A7,G:H,2,0)</f>
        <v>654</v>
      </c>
      <c r="E7" s="4"/>
      <c r="F7" s="4"/>
      <c r="G7" s="3" t="s">
        <v>86</v>
      </c>
      <c r="H7" s="4">
        <v>206</v>
      </c>
      <c r="I7" s="6"/>
    </row>
    <row r="8" spans="1:9" x14ac:dyDescent="0.25">
      <c r="A8" s="4" t="s">
        <v>483</v>
      </c>
      <c r="B8" s="3" t="s">
        <v>482</v>
      </c>
      <c r="C8" s="5">
        <v>85837</v>
      </c>
      <c r="D8" s="4">
        <f>VLOOKUP(B8&amp;", "&amp;A8,G:H,2,0)</f>
        <v>918</v>
      </c>
      <c r="E8" s="4"/>
      <c r="F8" s="4"/>
      <c r="G8" s="3" t="s">
        <v>235</v>
      </c>
      <c r="H8" s="4">
        <v>452</v>
      </c>
      <c r="I8" s="6"/>
    </row>
    <row r="9" spans="1:9" x14ac:dyDescent="0.25">
      <c r="A9" s="4" t="s">
        <v>485</v>
      </c>
      <c r="B9" s="3" t="s">
        <v>484</v>
      </c>
      <c r="C9" s="5">
        <v>81924</v>
      </c>
      <c r="D9" s="4">
        <f>VLOOKUP(B9&amp;", "&amp;A9,G:H,2,0)</f>
        <v>262</v>
      </c>
      <c r="E9" s="4"/>
      <c r="F9" s="4"/>
      <c r="G9" s="3" t="s">
        <v>319</v>
      </c>
      <c r="H9" s="4">
        <v>760</v>
      </c>
      <c r="I9" s="6"/>
    </row>
    <row r="10" spans="1:9" x14ac:dyDescent="0.25">
      <c r="A10" s="4" t="s">
        <v>506</v>
      </c>
      <c r="B10" s="3" t="s">
        <v>486</v>
      </c>
      <c r="C10" s="5">
        <v>56850</v>
      </c>
      <c r="D10" s="4">
        <f>VLOOKUP(B10&amp;", "&amp;A10,G:H,2,0)</f>
        <v>366</v>
      </c>
      <c r="E10" s="4"/>
      <c r="F10" s="4"/>
      <c r="G10" s="3" t="s">
        <v>213</v>
      </c>
      <c r="H10" s="4">
        <v>262</v>
      </c>
      <c r="I10" s="6"/>
    </row>
    <row r="11" spans="1:9" x14ac:dyDescent="0.25">
      <c r="A11" s="4" t="s">
        <v>503</v>
      </c>
      <c r="B11" s="3" t="s">
        <v>487</v>
      </c>
      <c r="C11" s="5">
        <v>59597</v>
      </c>
      <c r="D11" s="4">
        <f>VLOOKUP(B11&amp;", "&amp;A11,G:H,2,0)</f>
        <v>642</v>
      </c>
      <c r="E11" s="4"/>
      <c r="F11" s="4"/>
      <c r="G11" s="3" t="s">
        <v>404</v>
      </c>
      <c r="H11" s="4">
        <v>536</v>
      </c>
      <c r="I11" s="6"/>
    </row>
    <row r="12" spans="1:9" x14ac:dyDescent="0.25">
      <c r="A12" s="4" t="s">
        <v>489</v>
      </c>
      <c r="B12" s="3" t="s">
        <v>488</v>
      </c>
      <c r="C12" s="5">
        <v>84762</v>
      </c>
      <c r="D12" s="4">
        <f>VLOOKUP(B12&amp;", "&amp;A12,G:H,2,0)</f>
        <v>770</v>
      </c>
      <c r="E12" s="4"/>
      <c r="F12" s="4"/>
      <c r="G12" s="3" t="s">
        <v>114</v>
      </c>
      <c r="H12" s="4">
        <v>770</v>
      </c>
      <c r="I12" s="6"/>
    </row>
    <row r="13" spans="1:9" x14ac:dyDescent="0.25">
      <c r="A13" s="4" t="s">
        <v>491</v>
      </c>
      <c r="B13" s="3" t="s">
        <v>490</v>
      </c>
      <c r="C13" s="5">
        <v>56245</v>
      </c>
      <c r="D13" s="4">
        <f>VLOOKUP(B13&amp;", "&amp;A13,G:H,2,0)</f>
        <v>184</v>
      </c>
      <c r="E13" s="4"/>
      <c r="F13" s="4"/>
      <c r="G13" s="3" t="s">
        <v>442</v>
      </c>
      <c r="H13" s="4">
        <v>307</v>
      </c>
      <c r="I13" s="6"/>
    </row>
    <row r="14" spans="1:9" x14ac:dyDescent="0.25">
      <c r="A14" s="4" t="s">
        <v>493</v>
      </c>
      <c r="B14" s="3" t="s">
        <v>492</v>
      </c>
      <c r="C14" s="5">
        <v>88059</v>
      </c>
      <c r="D14" s="4">
        <f>VLOOKUP(B14&amp;", "&amp;A14,G:H,2,0)</f>
        <v>206</v>
      </c>
      <c r="E14" s="4"/>
      <c r="F14" s="4"/>
      <c r="G14" s="3" t="s">
        <v>352</v>
      </c>
      <c r="H14" s="4">
        <v>891</v>
      </c>
      <c r="I14" s="6"/>
    </row>
    <row r="15" spans="1:9" x14ac:dyDescent="0.25">
      <c r="A15" s="4" t="s">
        <v>495</v>
      </c>
      <c r="B15" s="3" t="s">
        <v>494</v>
      </c>
      <c r="C15" s="5">
        <v>46259</v>
      </c>
      <c r="D15" s="4">
        <f>VLOOKUP(B15&amp;", "&amp;A15,G:H,2,0)</f>
        <v>939</v>
      </c>
      <c r="E15" s="4"/>
      <c r="F15" s="4"/>
      <c r="G15" s="3" t="s">
        <v>278</v>
      </c>
      <c r="H15" s="4">
        <v>184</v>
      </c>
      <c r="I15" s="6"/>
    </row>
    <row r="16" spans="1:9" x14ac:dyDescent="0.25">
      <c r="A16" s="4" t="s">
        <v>497</v>
      </c>
      <c r="B16" s="3" t="s">
        <v>496</v>
      </c>
      <c r="C16" s="5">
        <v>40262</v>
      </c>
      <c r="D16" s="4">
        <f>VLOOKUP(B16&amp;", "&amp;A16,G:H,2,0)</f>
        <v>384</v>
      </c>
      <c r="E16" s="4"/>
      <c r="F16" s="4"/>
      <c r="G16" s="3" t="s">
        <v>234</v>
      </c>
      <c r="H16" s="4">
        <v>366</v>
      </c>
      <c r="I16" s="6"/>
    </row>
    <row r="17" spans="1:9" x14ac:dyDescent="0.25">
      <c r="A17" s="4" t="s">
        <v>499</v>
      </c>
      <c r="B17" s="3" t="s">
        <v>498</v>
      </c>
      <c r="C17" s="5">
        <v>91603</v>
      </c>
      <c r="D17" s="4">
        <f>VLOOKUP(B17&amp;", "&amp;A17,G:H,2,0)</f>
        <v>306</v>
      </c>
      <c r="E17" s="4"/>
      <c r="F17" s="4"/>
      <c r="G17" s="3" t="s">
        <v>368</v>
      </c>
      <c r="H17" s="4">
        <v>306</v>
      </c>
      <c r="I17" s="6"/>
    </row>
    <row r="18" spans="1:9" x14ac:dyDescent="0.25">
      <c r="A18" s="4" t="s">
        <v>501</v>
      </c>
      <c r="B18" s="3" t="s">
        <v>500</v>
      </c>
      <c r="C18" s="5">
        <v>86359</v>
      </c>
      <c r="D18" s="4">
        <f>VLOOKUP(B18&amp;", "&amp;A18,G:H,2,0)</f>
        <v>536</v>
      </c>
      <c r="E18" s="4"/>
      <c r="F18" s="4"/>
      <c r="G18" s="3" t="s">
        <v>183</v>
      </c>
      <c r="H18" s="4">
        <v>384</v>
      </c>
      <c r="I18" s="6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E20" s="4"/>
      <c r="F20" s="4"/>
      <c r="G20" s="4"/>
      <c r="H20" s="4"/>
      <c r="I20" s="4"/>
    </row>
  </sheetData>
  <sortState ref="G2:I18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Arrays</vt:lpstr>
      <vt:lpstr>Unique</vt:lpstr>
      <vt:lpstr>Frequency</vt:lpstr>
      <vt:lpstr>TRANSPOSE</vt:lpstr>
      <vt:lpstr>TREND</vt:lpstr>
      <vt:lpstr>ExtendedArray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 Taylor</cp:lastModifiedBy>
  <dcterms:created xsi:type="dcterms:W3CDTF">2009-11-04T06:09:29Z</dcterms:created>
  <dcterms:modified xsi:type="dcterms:W3CDTF">2015-12-10T18:02:34Z</dcterms:modified>
</cp:coreProperties>
</file>