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7\"/>
    </mc:Choice>
  </mc:AlternateContent>
  <bookViews>
    <workbookView xWindow="0" yWindow="0" windowWidth="28800" windowHeight="12330" tabRatio="796"/>
  </bookViews>
  <sheets>
    <sheet name="BasicRounding" sheetId="1" r:id="rId1"/>
    <sheet name="SpecializedRounding" sheetId="2" r:id="rId2"/>
    <sheet name="TRUNC INT ODD EVEN" sheetId="3" r:id="rId3"/>
    <sheet name="MOD" sheetId="4" r:id="rId4"/>
    <sheet name="RAND" sheetId="5" r:id="rId5"/>
    <sheet name="CONVERT" sheetId="6" r:id="rId6"/>
    <sheet name="Aggregate" sheetId="7" r:id="rId7"/>
    <sheet name="RomanArabic" sheetId="8" r:id="rId8"/>
  </sheets>
  <definedNames>
    <definedName name="_xlnm._FilterDatabase" localSheetId="4" hidden="1">RAND!$B:$B</definedName>
    <definedName name="ee" localSheetId="6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6" hidden="1">{"FirstQ",#N/A,FALSE,"Budget2000";"SecondQ",#N/A,FALSE,"Budget2000"}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6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RAND!$B$1:$G$401</definedName>
    <definedName name="Z_32E1B1E0_F29A_4FB3_9E7F_F78F245BC75E_.wvu.PrintArea" localSheetId="4" hidden="1">RAND!$B$1:$G$401</definedName>
    <definedName name="Z_32E1B1E0_F29A_4FB3_9E7F_F78F245BC75E_.wvu.PrintTitles" localSheetId="4" hidden="1">RAND!$1:$1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D3" i="3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20" i="8" l="1"/>
  <c r="D21" i="8"/>
  <c r="B12" i="8"/>
  <c r="B13" i="8"/>
  <c r="B14" i="8"/>
  <c r="B15" i="8"/>
  <c r="B16" i="8"/>
  <c r="B17" i="8"/>
  <c r="B18" i="8"/>
  <c r="B19" i="8"/>
  <c r="B20" i="8"/>
  <c r="B21" i="8"/>
  <c r="B22" i="8"/>
  <c r="D17" i="8"/>
  <c r="D18" i="8"/>
  <c r="D19" i="8"/>
  <c r="C401" i="5"/>
  <c r="C400" i="5"/>
  <c r="C399" i="5"/>
  <c r="C398" i="5"/>
  <c r="C397" i="5"/>
  <c r="C396" i="5"/>
  <c r="C395" i="5"/>
  <c r="D395" i="5" s="1"/>
  <c r="C394" i="5"/>
  <c r="D394" i="5" s="1"/>
  <c r="C393" i="5"/>
  <c r="C392" i="5"/>
  <c r="C391" i="5"/>
  <c r="D391" i="5" s="1"/>
  <c r="C390" i="5"/>
  <c r="C389" i="5"/>
  <c r="D389" i="5" s="1"/>
  <c r="C388" i="5"/>
  <c r="C387" i="5"/>
  <c r="D387" i="5" s="1"/>
  <c r="C386" i="5"/>
  <c r="D386" i="5" s="1"/>
  <c r="C385" i="5"/>
  <c r="C384" i="5"/>
  <c r="C383" i="5"/>
  <c r="C382" i="5"/>
  <c r="C381" i="5"/>
  <c r="D381" i="5" s="1"/>
  <c r="C380" i="5"/>
  <c r="C379" i="5"/>
  <c r="D379" i="5" s="1"/>
  <c r="C378" i="5"/>
  <c r="D378" i="5" s="1"/>
  <c r="C377" i="5"/>
  <c r="C376" i="5"/>
  <c r="C375" i="5"/>
  <c r="C374" i="5"/>
  <c r="C373" i="5"/>
  <c r="C372" i="5"/>
  <c r="C371" i="5"/>
  <c r="D371" i="5" s="1"/>
  <c r="C370" i="5"/>
  <c r="D370" i="5" s="1"/>
  <c r="C369" i="5"/>
  <c r="C368" i="5"/>
  <c r="C367" i="5"/>
  <c r="C366" i="5"/>
  <c r="C365" i="5"/>
  <c r="C364" i="5"/>
  <c r="C363" i="5"/>
  <c r="D363" i="5" s="1"/>
  <c r="C362" i="5"/>
  <c r="D362" i="5" s="1"/>
  <c r="C361" i="5"/>
  <c r="C360" i="5"/>
  <c r="C359" i="5"/>
  <c r="D359" i="5" s="1"/>
  <c r="C358" i="5"/>
  <c r="C357" i="5"/>
  <c r="D357" i="5" s="1"/>
  <c r="C356" i="5"/>
  <c r="C355" i="5"/>
  <c r="D355" i="5" s="1"/>
  <c r="C354" i="5"/>
  <c r="D354" i="5" s="1"/>
  <c r="C353" i="5"/>
  <c r="C352" i="5"/>
  <c r="C351" i="5"/>
  <c r="C350" i="5"/>
  <c r="C349" i="5"/>
  <c r="D349" i="5" s="1"/>
  <c r="C348" i="5"/>
  <c r="C347" i="5"/>
  <c r="D347" i="5" s="1"/>
  <c r="C346" i="5"/>
  <c r="D346" i="5" s="1"/>
  <c r="C345" i="5"/>
  <c r="C344" i="5"/>
  <c r="C343" i="5"/>
  <c r="C342" i="5"/>
  <c r="C341" i="5"/>
  <c r="C340" i="5"/>
  <c r="C339" i="5"/>
  <c r="D339" i="5" s="1"/>
  <c r="C338" i="5"/>
  <c r="D338" i="5" s="1"/>
  <c r="C337" i="5"/>
  <c r="C336" i="5"/>
  <c r="C335" i="5"/>
  <c r="C334" i="5"/>
  <c r="C333" i="5"/>
  <c r="C332" i="5"/>
  <c r="C331" i="5"/>
  <c r="D331" i="5" s="1"/>
  <c r="C330" i="5"/>
  <c r="D330" i="5" s="1"/>
  <c r="C329" i="5"/>
  <c r="C328" i="5"/>
  <c r="C327" i="5"/>
  <c r="D327" i="5" s="1"/>
  <c r="C326" i="5"/>
  <c r="C325" i="5"/>
  <c r="D325" i="5" s="1"/>
  <c r="C324" i="5"/>
  <c r="C323" i="5"/>
  <c r="D323" i="5" s="1"/>
  <c r="C322" i="5"/>
  <c r="D322" i="5" s="1"/>
  <c r="C321" i="5"/>
  <c r="C320" i="5"/>
  <c r="C319" i="5"/>
  <c r="C318" i="5"/>
  <c r="C317" i="5"/>
  <c r="D317" i="5" s="1"/>
  <c r="C316" i="5"/>
  <c r="C315" i="5"/>
  <c r="D315" i="5" s="1"/>
  <c r="C314" i="5"/>
  <c r="D314" i="5" s="1"/>
  <c r="C313" i="5"/>
  <c r="C312" i="5"/>
  <c r="C311" i="5"/>
  <c r="C310" i="5"/>
  <c r="C309" i="5"/>
  <c r="C308" i="5"/>
  <c r="C307" i="5"/>
  <c r="D307" i="5" s="1"/>
  <c r="C306" i="5"/>
  <c r="D306" i="5" s="1"/>
  <c r="C305" i="5"/>
  <c r="C304" i="5"/>
  <c r="C303" i="5"/>
  <c r="C302" i="5"/>
  <c r="C301" i="5"/>
  <c r="C300" i="5"/>
  <c r="C299" i="5"/>
  <c r="D299" i="5" s="1"/>
  <c r="C298" i="5"/>
  <c r="D298" i="5" s="1"/>
  <c r="C297" i="5"/>
  <c r="C296" i="5"/>
  <c r="C295" i="5"/>
  <c r="D295" i="5" s="1"/>
  <c r="C294" i="5"/>
  <c r="C293" i="5"/>
  <c r="D293" i="5" s="1"/>
  <c r="C292" i="5"/>
  <c r="C291" i="5"/>
  <c r="D291" i="5" s="1"/>
  <c r="C290" i="5"/>
  <c r="D290" i="5" s="1"/>
  <c r="C289" i="5"/>
  <c r="C288" i="5"/>
  <c r="C287" i="5"/>
  <c r="C286" i="5"/>
  <c r="C285" i="5"/>
  <c r="D285" i="5" s="1"/>
  <c r="C284" i="5"/>
  <c r="C283" i="5"/>
  <c r="D283" i="5" s="1"/>
  <c r="C282" i="5"/>
  <c r="D282" i="5" s="1"/>
  <c r="C281" i="5"/>
  <c r="C280" i="5"/>
  <c r="C279" i="5"/>
  <c r="C278" i="5"/>
  <c r="C277" i="5"/>
  <c r="C276" i="5"/>
  <c r="C275" i="5"/>
  <c r="D275" i="5" s="1"/>
  <c r="C274" i="5"/>
  <c r="D274" i="5" s="1"/>
  <c r="C273" i="5"/>
  <c r="C272" i="5"/>
  <c r="C271" i="5"/>
  <c r="C270" i="5"/>
  <c r="C269" i="5"/>
  <c r="C268" i="5"/>
  <c r="C267" i="5"/>
  <c r="D267" i="5" s="1"/>
  <c r="C266" i="5"/>
  <c r="D266" i="5" s="1"/>
  <c r="C265" i="5"/>
  <c r="C264" i="5"/>
  <c r="C263" i="5"/>
  <c r="D263" i="5" s="1"/>
  <c r="C262" i="5"/>
  <c r="C261" i="5"/>
  <c r="D261" i="5" s="1"/>
  <c r="C260" i="5"/>
  <c r="C259" i="5"/>
  <c r="D259" i="5" s="1"/>
  <c r="C258" i="5"/>
  <c r="D258" i="5" s="1"/>
  <c r="C257" i="5"/>
  <c r="C256" i="5"/>
  <c r="C255" i="5"/>
  <c r="C254" i="5"/>
  <c r="C253" i="5"/>
  <c r="D253" i="5" s="1"/>
  <c r="C252" i="5"/>
  <c r="C251" i="5"/>
  <c r="D251" i="5" s="1"/>
  <c r="C250" i="5"/>
  <c r="D250" i="5" s="1"/>
  <c r="C249" i="5"/>
  <c r="C248" i="5"/>
  <c r="C247" i="5"/>
  <c r="C246" i="5"/>
  <c r="C245" i="5"/>
  <c r="C244" i="5"/>
  <c r="C243" i="5"/>
  <c r="D243" i="5" s="1"/>
  <c r="C242" i="5"/>
  <c r="D242" i="5" s="1"/>
  <c r="C241" i="5"/>
  <c r="C240" i="5"/>
  <c r="C239" i="5"/>
  <c r="C238" i="5"/>
  <c r="C237" i="5"/>
  <c r="C236" i="5"/>
  <c r="C235" i="5"/>
  <c r="D235" i="5" s="1"/>
  <c r="C234" i="5"/>
  <c r="D234" i="5" s="1"/>
  <c r="C233" i="5"/>
  <c r="C232" i="5"/>
  <c r="C231" i="5"/>
  <c r="D231" i="5" s="1"/>
  <c r="C230" i="5"/>
  <c r="C229" i="5"/>
  <c r="D229" i="5" s="1"/>
  <c r="C228" i="5"/>
  <c r="C227" i="5"/>
  <c r="D227" i="5" s="1"/>
  <c r="C226" i="5"/>
  <c r="D226" i="5" s="1"/>
  <c r="C225" i="5"/>
  <c r="C224" i="5"/>
  <c r="C223" i="5"/>
  <c r="C222" i="5"/>
  <c r="C221" i="5"/>
  <c r="D221" i="5" s="1"/>
  <c r="C220" i="5"/>
  <c r="C219" i="5"/>
  <c r="D219" i="5" s="1"/>
  <c r="C218" i="5"/>
  <c r="D218" i="5" s="1"/>
  <c r="C217" i="5"/>
  <c r="C216" i="5"/>
  <c r="C215" i="5"/>
  <c r="C214" i="5"/>
  <c r="C213" i="5"/>
  <c r="C212" i="5"/>
  <c r="C211" i="5"/>
  <c r="D211" i="5" s="1"/>
  <c r="C210" i="5"/>
  <c r="D210" i="5" s="1"/>
  <c r="C209" i="5"/>
  <c r="C208" i="5"/>
  <c r="C207" i="5"/>
  <c r="C206" i="5"/>
  <c r="C205" i="5"/>
  <c r="C204" i="5"/>
  <c r="C203" i="5"/>
  <c r="D203" i="5" s="1"/>
  <c r="C202" i="5"/>
  <c r="D202" i="5" s="1"/>
  <c r="C201" i="5"/>
  <c r="C200" i="5"/>
  <c r="C199" i="5"/>
  <c r="D199" i="5" s="1"/>
  <c r="C198" i="5"/>
  <c r="C197" i="5"/>
  <c r="D197" i="5" s="1"/>
  <c r="C196" i="5"/>
  <c r="C195" i="5"/>
  <c r="D195" i="5" s="1"/>
  <c r="C194" i="5"/>
  <c r="D194" i="5" s="1"/>
  <c r="C193" i="5"/>
  <c r="C192" i="5"/>
  <c r="C191" i="5"/>
  <c r="C190" i="5"/>
  <c r="C189" i="5"/>
  <c r="D189" i="5" s="1"/>
  <c r="C188" i="5"/>
  <c r="C187" i="5"/>
  <c r="D187" i="5" s="1"/>
  <c r="C186" i="5"/>
  <c r="D186" i="5" s="1"/>
  <c r="C185" i="5"/>
  <c r="C184" i="5"/>
  <c r="C183" i="5"/>
  <c r="C182" i="5"/>
  <c r="C181" i="5"/>
  <c r="C180" i="5"/>
  <c r="C179" i="5"/>
  <c r="D179" i="5" s="1"/>
  <c r="C178" i="5"/>
  <c r="D178" i="5" s="1"/>
  <c r="C177" i="5"/>
  <c r="C176" i="5"/>
  <c r="C175" i="5"/>
  <c r="C174" i="5"/>
  <c r="C173" i="5"/>
  <c r="C172" i="5"/>
  <c r="C171" i="5"/>
  <c r="D171" i="5" s="1"/>
  <c r="C170" i="5"/>
  <c r="D170" i="5" s="1"/>
  <c r="C169" i="5"/>
  <c r="C168" i="5"/>
  <c r="C167" i="5"/>
  <c r="D167" i="5" s="1"/>
  <c r="C166" i="5"/>
  <c r="C165" i="5"/>
  <c r="D165" i="5" s="1"/>
  <c r="C164" i="5"/>
  <c r="C163" i="5"/>
  <c r="D163" i="5" s="1"/>
  <c r="C162" i="5"/>
  <c r="D162" i="5" s="1"/>
  <c r="C161" i="5"/>
  <c r="C160" i="5"/>
  <c r="C159" i="5"/>
  <c r="C158" i="5"/>
  <c r="C157" i="5"/>
  <c r="D157" i="5" s="1"/>
  <c r="C156" i="5"/>
  <c r="C155" i="5"/>
  <c r="D155" i="5" s="1"/>
  <c r="C154" i="5"/>
  <c r="D154" i="5" s="1"/>
  <c r="C153" i="5"/>
  <c r="C152" i="5"/>
  <c r="C151" i="5"/>
  <c r="C150" i="5"/>
  <c r="C149" i="5"/>
  <c r="C148" i="5"/>
  <c r="C147" i="5"/>
  <c r="D147" i="5" s="1"/>
  <c r="C146" i="5"/>
  <c r="D146" i="5" s="1"/>
  <c r="C145" i="5"/>
  <c r="C144" i="5"/>
  <c r="C143" i="5"/>
  <c r="C142" i="5"/>
  <c r="C141" i="5"/>
  <c r="C140" i="5"/>
  <c r="C139" i="5"/>
  <c r="D139" i="5" s="1"/>
  <c r="C138" i="5"/>
  <c r="D138" i="5" s="1"/>
  <c r="C137" i="5"/>
  <c r="C136" i="5"/>
  <c r="C135" i="5"/>
  <c r="D135" i="5" s="1"/>
  <c r="C134" i="5"/>
  <c r="C133" i="5"/>
  <c r="D133" i="5" s="1"/>
  <c r="C132" i="5"/>
  <c r="C131" i="5"/>
  <c r="D131" i="5" s="1"/>
  <c r="C130" i="5"/>
  <c r="D130" i="5" s="1"/>
  <c r="C129" i="5"/>
  <c r="C128" i="5"/>
  <c r="C127" i="5"/>
  <c r="C126" i="5"/>
  <c r="C125" i="5"/>
  <c r="D125" i="5" s="1"/>
  <c r="C124" i="5"/>
  <c r="C123" i="5"/>
  <c r="D123" i="5" s="1"/>
  <c r="C122" i="5"/>
  <c r="D122" i="5" s="1"/>
  <c r="C121" i="5"/>
  <c r="C120" i="5"/>
  <c r="C119" i="5"/>
  <c r="C118" i="5"/>
  <c r="C117" i="5"/>
  <c r="C116" i="5"/>
  <c r="C115" i="5"/>
  <c r="D115" i="5" s="1"/>
  <c r="C114" i="5"/>
  <c r="D114" i="5" s="1"/>
  <c r="C113" i="5"/>
  <c r="C112" i="5"/>
  <c r="C111" i="5"/>
  <c r="C110" i="5"/>
  <c r="C109" i="5"/>
  <c r="C108" i="5"/>
  <c r="C107" i="5"/>
  <c r="D107" i="5" s="1"/>
  <c r="C106" i="5"/>
  <c r="D106" i="5" s="1"/>
  <c r="C105" i="5"/>
  <c r="C104" i="5"/>
  <c r="C103" i="5"/>
  <c r="D103" i="5" s="1"/>
  <c r="C102" i="5"/>
  <c r="C101" i="5"/>
  <c r="D101" i="5" s="1"/>
  <c r="C100" i="5"/>
  <c r="C99" i="5"/>
  <c r="D99" i="5" s="1"/>
  <c r="C98" i="5"/>
  <c r="D98" i="5" s="1"/>
  <c r="C97" i="5"/>
  <c r="C96" i="5"/>
  <c r="C95" i="5"/>
  <c r="C94" i="5"/>
  <c r="C93" i="5"/>
  <c r="D93" i="5" s="1"/>
  <c r="C92" i="5"/>
  <c r="C91" i="5"/>
  <c r="D91" i="5" s="1"/>
  <c r="C90" i="5"/>
  <c r="D90" i="5" s="1"/>
  <c r="C89" i="5"/>
  <c r="C88" i="5"/>
  <c r="C87" i="5"/>
  <c r="C86" i="5"/>
  <c r="C85" i="5"/>
  <c r="C84" i="5"/>
  <c r="C83" i="5"/>
  <c r="D83" i="5" s="1"/>
  <c r="C82" i="5"/>
  <c r="D82" i="5" s="1"/>
  <c r="C81" i="5"/>
  <c r="C80" i="5"/>
  <c r="C79" i="5"/>
  <c r="C78" i="5"/>
  <c r="C77" i="5"/>
  <c r="C76" i="5"/>
  <c r="C75" i="5"/>
  <c r="D75" i="5" s="1"/>
  <c r="C74" i="5"/>
  <c r="D74" i="5" s="1"/>
  <c r="C73" i="5"/>
  <c r="C72" i="5"/>
  <c r="C71" i="5"/>
  <c r="C70" i="5"/>
  <c r="C69" i="5"/>
  <c r="D69" i="5" s="1"/>
  <c r="C68" i="5"/>
  <c r="C67" i="5"/>
  <c r="D67" i="5" s="1"/>
  <c r="C66" i="5"/>
  <c r="D66" i="5" s="1"/>
  <c r="C65" i="5"/>
  <c r="C64" i="5"/>
  <c r="C63" i="5"/>
  <c r="C62" i="5"/>
  <c r="C61" i="5"/>
  <c r="D61" i="5" s="1"/>
  <c r="C60" i="5"/>
  <c r="C59" i="5"/>
  <c r="D59" i="5" s="1"/>
  <c r="C58" i="5"/>
  <c r="D58" i="5" s="1"/>
  <c r="C57" i="5"/>
  <c r="C56" i="5"/>
  <c r="C55" i="5"/>
  <c r="C54" i="5"/>
  <c r="C53" i="5"/>
  <c r="C52" i="5"/>
  <c r="C51" i="5"/>
  <c r="D51" i="5" s="1"/>
  <c r="C50" i="5"/>
  <c r="D50" i="5" s="1"/>
  <c r="C49" i="5"/>
  <c r="C48" i="5"/>
  <c r="C47" i="5"/>
  <c r="C46" i="5"/>
  <c r="C45" i="5"/>
  <c r="C44" i="5"/>
  <c r="C43" i="5"/>
  <c r="D43" i="5" s="1"/>
  <c r="C42" i="5"/>
  <c r="D42" i="5" s="1"/>
  <c r="C41" i="5"/>
  <c r="C40" i="5"/>
  <c r="C39" i="5"/>
  <c r="C38" i="5"/>
  <c r="C37" i="5"/>
  <c r="D37" i="5" s="1"/>
  <c r="C36" i="5"/>
  <c r="C35" i="5"/>
  <c r="D35" i="5" s="1"/>
  <c r="C34" i="5"/>
  <c r="D34" i="5" s="1"/>
  <c r="C33" i="5"/>
  <c r="C32" i="5"/>
  <c r="C31" i="5"/>
  <c r="C30" i="5"/>
  <c r="C29" i="5"/>
  <c r="D29" i="5" s="1"/>
  <c r="C28" i="5"/>
  <c r="C27" i="5"/>
  <c r="D27" i="5" s="1"/>
  <c r="C26" i="5"/>
  <c r="D26" i="5" s="1"/>
  <c r="C25" i="5"/>
  <c r="C24" i="5"/>
  <c r="C23" i="5"/>
  <c r="C22" i="5"/>
  <c r="C21" i="5"/>
  <c r="C20" i="5"/>
  <c r="C19" i="5"/>
  <c r="D19" i="5" s="1"/>
  <c r="C18" i="5"/>
  <c r="D18" i="5" s="1"/>
  <c r="C17" i="5"/>
  <c r="C16" i="5"/>
  <c r="C15" i="5"/>
  <c r="C14" i="5"/>
  <c r="C13" i="5"/>
  <c r="C12" i="5"/>
  <c r="C11" i="5"/>
  <c r="D11" i="5" s="1"/>
  <c r="C10" i="5"/>
  <c r="D10" i="5" s="1"/>
  <c r="C9" i="5"/>
  <c r="C8" i="5"/>
  <c r="C7" i="5"/>
  <c r="C6" i="5"/>
  <c r="C5" i="5"/>
  <c r="D5" i="5" s="1"/>
  <c r="C4" i="5"/>
  <c r="C3" i="5"/>
  <c r="D3" i="5" s="1"/>
  <c r="C2" i="5"/>
  <c r="D2" i="5" s="1"/>
  <c r="D16" i="8"/>
  <c r="B11" i="8"/>
  <c r="D15" i="8"/>
  <c r="D14" i="8"/>
  <c r="D13" i="8"/>
  <c r="D12" i="8"/>
  <c r="D11" i="8"/>
  <c r="B10" i="8"/>
  <c r="D10" i="8"/>
  <c r="B9" i="8"/>
  <c r="D9" i="8"/>
  <c r="B8" i="8"/>
  <c r="D8" i="8"/>
  <c r="D7" i="8"/>
  <c r="B7" i="8"/>
  <c r="D6" i="8"/>
  <c r="B6" i="8"/>
  <c r="D5" i="8"/>
  <c r="B5" i="8"/>
  <c r="D4" i="8"/>
  <c r="B4" i="8"/>
  <c r="D3" i="8"/>
  <c r="B3" i="8"/>
  <c r="D2" i="8"/>
  <c r="B2" i="8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N2" i="7"/>
  <c r="D18" i="7"/>
  <c r="N1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01" i="5"/>
  <c r="D400" i="5"/>
  <c r="D399" i="5"/>
  <c r="D398" i="5"/>
  <c r="D397" i="5"/>
  <c r="D396" i="5"/>
  <c r="D393" i="5"/>
  <c r="D392" i="5"/>
  <c r="D390" i="5"/>
  <c r="D388" i="5"/>
  <c r="D385" i="5"/>
  <c r="D384" i="5"/>
  <c r="D383" i="5"/>
  <c r="D382" i="5"/>
  <c r="D380" i="5"/>
  <c r="D377" i="5"/>
  <c r="D376" i="5"/>
  <c r="D375" i="5"/>
  <c r="D374" i="5"/>
  <c r="D373" i="5"/>
  <c r="D372" i="5"/>
  <c r="D369" i="5"/>
  <c r="D368" i="5"/>
  <c r="D367" i="5"/>
  <c r="D366" i="5"/>
  <c r="D365" i="5"/>
  <c r="D364" i="5"/>
  <c r="D361" i="5"/>
  <c r="D360" i="5"/>
  <c r="D358" i="5"/>
  <c r="D356" i="5"/>
  <c r="D353" i="5"/>
  <c r="D352" i="5"/>
  <c r="D351" i="5"/>
  <c r="D350" i="5"/>
  <c r="D348" i="5"/>
  <c r="D345" i="5"/>
  <c r="D344" i="5"/>
  <c r="D343" i="5"/>
  <c r="D342" i="5"/>
  <c r="D341" i="5"/>
  <c r="D340" i="5"/>
  <c r="D337" i="5"/>
  <c r="D336" i="5"/>
  <c r="D335" i="5"/>
  <c r="D334" i="5"/>
  <c r="D333" i="5"/>
  <c r="D332" i="5"/>
  <c r="D329" i="5"/>
  <c r="D328" i="5"/>
  <c r="D326" i="5"/>
  <c r="D324" i="5"/>
  <c r="D321" i="5"/>
  <c r="D320" i="5"/>
  <c r="D319" i="5"/>
  <c r="D318" i="5"/>
  <c r="D316" i="5"/>
  <c r="D313" i="5"/>
  <c r="D312" i="5"/>
  <c r="D311" i="5"/>
  <c r="D310" i="5"/>
  <c r="D309" i="5"/>
  <c r="D308" i="5"/>
  <c r="D305" i="5"/>
  <c r="D304" i="5"/>
  <c r="D303" i="5"/>
  <c r="D302" i="5"/>
  <c r="D301" i="5"/>
  <c r="D300" i="5"/>
  <c r="D297" i="5"/>
  <c r="D296" i="5"/>
  <c r="D294" i="5"/>
  <c r="D292" i="5"/>
  <c r="D289" i="5"/>
  <c r="D288" i="5"/>
  <c r="D287" i="5"/>
  <c r="D286" i="5"/>
  <c r="D284" i="5"/>
  <c r="D281" i="5"/>
  <c r="D280" i="5"/>
  <c r="D279" i="5"/>
  <c r="D278" i="5"/>
  <c r="D277" i="5"/>
  <c r="D276" i="5"/>
  <c r="D273" i="5"/>
  <c r="D272" i="5"/>
  <c r="D271" i="5"/>
  <c r="D270" i="5"/>
  <c r="D269" i="5"/>
  <c r="D268" i="5"/>
  <c r="D265" i="5"/>
  <c r="D264" i="5"/>
  <c r="D262" i="5"/>
  <c r="D260" i="5"/>
  <c r="D257" i="5"/>
  <c r="D256" i="5"/>
  <c r="D255" i="5"/>
  <c r="D254" i="5"/>
  <c r="D252" i="5"/>
  <c r="D249" i="5"/>
  <c r="D248" i="5"/>
  <c r="D247" i="5"/>
  <c r="D246" i="5"/>
  <c r="D245" i="5"/>
  <c r="D244" i="5"/>
  <c r="D241" i="5"/>
  <c r="D240" i="5"/>
  <c r="D239" i="5"/>
  <c r="D238" i="5"/>
  <c r="D237" i="5"/>
  <c r="D236" i="5"/>
  <c r="D233" i="5"/>
  <c r="D232" i="5"/>
  <c r="D230" i="5"/>
  <c r="D228" i="5"/>
  <c r="D225" i="5"/>
  <c r="D224" i="5"/>
  <c r="D223" i="5"/>
  <c r="D222" i="5"/>
  <c r="D220" i="5"/>
  <c r="D217" i="5"/>
  <c r="D216" i="5"/>
  <c r="D215" i="5"/>
  <c r="D214" i="5"/>
  <c r="D213" i="5"/>
  <c r="D212" i="5"/>
  <c r="D209" i="5"/>
  <c r="D208" i="5"/>
  <c r="D207" i="5"/>
  <c r="D206" i="5"/>
  <c r="D205" i="5"/>
  <c r="D204" i="5"/>
  <c r="D201" i="5"/>
  <c r="D200" i="5"/>
  <c r="D198" i="5"/>
  <c r="D196" i="5"/>
  <c r="D193" i="5"/>
  <c r="D192" i="5"/>
  <c r="D191" i="5"/>
  <c r="D190" i="5"/>
  <c r="D188" i="5"/>
  <c r="D185" i="5"/>
  <c r="D184" i="5"/>
  <c r="D183" i="5"/>
  <c r="D182" i="5"/>
  <c r="D181" i="5"/>
  <c r="D180" i="5"/>
  <c r="D177" i="5"/>
  <c r="D176" i="5"/>
  <c r="D175" i="5"/>
  <c r="D174" i="5"/>
  <c r="D173" i="5"/>
  <c r="D172" i="5"/>
  <c r="D169" i="5"/>
  <c r="D168" i="5"/>
  <c r="D166" i="5"/>
  <c r="D164" i="5"/>
  <c r="D161" i="5"/>
  <c r="D160" i="5"/>
  <c r="D159" i="5"/>
  <c r="D158" i="5"/>
  <c r="D156" i="5"/>
  <c r="D153" i="5"/>
  <c r="D152" i="5"/>
  <c r="D151" i="5"/>
  <c r="D150" i="5"/>
  <c r="D149" i="5"/>
  <c r="D148" i="5"/>
  <c r="D145" i="5"/>
  <c r="D144" i="5"/>
  <c r="D143" i="5"/>
  <c r="D142" i="5"/>
  <c r="D141" i="5"/>
  <c r="D140" i="5"/>
  <c r="D137" i="5"/>
  <c r="D136" i="5"/>
  <c r="D134" i="5"/>
  <c r="D132" i="5"/>
  <c r="D129" i="5"/>
  <c r="D128" i="5"/>
  <c r="D127" i="5"/>
  <c r="D126" i="5"/>
  <c r="D124" i="5"/>
  <c r="D121" i="5"/>
  <c r="D120" i="5"/>
  <c r="D119" i="5"/>
  <c r="D118" i="5"/>
  <c r="D117" i="5"/>
  <c r="D116" i="5"/>
  <c r="D113" i="5"/>
  <c r="D112" i="5"/>
  <c r="D111" i="5"/>
  <c r="D110" i="5"/>
  <c r="D109" i="5"/>
  <c r="D108" i="5"/>
  <c r="D105" i="5"/>
  <c r="D104" i="5"/>
  <c r="D102" i="5"/>
  <c r="D100" i="5"/>
  <c r="D97" i="5"/>
  <c r="D96" i="5"/>
  <c r="D95" i="5"/>
  <c r="D94" i="5"/>
  <c r="D92" i="5"/>
  <c r="D89" i="5"/>
  <c r="D88" i="5"/>
  <c r="D87" i="5"/>
  <c r="D86" i="5"/>
  <c r="D85" i="5"/>
  <c r="D84" i="5"/>
  <c r="D81" i="5"/>
  <c r="D80" i="5"/>
  <c r="D79" i="5"/>
  <c r="D78" i="5"/>
  <c r="D77" i="5"/>
  <c r="D76" i="5"/>
  <c r="D73" i="5"/>
  <c r="D72" i="5"/>
  <c r="D71" i="5"/>
  <c r="D70" i="5"/>
  <c r="D68" i="5"/>
  <c r="D65" i="5"/>
  <c r="D64" i="5"/>
  <c r="D63" i="5"/>
  <c r="D62" i="5"/>
  <c r="D60" i="5"/>
  <c r="D57" i="5"/>
  <c r="D56" i="5"/>
  <c r="D55" i="5"/>
  <c r="D54" i="5"/>
  <c r="D53" i="5"/>
  <c r="D52" i="5"/>
  <c r="D49" i="5"/>
  <c r="D48" i="5"/>
  <c r="D47" i="5"/>
  <c r="D46" i="5"/>
  <c r="D45" i="5"/>
  <c r="D44" i="5"/>
  <c r="D41" i="5"/>
  <c r="D40" i="5"/>
  <c r="D39" i="5"/>
  <c r="D38" i="5"/>
  <c r="D36" i="5"/>
  <c r="D33" i="5"/>
  <c r="D32" i="5"/>
  <c r="D31" i="5"/>
  <c r="D30" i="5"/>
  <c r="D28" i="5"/>
  <c r="D25" i="5"/>
  <c r="D24" i="5"/>
  <c r="D23" i="5"/>
  <c r="D22" i="5"/>
  <c r="D21" i="5"/>
  <c r="D20" i="5"/>
  <c r="D17" i="5"/>
  <c r="D16" i="5"/>
  <c r="D15" i="5"/>
  <c r="D14" i="5"/>
  <c r="D13" i="5"/>
  <c r="D12" i="5"/>
  <c r="D9" i="5"/>
  <c r="D8" i="5"/>
  <c r="D7" i="5"/>
  <c r="D6" i="5"/>
  <c r="D4" i="5"/>
  <c r="D16" i="3"/>
  <c r="C16" i="3"/>
  <c r="E16" i="3" s="1"/>
  <c r="E15" i="3"/>
  <c r="C15" i="3"/>
  <c r="D15" i="3" s="1"/>
  <c r="C14" i="3"/>
  <c r="E14" i="3" s="1"/>
  <c r="K13" i="3"/>
  <c r="H13" i="3"/>
  <c r="E13" i="3"/>
  <c r="C13" i="3"/>
  <c r="D13" i="3" s="1"/>
  <c r="K12" i="3"/>
  <c r="H12" i="3"/>
  <c r="D12" i="3"/>
  <c r="C12" i="3"/>
  <c r="E12" i="3" s="1"/>
  <c r="K11" i="3"/>
  <c r="H11" i="3"/>
  <c r="C11" i="3"/>
  <c r="E11" i="3" s="1"/>
  <c r="K10" i="3"/>
  <c r="H10" i="3"/>
  <c r="E10" i="3"/>
  <c r="D10" i="3"/>
  <c r="C10" i="3"/>
  <c r="K9" i="3"/>
  <c r="H9" i="3"/>
  <c r="K8" i="3"/>
  <c r="H8" i="3"/>
  <c r="C8" i="3"/>
  <c r="E8" i="3" s="1"/>
  <c r="K7" i="3"/>
  <c r="H7" i="3"/>
  <c r="D7" i="3"/>
  <c r="C7" i="3"/>
  <c r="E7" i="3" s="1"/>
  <c r="K6" i="3"/>
  <c r="H6" i="3"/>
  <c r="E6" i="3"/>
  <c r="C6" i="3"/>
  <c r="D6" i="3" s="1"/>
  <c r="K5" i="3"/>
  <c r="H5" i="3"/>
  <c r="D5" i="3"/>
  <c r="C5" i="3"/>
  <c r="E5" i="3" s="1"/>
  <c r="K4" i="3"/>
  <c r="H4" i="3"/>
  <c r="C4" i="3"/>
  <c r="E4" i="3" s="1"/>
  <c r="K3" i="3"/>
  <c r="H3" i="3"/>
  <c r="E3" i="3"/>
  <c r="C3" i="3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H2" i="2"/>
  <c r="C2" i="2"/>
  <c r="A7" i="1"/>
  <c r="D8" i="3" l="1"/>
  <c r="D14" i="3"/>
  <c r="D4" i="3"/>
  <c r="D11" i="3"/>
</calcChain>
</file>

<file path=xl/sharedStrings.xml><?xml version="1.0" encoding="utf-8"?>
<sst xmlns="http://schemas.openxmlformats.org/spreadsheetml/2006/main" count="955" uniqueCount="300">
  <si>
    <t>Item #</t>
  </si>
  <si>
    <t>Price</t>
  </si>
  <si>
    <t>New Price</t>
  </si>
  <si>
    <t>Salary</t>
  </si>
  <si>
    <t>New Salary</t>
  </si>
  <si>
    <t>ROUND</t>
  </si>
  <si>
    <t>ROUNDUP</t>
  </si>
  <si>
    <t>ROUNDDOWN</t>
  </si>
  <si>
    <t>MROUND</t>
  </si>
  <si>
    <t>CEILING</t>
  </si>
  <si>
    <t>FLOOR</t>
  </si>
  <si>
    <t>TRUNC</t>
  </si>
  <si>
    <t>INT</t>
  </si>
  <si>
    <t>ODD</t>
  </si>
  <si>
    <t>EVEN</t>
  </si>
  <si>
    <t>In Stock</t>
  </si>
  <si>
    <t>Items per Container</t>
  </si>
  <si>
    <t>Items left over after Packing</t>
  </si>
  <si>
    <t>SS#</t>
  </si>
  <si>
    <t>Department</t>
  </si>
  <si>
    <t>Hire Date</t>
  </si>
  <si>
    <t>Years</t>
  </si>
  <si>
    <t>Benefits</t>
  </si>
  <si>
    <t>Job Rating</t>
  </si>
  <si>
    <t>CA</t>
  </si>
  <si>
    <t>TX</t>
  </si>
  <si>
    <t>NY</t>
  </si>
  <si>
    <t>FL</t>
  </si>
  <si>
    <t>IL</t>
  </si>
  <si>
    <t>PA</t>
  </si>
  <si>
    <t>OH</t>
  </si>
  <si>
    <t>Dates</t>
  </si>
  <si>
    <t>Manufacturing</t>
  </si>
  <si>
    <t>DMR</t>
  </si>
  <si>
    <t>Jan</t>
  </si>
  <si>
    <t>Quality Assurance</t>
  </si>
  <si>
    <t>Feb</t>
  </si>
  <si>
    <t>Research Center</t>
  </si>
  <si>
    <t>Mar</t>
  </si>
  <si>
    <t>Engineering/Operations</t>
  </si>
  <si>
    <t>Apr</t>
  </si>
  <si>
    <t>May</t>
  </si>
  <si>
    <t>Quality Control</t>
  </si>
  <si>
    <t>Jun</t>
  </si>
  <si>
    <t>Project &amp; Contract Services</t>
  </si>
  <si>
    <t>Jul</t>
  </si>
  <si>
    <t>R</t>
  </si>
  <si>
    <t>Aug</t>
  </si>
  <si>
    <t>Logistics</t>
  </si>
  <si>
    <t>M</t>
  </si>
  <si>
    <t>Sep</t>
  </si>
  <si>
    <t>Oct</t>
  </si>
  <si>
    <t>Process Development</t>
  </si>
  <si>
    <t>D</t>
  </si>
  <si>
    <t>Nov</t>
  </si>
  <si>
    <t>Pharmacokinetics</t>
  </si>
  <si>
    <t>Dec</t>
  </si>
  <si>
    <t>Environmental Health/Safety</t>
  </si>
  <si>
    <t>Operations</t>
  </si>
  <si>
    <t>Engineering/Maintenance</t>
  </si>
  <si>
    <t>DM</t>
  </si>
  <si>
    <t>Professional Training Group</t>
  </si>
  <si>
    <t>Research/Development</t>
  </si>
  <si>
    <t>Executive Education</t>
  </si>
  <si>
    <t>Manufacturing Admin</t>
  </si>
  <si>
    <t>Audit Services</t>
  </si>
  <si>
    <t>Peptide Chemistry</t>
  </si>
  <si>
    <t>DR</t>
  </si>
  <si>
    <t>Admin Training</t>
  </si>
  <si>
    <t>Major Mfg Projects</t>
  </si>
  <si>
    <t>Compliance</t>
  </si>
  <si>
    <t>International Clinical Safety</t>
  </si>
  <si>
    <t>ADC</t>
  </si>
  <si>
    <t>Kilometers</t>
  </si>
  <si>
    <t>Celsius</t>
  </si>
  <si>
    <t>Liquid measure</t>
  </si>
  <si>
    <t>From_unit or to_unit</t>
  </si>
  <si>
    <t>Temperature</t>
  </si>
  <si>
    <t>Teaspoon</t>
  </si>
  <si>
    <t>"tsp"</t>
  </si>
  <si>
    <t>Degree Celsius</t>
  </si>
  <si>
    <t>"C" (or "cel")</t>
  </si>
  <si>
    <t>Tablespoon</t>
  </si>
  <si>
    <t>"tbs"</t>
  </si>
  <si>
    <t>Degree Fahrenheit</t>
  </si>
  <si>
    <t>"F" (or "fah")</t>
  </si>
  <si>
    <t>Fluid ounce</t>
  </si>
  <si>
    <t>"oz"</t>
  </si>
  <si>
    <t>Kelvin</t>
  </si>
  <si>
    <t>"K" (or "kel")</t>
  </si>
  <si>
    <t>Miles</t>
  </si>
  <si>
    <t>Fahrenheit</t>
  </si>
  <si>
    <t>Cup</t>
  </si>
  <si>
    <t>"cup"</t>
  </si>
  <si>
    <t>Distance</t>
  </si>
  <si>
    <t>U.S. pint</t>
  </si>
  <si>
    <t>"pt" (or "us_pt")</t>
  </si>
  <si>
    <t>Meter</t>
  </si>
  <si>
    <t>"m"</t>
  </si>
  <si>
    <t>Quart</t>
  </si>
  <si>
    <t>"qt"</t>
  </si>
  <si>
    <t>Kilometer</t>
  </si>
  <si>
    <t>"km"</t>
  </si>
  <si>
    <t>Gallon</t>
  </si>
  <si>
    <t>"gal"</t>
  </si>
  <si>
    <t>Statute mile</t>
  </si>
  <si>
    <t>"mi"</t>
  </si>
  <si>
    <t>Meters</t>
  </si>
  <si>
    <t>Liter</t>
  </si>
  <si>
    <t>"l" (or "lt")</t>
  </si>
  <si>
    <t>Inch</t>
  </si>
  <si>
    <t>"in"</t>
  </si>
  <si>
    <t>Weight and mass</t>
  </si>
  <si>
    <t>Foot</t>
  </si>
  <si>
    <t>"ft"</t>
  </si>
  <si>
    <t>Gram</t>
  </si>
  <si>
    <t>"g"</t>
  </si>
  <si>
    <t>Yard</t>
  </si>
  <si>
    <t>"yd"</t>
  </si>
  <si>
    <t>Pound mass (avoirdupois)</t>
  </si>
  <si>
    <t>"lbm"</t>
  </si>
  <si>
    <t>Feet</t>
  </si>
  <si>
    <t>Employee Name</t>
  </si>
  <si>
    <t>Change</t>
  </si>
  <si>
    <t>Christensen, Jill</t>
  </si>
  <si>
    <t>Hancock, Allen</t>
  </si>
  <si>
    <t>Chapman, Jessica</t>
  </si>
  <si>
    <t>Hines, Herb</t>
  </si>
  <si>
    <t>Chase, Troy</t>
  </si>
  <si>
    <t>Franklin, Alicia</t>
  </si>
  <si>
    <t>Rowe, Ken</t>
  </si>
  <si>
    <t>Wood, Larry</t>
  </si>
  <si>
    <t>Malone, Daniel</t>
  </si>
  <si>
    <t>Abbott, James</t>
  </si>
  <si>
    <t>Hart, Richard</t>
  </si>
  <si>
    <t>Perkins, Donald</t>
  </si>
  <si>
    <t>Vargas, Bryant</t>
  </si>
  <si>
    <t>Manning, John</t>
  </si>
  <si>
    <t>Morrison, Julie</t>
  </si>
  <si>
    <t>Torres, Bruce</t>
  </si>
  <si>
    <t>Bradshaw, Sheryl</t>
  </si>
  <si>
    <t>Santos, Garret</t>
  </si>
  <si>
    <t>Houston, Mark</t>
  </si>
  <si>
    <t>Weiss, Marisa</t>
  </si>
  <si>
    <t>Boyer, John</t>
  </si>
  <si>
    <t>West, Jeffrey</t>
  </si>
  <si>
    <t>Dodson, David</t>
  </si>
  <si>
    <t>Norton, Bruce</t>
  </si>
  <si>
    <t>Ford, Matt</t>
  </si>
  <si>
    <t>Cross, Marc</t>
  </si>
  <si>
    <t>Simon, Sheila</t>
  </si>
  <si>
    <t>Rogers, Colleen</t>
  </si>
  <si>
    <t>Gonzalez, David</t>
  </si>
  <si>
    <t>Montoya, Lisa</t>
  </si>
  <si>
    <t>Total</t>
  </si>
  <si>
    <t>Gregory, Jon</t>
  </si>
  <si>
    <t>Average</t>
  </si>
  <si>
    <t>Sellers, William</t>
  </si>
  <si>
    <t>Humphrey, Andrew</t>
  </si>
  <si>
    <t>Wiggins, Frank</t>
  </si>
  <si>
    <t>Pitts, Dana</t>
  </si>
  <si>
    <t>Noble, Michael</t>
  </si>
  <si>
    <t>Wilkins, Jesse</t>
  </si>
  <si>
    <t>Dorsey, Matthew</t>
  </si>
  <si>
    <t>Combs, Rick</t>
  </si>
  <si>
    <t>Townsend, Jerry</t>
  </si>
  <si>
    <t>Bishop, Juan</t>
  </si>
  <si>
    <t>Richardson, Deborah</t>
  </si>
  <si>
    <t>Owens, Dwight</t>
  </si>
  <si>
    <t>Castro, Christopher</t>
  </si>
  <si>
    <t>Romero, Randy</t>
  </si>
  <si>
    <t>Knox, Lori</t>
  </si>
  <si>
    <t>Gordon, Diane</t>
  </si>
  <si>
    <t>Callahan, Marilyn</t>
  </si>
  <si>
    <t>George, Jessica</t>
  </si>
  <si>
    <t>Figueroa, Leonard</t>
  </si>
  <si>
    <t>Sexton, John</t>
  </si>
  <si>
    <t>Roberts, Jackie</t>
  </si>
  <si>
    <t>French, Robert</t>
  </si>
  <si>
    <t>Boyd, Debra</t>
  </si>
  <si>
    <t>Fleming, Irv</t>
  </si>
  <si>
    <t>Orr, Jennifer</t>
  </si>
  <si>
    <t>Dawson, Jonathan</t>
  </si>
  <si>
    <t>Kim, Deborah</t>
  </si>
  <si>
    <t>Tanner, Timothy</t>
  </si>
  <si>
    <t>Carson, Anthony</t>
  </si>
  <si>
    <t>Pope, Duane</t>
  </si>
  <si>
    <t>Weber, Larry</t>
  </si>
  <si>
    <t>Porter, Rachel</t>
  </si>
  <si>
    <t>Nash, Mark</t>
  </si>
  <si>
    <t>Garner, Terry</t>
  </si>
  <si>
    <t>Hoover, Evangeline</t>
  </si>
  <si>
    <t>Frazier, Chris</t>
  </si>
  <si>
    <t>Garza, Anthony</t>
  </si>
  <si>
    <t>Moses, Mark</t>
  </si>
  <si>
    <t>Anthony, Robert</t>
  </si>
  <si>
    <t>Barron, Michael</t>
  </si>
  <si>
    <t>Chang, Gabriel</t>
  </si>
  <si>
    <t>Rios, Fredrick</t>
  </si>
  <si>
    <t>Mendez, Max</t>
  </si>
  <si>
    <t>Tate, Zachary</t>
  </si>
  <si>
    <t>Howell, Douglas</t>
  </si>
  <si>
    <t>Hill, Robin</t>
  </si>
  <si>
    <t>McKenzie, Michelle</t>
  </si>
  <si>
    <t>Marquez, Thomas</t>
  </si>
  <si>
    <t>Ingram, Matt</t>
  </si>
  <si>
    <t>Lowe, Michelle</t>
  </si>
  <si>
    <t>Sweeney, Barbara</t>
  </si>
  <si>
    <t>Moreno, Christopher</t>
  </si>
  <si>
    <t>Day, David</t>
  </si>
  <si>
    <t>Brooks, Richard</t>
  </si>
  <si>
    <t>Webster, David</t>
  </si>
  <si>
    <t>Serrano, Al</t>
  </si>
  <si>
    <t>Pierce, Karen</t>
  </si>
  <si>
    <t>Dunn, Matthew</t>
  </si>
  <si>
    <t>Anderson, Tony</t>
  </si>
  <si>
    <t>Patton, Corey</t>
  </si>
  <si>
    <t>McCullough, Scott</t>
  </si>
  <si>
    <t>Wheeler, Meegan</t>
  </si>
  <si>
    <t>Buchanan, Dennis</t>
  </si>
  <si>
    <t>Flowers, Kathleen</t>
  </si>
  <si>
    <t>Moss, Chan</t>
  </si>
  <si>
    <t>Lawrence, Ronald</t>
  </si>
  <si>
    <t>Oconnor, Kent</t>
  </si>
  <si>
    <t>Phelps, Gretchen</t>
  </si>
  <si>
    <t>Arabic</t>
  </si>
  <si>
    <t>Roman</t>
  </si>
  <si>
    <t>XLIVII</t>
  </si>
  <si>
    <t>XLIVIID</t>
  </si>
  <si>
    <t>XLIVIIDV</t>
  </si>
  <si>
    <t>Sales-2014</t>
  </si>
  <si>
    <t>Sales-2015</t>
  </si>
  <si>
    <t>Corrected Roman</t>
  </si>
  <si>
    <t>Boxes needed to package all items</t>
  </si>
  <si>
    <t>Garcia, Larry</t>
  </si>
  <si>
    <t>Chan, Marisa</t>
  </si>
  <si>
    <t>MMMMM</t>
  </si>
  <si>
    <t>Always returns
a lower value</t>
  </si>
  <si>
    <t>Always drops the
decimal portion</t>
  </si>
  <si>
    <t xml:space="preserve">Nearest odd number
moving  away from zero </t>
  </si>
  <si>
    <t xml:space="preserve">Nearest even number
moving  away from zero </t>
  </si>
  <si>
    <t>6749716</t>
  </si>
  <si>
    <t>5368432</t>
  </si>
  <si>
    <t>8087324</t>
  </si>
  <si>
    <t>1539516</t>
  </si>
  <si>
    <t>7554616</t>
  </si>
  <si>
    <t>6695448</t>
  </si>
  <si>
    <t>8487624</t>
  </si>
  <si>
    <t>6379924</t>
  </si>
  <si>
    <t>3971916</t>
  </si>
  <si>
    <t>7492716</t>
  </si>
  <si>
    <t>3639148</t>
  </si>
  <si>
    <t>6137136</t>
  </si>
  <si>
    <t>7510832</t>
  </si>
  <si>
    <t>7843324</t>
  </si>
  <si>
    <t>6245316</t>
  </si>
  <si>
    <t>3273616</t>
  </si>
  <si>
    <t>7863924</t>
  </si>
  <si>
    <t>Prefix</t>
  </si>
  <si>
    <t>Multiplier</t>
  </si>
  <si>
    <t>Abbreviation</t>
  </si>
  <si>
    <t>yotta</t>
  </si>
  <si>
    <t>"Y"</t>
  </si>
  <si>
    <t>zetta</t>
  </si>
  <si>
    <t>"Z"</t>
  </si>
  <si>
    <t>exa</t>
  </si>
  <si>
    <t>"E"</t>
  </si>
  <si>
    <t>peta</t>
  </si>
  <si>
    <t>"P"</t>
  </si>
  <si>
    <t>tera</t>
  </si>
  <si>
    <t>"T"</t>
  </si>
  <si>
    <t>giga</t>
  </si>
  <si>
    <t>"G"</t>
  </si>
  <si>
    <t>mega</t>
  </si>
  <si>
    <t>"M"</t>
  </si>
  <si>
    <t>kilo</t>
  </si>
  <si>
    <t>"k"</t>
  </si>
  <si>
    <t>hecto</t>
  </si>
  <si>
    <t>"h"</t>
  </si>
  <si>
    <t>dekao</t>
  </si>
  <si>
    <t>"da" or "e"</t>
  </si>
  <si>
    <t>deci</t>
  </si>
  <si>
    <t>"d"</t>
  </si>
  <si>
    <t>centi</t>
  </si>
  <si>
    <t>"c"</t>
  </si>
  <si>
    <t>milli</t>
  </si>
  <si>
    <t>micro</t>
  </si>
  <si>
    <t>"u"</t>
  </si>
  <si>
    <t>nano</t>
  </si>
  <si>
    <t>"n"</t>
  </si>
  <si>
    <t>pico</t>
  </si>
  <si>
    <t>"p"</t>
  </si>
  <si>
    <t>femto</t>
  </si>
  <si>
    <t>"f"</t>
  </si>
  <si>
    <t>atto</t>
  </si>
  <si>
    <t>"a"</t>
  </si>
  <si>
    <t>zepto</t>
  </si>
  <si>
    <t>"z"</t>
  </si>
  <si>
    <t>yocto</t>
  </si>
  <si>
    <t>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</si>
</sst>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_(* #,##0.0_);_(* \(#,##0.0\);_(* &quot;-&quot;??_);_(@_)"/>
    <numFmt numFmtId="167" formatCode="0.0%"/>
    <numFmt numFmtId="168" formatCode="000\-00\-0000"/>
    <numFmt numFmtId="169" formatCode="0.0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color rgb="FF3636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6" fillId="0" borderId="0" xfId="3" applyFont="1" applyAlignment="1">
      <alignment horizontal="right"/>
    </xf>
    <xf numFmtId="0" fontId="7" fillId="0" borderId="0" xfId="3" applyFont="1"/>
    <xf numFmtId="0" fontId="8" fillId="3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vertical="top" wrapText="1" indent="1"/>
    </xf>
    <xf numFmtId="0" fontId="2" fillId="0" borderId="2" xfId="0" applyFont="1" applyFill="1" applyBorder="1" applyAlignment="1">
      <alignment vertical="top" wrapText="1" indent="1"/>
    </xf>
    <xf numFmtId="166" fontId="7" fillId="0" borderId="0" xfId="4" applyNumberFormat="1" applyFont="1"/>
    <xf numFmtId="38" fontId="7" fillId="0" borderId="0" xfId="3" applyNumberFormat="1" applyFont="1"/>
    <xf numFmtId="169" fontId="7" fillId="0" borderId="0" xfId="3" applyNumberFormat="1" applyFont="1"/>
    <xf numFmtId="0" fontId="2" fillId="0" borderId="0" xfId="0" applyFont="1" applyFill="1" applyBorder="1" applyAlignment="1">
      <alignment vertical="top" wrapText="1" indent="1"/>
    </xf>
    <xf numFmtId="0" fontId="7" fillId="0" borderId="0" xfId="3" applyFont="1" applyFill="1"/>
    <xf numFmtId="0" fontId="7" fillId="0" borderId="2" xfId="3" applyFont="1" applyBorder="1"/>
    <xf numFmtId="0" fontId="7" fillId="0" borderId="0" xfId="3" applyFont="1" applyFill="1" applyBorder="1"/>
    <xf numFmtId="0" fontId="7" fillId="0" borderId="0" xfId="3" applyFont="1" applyAlignment="1">
      <alignment horizontal="center"/>
    </xf>
    <xf numFmtId="0" fontId="2" fillId="0" borderId="0" xfId="6" applyFont="1"/>
    <xf numFmtId="0" fontId="3" fillId="0" borderId="0" xfId="6" applyFont="1"/>
    <xf numFmtId="0" fontId="3" fillId="0" borderId="0" xfId="6" applyFont="1" applyAlignment="1">
      <alignment horizontal="right"/>
    </xf>
    <xf numFmtId="164" fontId="2" fillId="0" borderId="0" xfId="6" applyNumberFormat="1" applyFont="1"/>
    <xf numFmtId="0" fontId="2" fillId="0" borderId="0" xfId="6" applyFont="1" applyAlignment="1">
      <alignment horizontal="right"/>
    </xf>
    <xf numFmtId="164" fontId="6" fillId="2" borderId="1" xfId="4" applyNumberFormat="1" applyFont="1" applyFill="1" applyBorder="1" applyAlignment="1" applyProtection="1">
      <alignment horizontal="left" vertical="top" indent="1"/>
    </xf>
    <xf numFmtId="43" fontId="6" fillId="2" borderId="1" xfId="1" applyNumberFormat="1" applyFont="1" applyFill="1" applyBorder="1" applyAlignment="1" applyProtection="1">
      <alignment vertical="top"/>
    </xf>
    <xf numFmtId="43" fontId="6" fillId="2" borderId="1" xfId="1" applyFont="1" applyFill="1" applyBorder="1" applyAlignment="1" applyProtection="1">
      <alignment horizontal="right" vertical="top" indent="1"/>
    </xf>
    <xf numFmtId="164" fontId="7" fillId="0" borderId="0" xfId="1" applyNumberFormat="1" applyFont="1"/>
    <xf numFmtId="10" fontId="6" fillId="0" borderId="0" xfId="3" applyNumberFormat="1" applyFont="1"/>
    <xf numFmtId="164" fontId="6" fillId="2" borderId="1" xfId="4" applyNumberFormat="1" applyFont="1" applyFill="1" applyBorder="1" applyAlignment="1" applyProtection="1">
      <alignment horizontal="right" vertical="top"/>
    </xf>
    <xf numFmtId="165" fontId="6" fillId="0" borderId="0" xfId="5" applyNumberFormat="1" applyFont="1" applyFill="1" applyBorder="1" applyAlignment="1" applyProtection="1">
      <alignment vertical="top" wrapText="1"/>
    </xf>
    <xf numFmtId="166" fontId="7" fillId="0" borderId="0" xfId="1" applyNumberFormat="1" applyFont="1"/>
    <xf numFmtId="43" fontId="7" fillId="0" borderId="0" xfId="1" applyNumberFormat="1" applyFont="1"/>
    <xf numFmtId="43" fontId="7" fillId="0" borderId="0" xfId="1" applyFont="1"/>
    <xf numFmtId="43" fontId="7" fillId="0" borderId="0" xfId="3" applyNumberFormat="1" applyFont="1"/>
    <xf numFmtId="164" fontId="7" fillId="0" borderId="0" xfId="4" applyNumberFormat="1" applyFont="1" applyProtection="1"/>
    <xf numFmtId="43" fontId="7" fillId="0" borderId="0" xfId="3" applyNumberFormat="1" applyFont="1" applyProtection="1"/>
    <xf numFmtId="0" fontId="7" fillId="0" borderId="0" xfId="3" applyFont="1" applyProtection="1"/>
    <xf numFmtId="164" fontId="2" fillId="0" borderId="0" xfId="7" applyNumberFormat="1" applyFont="1" applyAlignment="1">
      <alignment horizontal="right"/>
    </xf>
    <xf numFmtId="0" fontId="6" fillId="5" borderId="1" xfId="3" applyFont="1" applyFill="1" applyBorder="1" applyAlignment="1" applyProtection="1">
      <alignment horizontal="left" vertical="top"/>
    </xf>
    <xf numFmtId="164" fontId="6" fillId="5" borderId="1" xfId="4" applyNumberFormat="1" applyFont="1" applyFill="1" applyBorder="1" applyAlignment="1" applyProtection="1">
      <alignment horizontal="left" vertical="top" indent="1"/>
    </xf>
    <xf numFmtId="164" fontId="6" fillId="5" borderId="1" xfId="4" applyNumberFormat="1" applyFont="1" applyFill="1" applyBorder="1" applyAlignment="1" applyProtection="1">
      <alignment vertical="top"/>
    </xf>
    <xf numFmtId="164" fontId="7" fillId="0" borderId="0" xfId="4" applyNumberFormat="1" applyFont="1" applyFill="1" applyAlignment="1" applyProtection="1"/>
    <xf numFmtId="164" fontId="2" fillId="0" borderId="0" xfId="1" applyNumberFormat="1" applyFont="1"/>
    <xf numFmtId="167" fontId="2" fillId="0" borderId="0" xfId="8" applyNumberFormat="1" applyFont="1"/>
    <xf numFmtId="164" fontId="7" fillId="0" borderId="0" xfId="4" applyNumberFormat="1" applyFont="1" applyFill="1" applyAlignment="1" applyProtection="1">
      <alignment horizontal="right"/>
    </xf>
    <xf numFmtId="164" fontId="2" fillId="0" borderId="0" xfId="7" quotePrefix="1" applyNumberFormat="1" applyFont="1" applyAlignment="1">
      <alignment horizontal="right"/>
    </xf>
    <xf numFmtId="168" fontId="6" fillId="2" borderId="1" xfId="3" applyNumberFormat="1" applyFont="1" applyFill="1" applyBorder="1" applyAlignment="1" applyProtection="1">
      <alignment horizontal="center" vertical="top"/>
    </xf>
    <xf numFmtId="0" fontId="6" fillId="2" borderId="1" xfId="3" applyFont="1" applyFill="1" applyBorder="1" applyAlignment="1" applyProtection="1">
      <alignment vertical="top"/>
    </xf>
    <xf numFmtId="0" fontId="6" fillId="2" borderId="1" xfId="3" applyFont="1" applyFill="1" applyBorder="1" applyAlignment="1" applyProtection="1">
      <alignment horizontal="right" vertical="top"/>
    </xf>
    <xf numFmtId="0" fontId="6" fillId="2" borderId="1" xfId="3" applyFont="1" applyFill="1" applyBorder="1" applyAlignment="1" applyProtection="1">
      <alignment horizontal="center" vertical="top"/>
    </xf>
    <xf numFmtId="0" fontId="9" fillId="0" borderId="0" xfId="3" applyFont="1" applyAlignment="1" applyProtection="1"/>
    <xf numFmtId="0" fontId="9" fillId="0" borderId="0" xfId="3" applyFont="1" applyAlignment="1" applyProtection="1">
      <alignment horizontal="right"/>
    </xf>
    <xf numFmtId="0" fontId="7" fillId="0" borderId="0" xfId="3" applyFont="1" applyAlignment="1" applyProtection="1">
      <alignment horizontal="right"/>
    </xf>
    <xf numFmtId="168" fontId="7" fillId="0" borderId="0" xfId="3" applyNumberFormat="1" applyFont="1" applyAlignment="1" applyProtection="1">
      <alignment horizontal="right"/>
    </xf>
    <xf numFmtId="164" fontId="7" fillId="0" borderId="0" xfId="4" applyNumberFormat="1" applyFont="1" applyFill="1" applyProtection="1"/>
    <xf numFmtId="0" fontId="7" fillId="0" borderId="0" xfId="3" applyFont="1" applyAlignment="1" applyProtection="1">
      <alignment horizontal="center"/>
    </xf>
    <xf numFmtId="164" fontId="7" fillId="0" borderId="0" xfId="1" applyNumberFormat="1" applyFont="1" applyProtection="1"/>
    <xf numFmtId="15" fontId="7" fillId="0" borderId="0" xfId="3" applyNumberFormat="1" applyFont="1" applyProtection="1"/>
    <xf numFmtId="14" fontId="7" fillId="0" borderId="0" xfId="3" applyNumberFormat="1" applyFont="1" applyProtection="1"/>
    <xf numFmtId="0" fontId="7" fillId="0" borderId="0" xfId="3" applyFont="1" applyAlignment="1"/>
    <xf numFmtId="0" fontId="7" fillId="0" borderId="0" xfId="3" applyFont="1" applyFill="1" applyProtection="1"/>
    <xf numFmtId="164" fontId="7" fillId="0" borderId="0" xfId="4" applyNumberFormat="1" applyFont="1" applyAlignment="1" applyProtection="1"/>
    <xf numFmtId="168" fontId="7" fillId="0" borderId="0" xfId="3" applyNumberFormat="1" applyFont="1" applyProtection="1"/>
    <xf numFmtId="0" fontId="7" fillId="0" borderId="0" xfId="3" applyNumberFormat="1" applyFont="1" applyProtection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6" fillId="0" borderId="0" xfId="3" applyFont="1" applyAlignment="1">
      <alignment horizontal="left"/>
    </xf>
    <xf numFmtId="4" fontId="7" fillId="0" borderId="0" xfId="3" applyNumberFormat="1" applyFont="1"/>
    <xf numFmtId="167" fontId="6" fillId="0" borderId="0" xfId="2" applyNumberFormat="1" applyFont="1"/>
    <xf numFmtId="4" fontId="6" fillId="0" borderId="0" xfId="3" applyNumberFormat="1" applyFont="1" applyAlignment="1">
      <alignment horizontal="right"/>
    </xf>
    <xf numFmtId="4" fontId="7" fillId="0" borderId="0" xfId="1" applyNumberFormat="1" applyFont="1"/>
    <xf numFmtId="164" fontId="6" fillId="2" borderId="1" xfId="4" applyNumberFormat="1" applyFont="1" applyFill="1" applyBorder="1" applyAlignment="1" applyProtection="1">
      <alignment horizontal="right" vertical="top" indent="1"/>
    </xf>
    <xf numFmtId="14" fontId="6" fillId="2" borderId="1" xfId="3" applyNumberFormat="1" applyFont="1" applyFill="1" applyBorder="1" applyAlignment="1" applyProtection="1">
      <alignment horizontal="right" vertical="top"/>
    </xf>
    <xf numFmtId="0" fontId="7" fillId="0" borderId="0" xfId="5" applyNumberFormat="1" applyFont="1" applyProtection="1"/>
    <xf numFmtId="0" fontId="7" fillId="0" borderId="0" xfId="1" applyNumberFormat="1" applyFont="1" applyFill="1" applyAlignment="1" applyProtection="1"/>
    <xf numFmtId="0" fontId="7" fillId="0" borderId="0" xfId="4" applyNumberFormat="1" applyFont="1" applyAlignment="1" applyProtection="1"/>
    <xf numFmtId="164" fontId="1" fillId="0" borderId="0" xfId="7" applyNumberFormat="1" applyFont="1" applyAlignment="1">
      <alignment horizontal="right"/>
    </xf>
    <xf numFmtId="164" fontId="6" fillId="5" borderId="1" xfId="4" applyNumberFormat="1" applyFont="1" applyFill="1" applyBorder="1" applyAlignment="1" applyProtection="1">
      <alignment horizontal="right" vertical="top" indent="1"/>
    </xf>
    <xf numFmtId="4" fontId="7" fillId="0" borderId="0" xfId="3" applyNumberFormat="1" applyFont="1" applyAlignment="1">
      <alignment horizontal="right" wrapText="1"/>
    </xf>
    <xf numFmtId="0" fontId="7" fillId="0" borderId="0" xfId="3" applyFont="1" applyAlignment="1">
      <alignment horizontal="right" wrapText="1"/>
    </xf>
    <xf numFmtId="0" fontId="2" fillId="4" borderId="4" xfId="0" applyFont="1" applyFill="1" applyBorder="1" applyAlignment="1">
      <alignment vertical="top" wrapText="1" indent="1"/>
    </xf>
    <xf numFmtId="0" fontId="8" fillId="3" borderId="5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vertical="center" wrapText="1"/>
    </xf>
    <xf numFmtId="11" fontId="10" fillId="6" borderId="3" xfId="0" applyNumberFormat="1" applyFont="1" applyFill="1" applyBorder="1" applyAlignment="1">
      <alignment vertical="center" wrapText="1"/>
    </xf>
  </cellXfs>
  <cellStyles count="9">
    <cellStyle name="Comma" xfId="1" builtinId="3"/>
    <cellStyle name="Comma 2" xfId="4"/>
    <cellStyle name="Comma 3" xfId="7"/>
    <cellStyle name="Normal" xfId="0" builtinId="0"/>
    <cellStyle name="Normal 2" xfId="3"/>
    <cellStyle name="Normal 4" xfId="6"/>
    <cellStyle name="Percent" xfId="2" builtinId="5"/>
    <cellStyle name="Percent 2" xfId="5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3"/>
  <sheetViews>
    <sheetView tabSelected="1" zoomScale="175" zoomScaleNormal="175" workbookViewId="0">
      <selection activeCell="E2" sqref="E2"/>
    </sheetView>
  </sheetViews>
  <sheetFormatPr defaultColWidth="9.140625" defaultRowHeight="15" x14ac:dyDescent="0.25"/>
  <cols>
    <col min="1" max="1" width="6" style="2" bestFit="1" customWidth="1"/>
    <col min="2" max="2" width="2.85546875" style="2" customWidth="1"/>
    <col min="3" max="3" width="8.85546875" style="2" customWidth="1"/>
    <col min="4" max="4" width="6" style="28" customWidth="1"/>
    <col min="5" max="5" width="23.7109375" style="29" customWidth="1"/>
    <col min="6" max="6" width="11.42578125" style="2" customWidth="1"/>
    <col min="7" max="7" width="6.28515625" style="2" bestFit="1" customWidth="1"/>
    <col min="8" max="8" width="3.28515625" style="2" customWidth="1"/>
    <col min="9" max="9" width="12" style="2" customWidth="1"/>
    <col min="10" max="10" width="3" style="2" customWidth="1"/>
    <col min="11" max="11" width="8.42578125" style="2" customWidth="1"/>
    <col min="12" max="12" width="18.140625" style="2" customWidth="1"/>
    <col min="13" max="13" width="9.140625" style="2"/>
    <col min="14" max="14" width="5.85546875" style="2" customWidth="1"/>
    <col min="15" max="16384" width="9.140625" style="2"/>
  </cols>
  <sheetData>
    <row r="1" spans="1:13" x14ac:dyDescent="0.25">
      <c r="C1" s="20" t="s">
        <v>0</v>
      </c>
      <c r="D1" s="21" t="s">
        <v>1</v>
      </c>
      <c r="E1" s="22" t="s">
        <v>2</v>
      </c>
      <c r="F1" s="23">
        <v>10000</v>
      </c>
      <c r="G1" s="24">
        <v>2.3400000000000001E-2</v>
      </c>
      <c r="K1" s="20" t="s">
        <v>3</v>
      </c>
      <c r="L1" s="25" t="s">
        <v>4</v>
      </c>
      <c r="M1" s="26">
        <v>2.1299999999999999E-2</v>
      </c>
    </row>
    <row r="2" spans="1:13" x14ac:dyDescent="0.25">
      <c r="A2" s="27">
        <v>4.5999999999999996</v>
      </c>
      <c r="C2" s="14">
        <v>228</v>
      </c>
      <c r="D2" s="28">
        <v>8.7899999999999991</v>
      </c>
      <c r="E2" s="29">
        <f>D2*$G$1+D2</f>
        <v>8.9956859999999992</v>
      </c>
      <c r="F2" s="30"/>
      <c r="I2" s="2" t="s">
        <v>5</v>
      </c>
      <c r="K2" s="31">
        <v>35684</v>
      </c>
      <c r="L2" s="32"/>
      <c r="M2" s="33"/>
    </row>
    <row r="3" spans="1:13" x14ac:dyDescent="0.25">
      <c r="A3" s="27">
        <v>4.5999999999999996</v>
      </c>
      <c r="C3" s="14">
        <v>265</v>
      </c>
      <c r="D3" s="28">
        <v>3.2</v>
      </c>
      <c r="E3" s="29">
        <f t="shared" ref="E3:E17" si="0">D3*$G$1+D3</f>
        <v>3.27488</v>
      </c>
      <c r="F3" s="30"/>
      <c r="I3" s="2" t="s">
        <v>6</v>
      </c>
      <c r="K3" s="31">
        <v>66583</v>
      </c>
      <c r="L3" s="32"/>
      <c r="M3" s="33"/>
    </row>
    <row r="4" spans="1:13" x14ac:dyDescent="0.25">
      <c r="A4" s="27">
        <v>4.5999999999999996</v>
      </c>
      <c r="C4" s="14">
        <v>285</v>
      </c>
      <c r="D4" s="28">
        <v>4.16</v>
      </c>
      <c r="E4" s="29">
        <f t="shared" si="0"/>
        <v>4.2573439999999998</v>
      </c>
      <c r="F4" s="30"/>
      <c r="I4" s="2" t="s">
        <v>7</v>
      </c>
      <c r="K4" s="31">
        <v>76698</v>
      </c>
      <c r="L4" s="32"/>
      <c r="M4" s="33"/>
    </row>
    <row r="5" spans="1:13" x14ac:dyDescent="0.25">
      <c r="A5" s="27">
        <v>4.5999999999999996</v>
      </c>
      <c r="C5" s="14">
        <v>291</v>
      </c>
      <c r="D5" s="28">
        <v>7.77</v>
      </c>
      <c r="E5" s="29">
        <f t="shared" si="0"/>
        <v>7.9518179999999994</v>
      </c>
      <c r="K5" s="31">
        <v>42544</v>
      </c>
      <c r="L5" s="32"/>
      <c r="M5" s="33"/>
    </row>
    <row r="6" spans="1:13" x14ac:dyDescent="0.25">
      <c r="A6" s="27">
        <v>4.5999999999999996</v>
      </c>
      <c r="C6" s="14">
        <v>366</v>
      </c>
      <c r="D6" s="28">
        <v>6.32</v>
      </c>
      <c r="E6" s="29">
        <f t="shared" si="0"/>
        <v>6.4678880000000003</v>
      </c>
      <c r="K6" s="31">
        <v>79766</v>
      </c>
      <c r="L6" s="32"/>
      <c r="M6" s="33"/>
    </row>
    <row r="7" spans="1:13" x14ac:dyDescent="0.25">
      <c r="A7" s="27">
        <f>SUM(A2:A6)</f>
        <v>23</v>
      </c>
      <c r="C7" s="14">
        <v>521</v>
      </c>
      <c r="D7" s="28">
        <v>4.8899999999999997</v>
      </c>
      <c r="E7" s="29">
        <f t="shared" si="0"/>
        <v>5.0044259999999996</v>
      </c>
      <c r="K7" s="31">
        <v>60838</v>
      </c>
      <c r="L7" s="32"/>
      <c r="M7" s="33"/>
    </row>
    <row r="8" spans="1:13" x14ac:dyDescent="0.25">
      <c r="C8" s="14">
        <v>550</v>
      </c>
      <c r="D8" s="28">
        <v>7.88</v>
      </c>
      <c r="E8" s="29">
        <f t="shared" si="0"/>
        <v>8.0643919999999998</v>
      </c>
      <c r="K8" s="31">
        <v>85302</v>
      </c>
      <c r="L8" s="32"/>
      <c r="M8" s="33"/>
    </row>
    <row r="9" spans="1:13" x14ac:dyDescent="0.25">
      <c r="C9" s="14">
        <v>600</v>
      </c>
      <c r="D9" s="28">
        <v>2.0499999999999998</v>
      </c>
      <c r="E9" s="29">
        <f t="shared" si="0"/>
        <v>2.0979699999999997</v>
      </c>
      <c r="K9" s="31">
        <v>72096</v>
      </c>
      <c r="L9" s="32"/>
      <c r="M9" s="33"/>
    </row>
    <row r="10" spans="1:13" x14ac:dyDescent="0.25">
      <c r="C10" s="14">
        <v>629</v>
      </c>
      <c r="D10" s="28">
        <v>4.5999999999999996</v>
      </c>
      <c r="E10" s="29">
        <f t="shared" si="0"/>
        <v>4.7076399999999996</v>
      </c>
      <c r="K10" s="31">
        <v>24557</v>
      </c>
      <c r="L10" s="32"/>
      <c r="M10" s="33"/>
    </row>
    <row r="11" spans="1:13" x14ac:dyDescent="0.25">
      <c r="C11" s="14">
        <v>754</v>
      </c>
      <c r="D11" s="28">
        <v>1.76</v>
      </c>
      <c r="E11" s="29">
        <f t="shared" si="0"/>
        <v>1.8011840000000001</v>
      </c>
      <c r="K11" s="31">
        <v>75159</v>
      </c>
      <c r="L11" s="32"/>
      <c r="M11" s="33"/>
    </row>
    <row r="12" spans="1:13" x14ac:dyDescent="0.25">
      <c r="C12" s="14">
        <v>768</v>
      </c>
      <c r="D12" s="28">
        <v>7.52</v>
      </c>
      <c r="E12" s="29">
        <f t="shared" si="0"/>
        <v>7.6959679999999997</v>
      </c>
      <c r="K12" s="31">
        <v>74846</v>
      </c>
      <c r="L12" s="32"/>
      <c r="M12" s="33"/>
    </row>
    <row r="13" spans="1:13" x14ac:dyDescent="0.25">
      <c r="C13" s="14">
        <v>796</v>
      </c>
      <c r="D13" s="28">
        <v>1.53</v>
      </c>
      <c r="E13" s="29">
        <f t="shared" si="0"/>
        <v>1.5658020000000001</v>
      </c>
      <c r="K13" s="31">
        <v>30789</v>
      </c>
      <c r="L13" s="32"/>
      <c r="M13" s="33"/>
    </row>
    <row r="14" spans="1:13" x14ac:dyDescent="0.25">
      <c r="C14" s="14">
        <v>840</v>
      </c>
      <c r="D14" s="28">
        <v>9.19</v>
      </c>
      <c r="E14" s="29">
        <f t="shared" si="0"/>
        <v>9.4050459999999987</v>
      </c>
      <c r="K14" s="31">
        <v>49356</v>
      </c>
      <c r="L14" s="32"/>
      <c r="M14" s="33"/>
    </row>
    <row r="15" spans="1:13" x14ac:dyDescent="0.25">
      <c r="C15" s="14">
        <v>861</v>
      </c>
      <c r="D15" s="28">
        <v>5.31</v>
      </c>
      <c r="E15" s="29">
        <f t="shared" si="0"/>
        <v>5.4342539999999993</v>
      </c>
      <c r="K15" s="31">
        <v>37674</v>
      </c>
      <c r="L15" s="32"/>
      <c r="M15" s="33"/>
    </row>
    <row r="16" spans="1:13" x14ac:dyDescent="0.25">
      <c r="C16" s="14">
        <v>869</v>
      </c>
      <c r="D16" s="28">
        <v>5.74</v>
      </c>
      <c r="E16" s="29">
        <f t="shared" si="0"/>
        <v>5.8743160000000003</v>
      </c>
      <c r="K16" s="31">
        <v>72833</v>
      </c>
      <c r="L16" s="32"/>
      <c r="M16" s="33"/>
    </row>
    <row r="17" spans="3:13" x14ac:dyDescent="0.25">
      <c r="C17" s="14">
        <v>882</v>
      </c>
      <c r="D17" s="28">
        <v>1.84</v>
      </c>
      <c r="E17" s="29">
        <f t="shared" si="0"/>
        <v>1.8830560000000001</v>
      </c>
      <c r="K17" s="31">
        <v>58299</v>
      </c>
      <c r="L17" s="32"/>
      <c r="M17" s="33"/>
    </row>
    <row r="18" spans="3:13" x14ac:dyDescent="0.25">
      <c r="C18" s="14"/>
      <c r="K18" s="31">
        <v>26801</v>
      </c>
      <c r="L18" s="32"/>
      <c r="M18" s="33"/>
    </row>
    <row r="19" spans="3:13" x14ac:dyDescent="0.25">
      <c r="C19" s="14"/>
      <c r="K19" s="31">
        <v>30450</v>
      </c>
      <c r="L19" s="32"/>
      <c r="M19" s="33"/>
    </row>
    <row r="20" spans="3:13" x14ac:dyDescent="0.25">
      <c r="C20" s="14"/>
      <c r="K20" s="31">
        <v>15248</v>
      </c>
      <c r="L20" s="32"/>
      <c r="M20" s="33"/>
    </row>
    <row r="21" spans="3:13" x14ac:dyDescent="0.25">
      <c r="C21" s="14"/>
      <c r="K21" s="31">
        <v>17742</v>
      </c>
      <c r="L21" s="32"/>
      <c r="M21" s="33"/>
    </row>
    <row r="22" spans="3:13" x14ac:dyDescent="0.25">
      <c r="C22" s="14"/>
      <c r="K22" s="31">
        <v>29073</v>
      </c>
      <c r="L22" s="32"/>
      <c r="M22" s="33"/>
    </row>
    <row r="23" spans="3:13" x14ac:dyDescent="0.25">
      <c r="C23" s="14"/>
      <c r="K23" s="31">
        <v>10645</v>
      </c>
      <c r="L23" s="32"/>
      <c r="M23" s="33"/>
    </row>
    <row r="24" spans="3:13" x14ac:dyDescent="0.25">
      <c r="C24" s="14"/>
      <c r="K24" s="31">
        <v>41353</v>
      </c>
      <c r="L24" s="32"/>
      <c r="M24" s="33"/>
    </row>
    <row r="25" spans="3:13" x14ac:dyDescent="0.25">
      <c r="C25" s="14"/>
      <c r="K25" s="31">
        <v>73448</v>
      </c>
      <c r="L25" s="32"/>
      <c r="M25" s="33"/>
    </row>
    <row r="26" spans="3:13" x14ac:dyDescent="0.25">
      <c r="C26" s="14"/>
      <c r="K26" s="31">
        <v>49367</v>
      </c>
      <c r="L26" s="32"/>
      <c r="M26" s="33"/>
    </row>
    <row r="27" spans="3:13" x14ac:dyDescent="0.25">
      <c r="C27" s="14"/>
      <c r="K27" s="31">
        <v>47854</v>
      </c>
      <c r="L27" s="32"/>
      <c r="M27" s="33"/>
    </row>
    <row r="28" spans="3:13" x14ac:dyDescent="0.25">
      <c r="C28" s="14"/>
      <c r="K28" s="31">
        <v>56441</v>
      </c>
      <c r="L28" s="32"/>
      <c r="M28" s="33"/>
    </row>
    <row r="29" spans="3:13" x14ac:dyDescent="0.25">
      <c r="C29" s="14"/>
      <c r="K29" s="31">
        <v>33648</v>
      </c>
      <c r="L29" s="32"/>
      <c r="M29" s="33"/>
    </row>
    <row r="30" spans="3:13" x14ac:dyDescent="0.25">
      <c r="C30" s="14"/>
      <c r="K30" s="31">
        <v>30358</v>
      </c>
      <c r="L30" s="32"/>
      <c r="M30" s="33"/>
    </row>
    <row r="31" spans="3:13" x14ac:dyDescent="0.25">
      <c r="C31" s="14"/>
      <c r="K31" s="31">
        <v>51183</v>
      </c>
      <c r="L31" s="32"/>
      <c r="M31" s="33"/>
    </row>
    <row r="32" spans="3:13" x14ac:dyDescent="0.25">
      <c r="C32" s="14"/>
      <c r="K32" s="31">
        <v>11026</v>
      </c>
      <c r="L32" s="32"/>
      <c r="M32" s="33"/>
    </row>
    <row r="33" spans="3:13" x14ac:dyDescent="0.25">
      <c r="C33" s="14"/>
      <c r="K33" s="31">
        <v>20030</v>
      </c>
      <c r="L33" s="32"/>
      <c r="M33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zoomScale="175" zoomScaleNormal="175" workbookViewId="0">
      <selection activeCell="F7" sqref="F7"/>
    </sheetView>
  </sheetViews>
  <sheetFormatPr defaultColWidth="9.140625" defaultRowHeight="15" x14ac:dyDescent="0.25"/>
  <cols>
    <col min="1" max="1" width="9.28515625" style="2" bestFit="1" customWidth="1"/>
    <col min="2" max="2" width="6" style="28" customWidth="1"/>
    <col min="3" max="3" width="21.85546875" style="2" customWidth="1"/>
    <col min="4" max="4" width="6.28515625" style="2" bestFit="1" customWidth="1"/>
    <col min="5" max="5" width="3.28515625" style="2" customWidth="1"/>
    <col min="6" max="6" width="12" style="2" customWidth="1"/>
    <col min="7" max="7" width="8.42578125" style="2" customWidth="1"/>
    <col min="8" max="8" width="20.85546875" style="2" customWidth="1"/>
    <col min="9" max="9" width="9.140625" style="2"/>
    <col min="10" max="10" width="6.28515625" style="2" bestFit="1" customWidth="1"/>
    <col min="11" max="16384" width="9.140625" style="2"/>
  </cols>
  <sheetData>
    <row r="1" spans="1:10" x14ac:dyDescent="0.25">
      <c r="A1" s="20" t="s">
        <v>0</v>
      </c>
      <c r="B1" s="21" t="s">
        <v>1</v>
      </c>
      <c r="C1" s="69" t="s">
        <v>2</v>
      </c>
      <c r="D1" s="24">
        <v>2.3400000000000001E-2</v>
      </c>
      <c r="G1" s="20" t="s">
        <v>3</v>
      </c>
      <c r="H1" s="25" t="s">
        <v>4</v>
      </c>
      <c r="J1" s="26">
        <v>2.1299999999999999E-2</v>
      </c>
    </row>
    <row r="2" spans="1:10" x14ac:dyDescent="0.25">
      <c r="A2" s="14">
        <v>228</v>
      </c>
      <c r="B2" s="28">
        <v>8.7899999999999991</v>
      </c>
      <c r="C2" s="30">
        <f>ROUND(B2*$D$1+B2,2)</f>
        <v>9</v>
      </c>
      <c r="F2" s="2" t="s">
        <v>8</v>
      </c>
      <c r="G2" s="31">
        <v>55684</v>
      </c>
      <c r="H2" s="30">
        <f>G2*$J$1+G2</f>
        <v>56870.069199999998</v>
      </c>
      <c r="I2" s="32"/>
    </row>
    <row r="3" spans="1:10" x14ac:dyDescent="0.25">
      <c r="A3" s="14">
        <v>265</v>
      </c>
      <c r="B3" s="28">
        <v>3.2</v>
      </c>
      <c r="C3" s="30">
        <f>ROUND(B3*$D$1+B3,2)</f>
        <v>3.27</v>
      </c>
      <c r="F3" s="2" t="s">
        <v>9</v>
      </c>
      <c r="G3" s="31">
        <v>66583</v>
      </c>
      <c r="H3" s="32"/>
      <c r="I3" s="33"/>
    </row>
    <row r="4" spans="1:10" x14ac:dyDescent="0.25">
      <c r="A4" s="14">
        <v>285</v>
      </c>
      <c r="B4" s="28">
        <v>4.16</v>
      </c>
      <c r="C4" s="30">
        <f t="shared" ref="C4:C17" si="0">ROUND(B4*$D$1+B4,2)</f>
        <v>4.26</v>
      </c>
      <c r="F4" s="2" t="s">
        <v>10</v>
      </c>
      <c r="G4" s="31">
        <v>76698</v>
      </c>
      <c r="H4" s="32"/>
      <c r="I4" s="33"/>
    </row>
    <row r="5" spans="1:10" x14ac:dyDescent="0.25">
      <c r="A5" s="14">
        <v>291</v>
      </c>
      <c r="B5" s="28">
        <v>7.77</v>
      </c>
      <c r="C5" s="30">
        <f t="shared" si="0"/>
        <v>7.95</v>
      </c>
      <c r="G5" s="31">
        <v>42544</v>
      </c>
      <c r="H5" s="32"/>
      <c r="I5" s="33"/>
    </row>
    <row r="6" spans="1:10" x14ac:dyDescent="0.25">
      <c r="A6" s="14">
        <v>366</v>
      </c>
      <c r="B6" s="28">
        <v>6.32</v>
      </c>
      <c r="C6" s="30">
        <f t="shared" si="0"/>
        <v>6.47</v>
      </c>
      <c r="G6" s="31">
        <v>79766</v>
      </c>
      <c r="H6" s="32"/>
      <c r="I6" s="33"/>
    </row>
    <row r="7" spans="1:10" x14ac:dyDescent="0.25">
      <c r="A7" s="14">
        <v>521</v>
      </c>
      <c r="B7" s="28">
        <v>4.8899999999999997</v>
      </c>
      <c r="C7" s="30">
        <f t="shared" si="0"/>
        <v>5</v>
      </c>
      <c r="G7" s="31">
        <v>60838</v>
      </c>
      <c r="H7" s="32"/>
      <c r="I7" s="33"/>
    </row>
    <row r="8" spans="1:10" x14ac:dyDescent="0.25">
      <c r="A8" s="14">
        <v>550</v>
      </c>
      <c r="B8" s="28">
        <v>7.88</v>
      </c>
      <c r="C8" s="30">
        <f t="shared" si="0"/>
        <v>8.06</v>
      </c>
      <c r="G8" s="31">
        <v>85302</v>
      </c>
      <c r="H8" s="32"/>
      <c r="I8" s="33"/>
    </row>
    <row r="9" spans="1:10" x14ac:dyDescent="0.25">
      <c r="A9" s="14">
        <v>600</v>
      </c>
      <c r="B9" s="28">
        <v>2.0499999999999998</v>
      </c>
      <c r="C9" s="30">
        <f t="shared" si="0"/>
        <v>2.1</v>
      </c>
      <c r="G9" s="31">
        <v>72096</v>
      </c>
      <c r="H9" s="32"/>
      <c r="I9" s="33"/>
    </row>
    <row r="10" spans="1:10" x14ac:dyDescent="0.25">
      <c r="A10" s="14">
        <v>629</v>
      </c>
      <c r="B10" s="28">
        <v>4.5999999999999996</v>
      </c>
      <c r="C10" s="30">
        <f t="shared" si="0"/>
        <v>4.71</v>
      </c>
      <c r="G10" s="31">
        <v>24557</v>
      </c>
      <c r="H10" s="32"/>
      <c r="I10" s="33"/>
    </row>
    <row r="11" spans="1:10" x14ac:dyDescent="0.25">
      <c r="A11" s="14">
        <v>754</v>
      </c>
      <c r="B11" s="28">
        <v>1.76</v>
      </c>
      <c r="C11" s="30">
        <f t="shared" si="0"/>
        <v>1.8</v>
      </c>
      <c r="G11" s="31">
        <v>75159</v>
      </c>
      <c r="H11" s="32"/>
      <c r="I11" s="33"/>
    </row>
    <row r="12" spans="1:10" x14ac:dyDescent="0.25">
      <c r="A12" s="14">
        <v>768</v>
      </c>
      <c r="B12" s="28">
        <v>7.52</v>
      </c>
      <c r="C12" s="30">
        <f t="shared" si="0"/>
        <v>7.7</v>
      </c>
      <c r="G12" s="31">
        <v>74846</v>
      </c>
      <c r="H12" s="32"/>
      <c r="I12" s="33"/>
    </row>
    <row r="13" spans="1:10" x14ac:dyDescent="0.25">
      <c r="A13" s="14">
        <v>796</v>
      </c>
      <c r="B13" s="28">
        <v>1.53</v>
      </c>
      <c r="C13" s="30">
        <f t="shared" si="0"/>
        <v>1.57</v>
      </c>
      <c r="G13" s="31">
        <v>30789</v>
      </c>
      <c r="H13" s="32"/>
      <c r="I13" s="33"/>
    </row>
    <row r="14" spans="1:10" x14ac:dyDescent="0.25">
      <c r="A14" s="14">
        <v>840</v>
      </c>
      <c r="B14" s="28">
        <v>9.19</v>
      </c>
      <c r="C14" s="30">
        <f t="shared" si="0"/>
        <v>9.41</v>
      </c>
      <c r="G14" s="31">
        <v>49356</v>
      </c>
      <c r="H14" s="32"/>
      <c r="I14" s="33"/>
    </row>
    <row r="15" spans="1:10" x14ac:dyDescent="0.25">
      <c r="A15" s="14">
        <v>861</v>
      </c>
      <c r="B15" s="28">
        <v>5.31</v>
      </c>
      <c r="C15" s="30">
        <f t="shared" si="0"/>
        <v>5.43</v>
      </c>
      <c r="G15" s="31">
        <v>37674</v>
      </c>
      <c r="H15" s="32"/>
      <c r="I15" s="33"/>
    </row>
    <row r="16" spans="1:10" x14ac:dyDescent="0.25">
      <c r="A16" s="14">
        <v>869</v>
      </c>
      <c r="B16" s="28">
        <v>5.74</v>
      </c>
      <c r="C16" s="30">
        <f t="shared" si="0"/>
        <v>5.87</v>
      </c>
      <c r="G16" s="31">
        <v>72833</v>
      </c>
      <c r="H16" s="32"/>
      <c r="I16" s="33"/>
    </row>
    <row r="17" spans="1:9" x14ac:dyDescent="0.25">
      <c r="A17" s="14">
        <v>882</v>
      </c>
      <c r="B17" s="28">
        <v>1.84</v>
      </c>
      <c r="C17" s="30">
        <f t="shared" si="0"/>
        <v>1.88</v>
      </c>
      <c r="G17" s="31">
        <v>58299</v>
      </c>
      <c r="H17" s="32"/>
      <c r="I17" s="33"/>
    </row>
    <row r="18" spans="1:9" x14ac:dyDescent="0.25">
      <c r="A18" s="14"/>
      <c r="G18" s="31">
        <v>26801</v>
      </c>
      <c r="H18" s="32"/>
      <c r="I18" s="33"/>
    </row>
    <row r="19" spans="1:9" x14ac:dyDescent="0.25">
      <c r="A19" s="14"/>
      <c r="G19" s="31">
        <v>30450</v>
      </c>
      <c r="H19" s="32"/>
      <c r="I19" s="33"/>
    </row>
    <row r="20" spans="1:9" x14ac:dyDescent="0.25">
      <c r="A20" s="14"/>
      <c r="G20" s="31">
        <v>15248</v>
      </c>
      <c r="H20" s="32"/>
      <c r="I20" s="33"/>
    </row>
    <row r="21" spans="1:9" x14ac:dyDescent="0.25">
      <c r="A21" s="14"/>
      <c r="G21" s="31">
        <v>17742</v>
      </c>
      <c r="H21" s="32"/>
      <c r="I21" s="33"/>
    </row>
    <row r="22" spans="1:9" x14ac:dyDescent="0.25">
      <c r="A22" s="14"/>
      <c r="G22" s="31">
        <v>29073</v>
      </c>
      <c r="H22" s="32"/>
      <c r="I22" s="33"/>
    </row>
    <row r="23" spans="1:9" x14ac:dyDescent="0.25">
      <c r="A23" s="14"/>
      <c r="G23" s="31">
        <v>10645</v>
      </c>
      <c r="H23" s="32"/>
      <c r="I23" s="33"/>
    </row>
    <row r="24" spans="1:9" x14ac:dyDescent="0.25">
      <c r="A24" s="14"/>
      <c r="G24" s="31">
        <v>41353</v>
      </c>
      <c r="H24" s="32"/>
      <c r="I24" s="33"/>
    </row>
    <row r="25" spans="1:9" x14ac:dyDescent="0.25">
      <c r="A25" s="14"/>
      <c r="G25" s="31">
        <v>73448</v>
      </c>
      <c r="H25" s="32"/>
      <c r="I25" s="33"/>
    </row>
    <row r="26" spans="1:9" x14ac:dyDescent="0.25">
      <c r="A26" s="14"/>
      <c r="G26" s="31">
        <v>49367</v>
      </c>
      <c r="H26" s="32"/>
      <c r="I26" s="33"/>
    </row>
    <row r="27" spans="1:9" x14ac:dyDescent="0.25">
      <c r="A27" s="14"/>
      <c r="G27" s="31">
        <v>47854</v>
      </c>
      <c r="H27" s="32"/>
      <c r="I27" s="33"/>
    </row>
    <row r="28" spans="1:9" x14ac:dyDescent="0.25">
      <c r="A28" s="14"/>
      <c r="G28" s="31">
        <v>56441</v>
      </c>
      <c r="H28" s="32"/>
      <c r="I28" s="33"/>
    </row>
    <row r="29" spans="1:9" x14ac:dyDescent="0.25">
      <c r="A29" s="14"/>
      <c r="G29" s="31">
        <v>33648</v>
      </c>
      <c r="H29" s="32"/>
      <c r="I29" s="33"/>
    </row>
    <row r="30" spans="1:9" x14ac:dyDescent="0.25">
      <c r="A30" s="14"/>
      <c r="G30" s="31">
        <v>30358</v>
      </c>
      <c r="H30" s="32"/>
      <c r="I30" s="33"/>
    </row>
    <row r="31" spans="1:9" x14ac:dyDescent="0.25">
      <c r="A31" s="14"/>
      <c r="G31" s="31">
        <v>51183</v>
      </c>
      <c r="H31" s="32"/>
      <c r="I31" s="33"/>
    </row>
    <row r="32" spans="1:9" x14ac:dyDescent="0.25">
      <c r="A32" s="14"/>
      <c r="G32" s="31">
        <v>11026</v>
      </c>
      <c r="H32" s="32"/>
      <c r="I32" s="33"/>
    </row>
    <row r="33" spans="1:9" x14ac:dyDescent="0.25">
      <c r="A33" s="14"/>
      <c r="G33" s="31">
        <v>20030</v>
      </c>
      <c r="H33" s="32"/>
      <c r="I33" s="33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16"/>
  <sheetViews>
    <sheetView zoomScale="145" zoomScaleNormal="145" workbookViewId="0">
      <selection activeCell="D3" sqref="D3"/>
    </sheetView>
  </sheetViews>
  <sheetFormatPr defaultColWidth="9.140625" defaultRowHeight="15" x14ac:dyDescent="0.25"/>
  <cols>
    <col min="1" max="1" width="7.140625" style="64" bestFit="1" customWidth="1"/>
    <col min="2" max="2" width="7.42578125" style="65" bestFit="1" customWidth="1"/>
    <col min="3" max="3" width="7.42578125" style="29" bestFit="1" customWidth="1"/>
    <col min="4" max="4" width="16.28515625" style="65" bestFit="1" customWidth="1"/>
    <col min="5" max="5" width="14.28515625" style="65" bestFit="1" customWidth="1"/>
    <col min="6" max="6" width="9.140625" style="2"/>
    <col min="7" max="7" width="5.7109375" style="2" bestFit="1" customWidth="1"/>
    <col min="8" max="8" width="22.42578125" style="2" bestFit="1" customWidth="1"/>
    <col min="9" max="9" width="9.140625" style="2"/>
    <col min="10" max="10" width="5.7109375" style="2" bestFit="1" customWidth="1"/>
    <col min="11" max="11" width="22.42578125" style="2" bestFit="1" customWidth="1"/>
    <col min="12" max="16384" width="9.140625" style="2"/>
  </cols>
  <sheetData>
    <row r="1" spans="1:11" x14ac:dyDescent="0.25">
      <c r="C1" s="66">
        <v>1.2E-2</v>
      </c>
      <c r="D1" s="67" t="s">
        <v>11</v>
      </c>
      <c r="E1" s="67" t="s">
        <v>12</v>
      </c>
      <c r="H1" s="1" t="s">
        <v>13</v>
      </c>
      <c r="I1" s="1"/>
      <c r="J1" s="1"/>
      <c r="K1" s="1" t="s">
        <v>14</v>
      </c>
    </row>
    <row r="2" spans="1:11" ht="30" x14ac:dyDescent="0.25">
      <c r="C2" s="66"/>
      <c r="D2" s="76" t="s">
        <v>238</v>
      </c>
      <c r="E2" s="76" t="s">
        <v>237</v>
      </c>
      <c r="H2" s="77" t="s">
        <v>239</v>
      </c>
      <c r="I2" s="1"/>
      <c r="J2" s="1"/>
      <c r="K2" s="77" t="s">
        <v>240</v>
      </c>
    </row>
    <row r="3" spans="1:11" x14ac:dyDescent="0.25">
      <c r="A3" s="64" t="s">
        <v>11</v>
      </c>
      <c r="B3" s="65">
        <v>361.5</v>
      </c>
      <c r="C3" s="68">
        <f>B3*$C$1+B3</f>
        <v>365.83800000000002</v>
      </c>
      <c r="D3" s="65">
        <f>TRUNC(C3)</f>
        <v>365</v>
      </c>
      <c r="E3" s="65">
        <f>INT(C3)</f>
        <v>365</v>
      </c>
      <c r="G3" s="68">
        <v>22</v>
      </c>
      <c r="H3" s="2">
        <f t="shared" ref="H3:H13" si="0">ODD(G3)</f>
        <v>23</v>
      </c>
      <c r="J3" s="68">
        <v>22</v>
      </c>
      <c r="K3" s="2">
        <f t="shared" ref="K3:K13" si="1">EVEN(J3)</f>
        <v>22</v>
      </c>
    </row>
    <row r="4" spans="1:11" x14ac:dyDescent="0.25">
      <c r="A4" s="64" t="s">
        <v>12</v>
      </c>
      <c r="B4" s="65">
        <v>353.8</v>
      </c>
      <c r="C4" s="68">
        <f t="shared" ref="C4:C8" si="2">B4*$C$1+B4</f>
        <v>358.04560000000004</v>
      </c>
      <c r="D4" s="65">
        <f t="shared" ref="D4:D8" si="3">TRUNC(C4)</f>
        <v>358</v>
      </c>
      <c r="E4" s="65">
        <f t="shared" ref="E4:E8" si="4">INT(C4)</f>
        <v>358</v>
      </c>
      <c r="G4" s="68">
        <v>19.3</v>
      </c>
      <c r="H4" s="2">
        <f t="shared" si="0"/>
        <v>21</v>
      </c>
      <c r="J4" s="68">
        <v>19.3</v>
      </c>
      <c r="K4" s="2">
        <f t="shared" si="1"/>
        <v>20</v>
      </c>
    </row>
    <row r="5" spans="1:11" x14ac:dyDescent="0.25">
      <c r="B5" s="65">
        <v>323.10000000000002</v>
      </c>
      <c r="C5" s="68">
        <f t="shared" si="2"/>
        <v>326.97720000000004</v>
      </c>
      <c r="D5" s="65">
        <f t="shared" si="3"/>
        <v>326</v>
      </c>
      <c r="E5" s="65">
        <f t="shared" si="4"/>
        <v>326</v>
      </c>
      <c r="G5" s="68">
        <v>16.100000000000001</v>
      </c>
      <c r="H5" s="2">
        <f t="shared" si="0"/>
        <v>17</v>
      </c>
      <c r="J5" s="68">
        <v>16.100000000000001</v>
      </c>
      <c r="K5" s="2">
        <f t="shared" si="1"/>
        <v>18</v>
      </c>
    </row>
    <row r="6" spans="1:11" x14ac:dyDescent="0.25">
      <c r="B6" s="65">
        <v>315.39999999999998</v>
      </c>
      <c r="C6" s="68">
        <f t="shared" si="2"/>
        <v>319.1848</v>
      </c>
      <c r="D6" s="65">
        <f t="shared" si="3"/>
        <v>319</v>
      </c>
      <c r="E6" s="65">
        <f t="shared" si="4"/>
        <v>319</v>
      </c>
      <c r="G6" s="68">
        <v>12</v>
      </c>
      <c r="H6" s="2">
        <f t="shared" si="0"/>
        <v>13</v>
      </c>
      <c r="J6" s="68">
        <v>12</v>
      </c>
      <c r="K6" s="2">
        <f t="shared" si="1"/>
        <v>12</v>
      </c>
    </row>
    <row r="7" spans="1:11" x14ac:dyDescent="0.25">
      <c r="B7" s="65">
        <v>230.8</v>
      </c>
      <c r="C7" s="68">
        <f t="shared" si="2"/>
        <v>233.56960000000001</v>
      </c>
      <c r="D7" s="65">
        <f t="shared" si="3"/>
        <v>233</v>
      </c>
      <c r="E7" s="65">
        <f t="shared" si="4"/>
        <v>233</v>
      </c>
      <c r="G7" s="68">
        <v>9.3000000000000007</v>
      </c>
      <c r="H7" s="2">
        <f t="shared" si="0"/>
        <v>11</v>
      </c>
      <c r="J7" s="68">
        <v>9.3000000000000007</v>
      </c>
      <c r="K7" s="2">
        <f t="shared" si="1"/>
        <v>10</v>
      </c>
    </row>
    <row r="8" spans="1:11" x14ac:dyDescent="0.25">
      <c r="B8" s="65">
        <v>215.4</v>
      </c>
      <c r="C8" s="68">
        <f t="shared" si="2"/>
        <v>217.98480000000001</v>
      </c>
      <c r="D8" s="65">
        <f t="shared" si="3"/>
        <v>217</v>
      </c>
      <c r="E8" s="65">
        <f t="shared" si="4"/>
        <v>217</v>
      </c>
      <c r="G8" s="68">
        <v>6</v>
      </c>
      <c r="H8" s="2">
        <f t="shared" si="0"/>
        <v>7</v>
      </c>
      <c r="J8" s="68">
        <v>6</v>
      </c>
      <c r="K8" s="2">
        <f t="shared" si="1"/>
        <v>6</v>
      </c>
    </row>
    <row r="9" spans="1:11" x14ac:dyDescent="0.25">
      <c r="G9" s="68">
        <v>3</v>
      </c>
      <c r="H9" s="2">
        <f t="shared" si="0"/>
        <v>3</v>
      </c>
      <c r="J9" s="68">
        <v>3</v>
      </c>
      <c r="K9" s="2">
        <f t="shared" si="1"/>
        <v>4</v>
      </c>
    </row>
    <row r="10" spans="1:11" x14ac:dyDescent="0.25">
      <c r="B10" s="65">
        <v>-15.4</v>
      </c>
      <c r="C10" s="68">
        <f>B10*$C$1+B10</f>
        <v>-15.5848</v>
      </c>
      <c r="D10" s="65">
        <f t="shared" ref="D10:D16" si="5">TRUNC(C10)</f>
        <v>-15</v>
      </c>
      <c r="E10" s="65">
        <f t="shared" ref="E10:E16" si="6">INT(C10)</f>
        <v>-16</v>
      </c>
      <c r="G10" s="68">
        <v>0</v>
      </c>
      <c r="H10" s="2">
        <f t="shared" si="0"/>
        <v>1</v>
      </c>
      <c r="J10" s="68">
        <v>0</v>
      </c>
      <c r="K10" s="2">
        <f t="shared" si="1"/>
        <v>0</v>
      </c>
    </row>
    <row r="11" spans="1:11" x14ac:dyDescent="0.25">
      <c r="B11" s="65">
        <v>-46.2</v>
      </c>
      <c r="C11" s="68">
        <f t="shared" ref="C11:C16" si="7">B11*$C$1+B11</f>
        <v>-46.754400000000004</v>
      </c>
      <c r="D11" s="65">
        <f t="shared" si="5"/>
        <v>-46</v>
      </c>
      <c r="E11" s="65">
        <f t="shared" si="6"/>
        <v>-47</v>
      </c>
      <c r="G11" s="68">
        <v>-3.4</v>
      </c>
      <c r="H11" s="2">
        <f t="shared" si="0"/>
        <v>-5</v>
      </c>
      <c r="J11" s="68">
        <v>-3.4</v>
      </c>
      <c r="K11" s="2">
        <f t="shared" si="1"/>
        <v>-4</v>
      </c>
    </row>
    <row r="12" spans="1:11" x14ac:dyDescent="0.25">
      <c r="B12" s="65">
        <v>-46.2</v>
      </c>
      <c r="C12" s="68">
        <f t="shared" si="7"/>
        <v>-46.754400000000004</v>
      </c>
      <c r="D12" s="65">
        <f t="shared" si="5"/>
        <v>-46</v>
      </c>
      <c r="E12" s="65">
        <f t="shared" si="6"/>
        <v>-47</v>
      </c>
      <c r="G12" s="68">
        <v>-6</v>
      </c>
      <c r="H12" s="2">
        <f t="shared" si="0"/>
        <v>-7</v>
      </c>
      <c r="J12" s="68">
        <v>-6</v>
      </c>
      <c r="K12" s="2">
        <f t="shared" si="1"/>
        <v>-6</v>
      </c>
    </row>
    <row r="13" spans="1:11" x14ac:dyDescent="0.25">
      <c r="B13" s="65">
        <v>-123.1</v>
      </c>
      <c r="C13" s="68">
        <f t="shared" si="7"/>
        <v>-124.57719999999999</v>
      </c>
      <c r="D13" s="65">
        <f t="shared" si="5"/>
        <v>-124</v>
      </c>
      <c r="E13" s="65">
        <f t="shared" si="6"/>
        <v>-125</v>
      </c>
      <c r="G13" s="68">
        <v>-9</v>
      </c>
      <c r="H13" s="2">
        <f t="shared" si="0"/>
        <v>-9</v>
      </c>
      <c r="J13" s="68">
        <v>-9</v>
      </c>
      <c r="K13" s="2">
        <f t="shared" si="1"/>
        <v>-10</v>
      </c>
    </row>
    <row r="14" spans="1:11" x14ac:dyDescent="0.25">
      <c r="B14" s="65">
        <v>-123.1</v>
      </c>
      <c r="C14" s="68">
        <f t="shared" si="7"/>
        <v>-124.57719999999999</v>
      </c>
      <c r="D14" s="65">
        <f t="shared" si="5"/>
        <v>-124</v>
      </c>
      <c r="E14" s="65">
        <f t="shared" si="6"/>
        <v>-125</v>
      </c>
    </row>
    <row r="15" spans="1:11" x14ac:dyDescent="0.25">
      <c r="B15" s="65">
        <v>-284.60000000000002</v>
      </c>
      <c r="C15" s="68">
        <f t="shared" si="7"/>
        <v>-288.01520000000005</v>
      </c>
      <c r="D15" s="65">
        <f t="shared" si="5"/>
        <v>-288</v>
      </c>
      <c r="E15" s="65">
        <f t="shared" si="6"/>
        <v>-289</v>
      </c>
    </row>
    <row r="16" spans="1:11" x14ac:dyDescent="0.25">
      <c r="B16" s="65">
        <v>-446.2</v>
      </c>
      <c r="C16" s="68">
        <f t="shared" si="7"/>
        <v>-451.55439999999999</v>
      </c>
      <c r="D16" s="65">
        <f t="shared" si="5"/>
        <v>-451</v>
      </c>
      <c r="E16" s="65">
        <f t="shared" si="6"/>
        <v>-452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0"/>
  <sheetViews>
    <sheetView zoomScale="145" zoomScaleNormal="145" workbookViewId="0"/>
  </sheetViews>
  <sheetFormatPr defaultRowHeight="15" x14ac:dyDescent="0.25"/>
  <cols>
    <col min="1" max="1" width="8.42578125" style="63" customWidth="1"/>
    <col min="2" max="2" width="7.85546875" style="63" bestFit="1" customWidth="1"/>
    <col min="3" max="3" width="18.85546875" style="63" bestFit="1" customWidth="1"/>
    <col min="4" max="4" width="26.42578125" style="63" bestFit="1" customWidth="1"/>
    <col min="5" max="5" width="32.140625" style="63" bestFit="1" customWidth="1"/>
    <col min="6" max="6" width="9.140625" style="63"/>
    <col min="7" max="7" width="9.140625" style="63" customWidth="1"/>
    <col min="8" max="16384" width="9.140625" style="63"/>
  </cols>
  <sheetData>
    <row r="1" spans="1:5" x14ac:dyDescent="0.25">
      <c r="A1" s="61" t="s">
        <v>0</v>
      </c>
      <c r="B1" s="62" t="s">
        <v>15</v>
      </c>
      <c r="C1" s="61" t="s">
        <v>16</v>
      </c>
      <c r="D1" s="61" t="s">
        <v>17</v>
      </c>
      <c r="E1" s="61" t="s">
        <v>233</v>
      </c>
    </row>
    <row r="2" spans="1:5" x14ac:dyDescent="0.25">
      <c r="A2" s="63" t="s">
        <v>241</v>
      </c>
      <c r="B2" s="63">
        <v>162</v>
      </c>
      <c r="C2" s="63">
        <v>16</v>
      </c>
    </row>
    <row r="3" spans="1:5" x14ac:dyDescent="0.25">
      <c r="A3" s="63" t="s">
        <v>242</v>
      </c>
      <c r="B3" s="63">
        <v>295</v>
      </c>
      <c r="C3" s="63">
        <v>32</v>
      </c>
    </row>
    <row r="4" spans="1:5" x14ac:dyDescent="0.25">
      <c r="A4" s="63" t="s">
        <v>243</v>
      </c>
      <c r="B4" s="63">
        <v>155</v>
      </c>
      <c r="C4" s="63">
        <v>24</v>
      </c>
    </row>
    <row r="5" spans="1:5" x14ac:dyDescent="0.25">
      <c r="A5" s="63" t="s">
        <v>244</v>
      </c>
      <c r="B5" s="63">
        <v>245</v>
      </c>
      <c r="C5" s="63">
        <v>16</v>
      </c>
    </row>
    <row r="6" spans="1:5" x14ac:dyDescent="0.25">
      <c r="A6" s="63" t="s">
        <v>245</v>
      </c>
      <c r="B6" s="63">
        <v>110</v>
      </c>
      <c r="C6" s="63">
        <v>16</v>
      </c>
    </row>
    <row r="7" spans="1:5" x14ac:dyDescent="0.25">
      <c r="A7" s="63" t="s">
        <v>246</v>
      </c>
      <c r="B7" s="63">
        <v>143</v>
      </c>
      <c r="C7" s="63">
        <v>48</v>
      </c>
    </row>
    <row r="8" spans="1:5" x14ac:dyDescent="0.25">
      <c r="A8" s="63" t="s">
        <v>247</v>
      </c>
      <c r="B8" s="63">
        <v>168</v>
      </c>
      <c r="C8" s="63">
        <v>24</v>
      </c>
    </row>
    <row r="9" spans="1:5" x14ac:dyDescent="0.25">
      <c r="A9" s="63">
        <v>6375308</v>
      </c>
      <c r="B9" s="63">
        <v>79</v>
      </c>
      <c r="C9" s="63">
        <v>8</v>
      </c>
    </row>
    <row r="10" spans="1:5" x14ac:dyDescent="0.25">
      <c r="A10" s="63" t="s">
        <v>248</v>
      </c>
      <c r="B10" s="63">
        <v>103</v>
      </c>
      <c r="C10" s="63">
        <v>24</v>
      </c>
    </row>
    <row r="11" spans="1:5" x14ac:dyDescent="0.25">
      <c r="A11" s="63" t="s">
        <v>249</v>
      </c>
      <c r="B11" s="63">
        <v>292</v>
      </c>
      <c r="C11" s="63">
        <v>16</v>
      </c>
    </row>
    <row r="12" spans="1:5" x14ac:dyDescent="0.25">
      <c r="A12" s="63" t="s">
        <v>250</v>
      </c>
      <c r="B12" s="63">
        <v>231</v>
      </c>
      <c r="C12" s="63">
        <v>16</v>
      </c>
    </row>
    <row r="13" spans="1:5" x14ac:dyDescent="0.25">
      <c r="A13" s="63" t="s">
        <v>251</v>
      </c>
      <c r="B13" s="63">
        <v>288</v>
      </c>
      <c r="C13" s="63">
        <v>48</v>
      </c>
    </row>
    <row r="14" spans="1:5" x14ac:dyDescent="0.25">
      <c r="A14" s="63" t="s">
        <v>252</v>
      </c>
      <c r="B14" s="63">
        <v>171</v>
      </c>
      <c r="C14" s="63">
        <v>36</v>
      </c>
    </row>
    <row r="15" spans="1:5" x14ac:dyDescent="0.25">
      <c r="A15" s="63" t="s">
        <v>253</v>
      </c>
      <c r="B15" s="63">
        <v>235</v>
      </c>
      <c r="C15" s="63">
        <v>32</v>
      </c>
    </row>
    <row r="16" spans="1:5" x14ac:dyDescent="0.25">
      <c r="A16" s="63" t="s">
        <v>254</v>
      </c>
      <c r="B16" s="63">
        <v>238</v>
      </c>
      <c r="C16" s="63">
        <v>24</v>
      </c>
    </row>
    <row r="17" spans="1:3" x14ac:dyDescent="0.25">
      <c r="A17" s="63" t="s">
        <v>255</v>
      </c>
      <c r="B17" s="63">
        <v>233</v>
      </c>
      <c r="C17" s="63">
        <v>16</v>
      </c>
    </row>
    <row r="18" spans="1:3" x14ac:dyDescent="0.25">
      <c r="A18" s="63" t="s">
        <v>256</v>
      </c>
      <c r="B18" s="63">
        <v>233</v>
      </c>
      <c r="C18" s="63">
        <v>16</v>
      </c>
    </row>
    <row r="19" spans="1:3" x14ac:dyDescent="0.25">
      <c r="A19" s="63">
        <v>6429508</v>
      </c>
      <c r="B19" s="63">
        <v>83</v>
      </c>
      <c r="C19" s="63">
        <v>8</v>
      </c>
    </row>
    <row r="20" spans="1:3" x14ac:dyDescent="0.25">
      <c r="A20" s="63" t="s">
        <v>257</v>
      </c>
      <c r="B20" s="63">
        <v>234</v>
      </c>
      <c r="C20" s="63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T742"/>
  <sheetViews>
    <sheetView zoomScale="145" zoomScaleNormal="145" zoomScaleSheetLayoutView="100" workbookViewId="0">
      <selection activeCell="E15" sqref="E15"/>
    </sheetView>
  </sheetViews>
  <sheetFormatPr defaultColWidth="19.85546875" defaultRowHeight="15" x14ac:dyDescent="0.25"/>
  <cols>
    <col min="1" max="1" width="11.85546875" style="59" bestFit="1" customWidth="1"/>
    <col min="2" max="2" width="23.85546875" style="33" bestFit="1" customWidth="1"/>
    <col min="3" max="3" width="11.140625" style="55" bestFit="1" customWidth="1"/>
    <col min="4" max="4" width="5.42578125" style="57" bestFit="1" customWidth="1"/>
    <col min="5" max="5" width="7.5703125" style="33" bestFit="1" customWidth="1"/>
    <col min="6" max="6" width="9.140625" style="33" bestFit="1" customWidth="1"/>
    <col min="7" max="7" width="9.140625" style="58" bestFit="1" customWidth="1"/>
    <col min="8" max="8" width="13.85546875" style="73" customWidth="1"/>
    <col min="9" max="9" width="29.7109375" style="60" customWidth="1"/>
    <col min="10" max="17" width="5.140625" style="33" bestFit="1" customWidth="1"/>
    <col min="18" max="18" width="5.5703125" style="33" customWidth="1"/>
    <col min="19" max="19" width="27.28515625" style="33" customWidth="1"/>
    <col min="20" max="20" width="11.140625" style="33" bestFit="1" customWidth="1"/>
    <col min="21" max="16384" width="19.85546875" style="33"/>
  </cols>
  <sheetData>
    <row r="1" spans="1:20" x14ac:dyDescent="0.25">
      <c r="A1" s="43" t="s">
        <v>18</v>
      </c>
      <c r="B1" s="44" t="s">
        <v>19</v>
      </c>
      <c r="C1" s="70" t="s">
        <v>20</v>
      </c>
      <c r="D1" s="45" t="s">
        <v>21</v>
      </c>
      <c r="E1" s="44" t="s">
        <v>22</v>
      </c>
      <c r="F1" s="46" t="s">
        <v>23</v>
      </c>
      <c r="G1" s="25" t="s">
        <v>3</v>
      </c>
      <c r="H1" s="71"/>
      <c r="J1" s="47"/>
      <c r="K1" s="48" t="s">
        <v>24</v>
      </c>
      <c r="L1" s="48" t="s">
        <v>25</v>
      </c>
      <c r="M1" s="48" t="s">
        <v>27</v>
      </c>
      <c r="N1" s="48" t="s">
        <v>26</v>
      </c>
      <c r="O1" s="48" t="s">
        <v>28</v>
      </c>
      <c r="P1" s="48" t="s">
        <v>29</v>
      </c>
      <c r="Q1" s="48" t="s">
        <v>30</v>
      </c>
      <c r="S1" s="49" t="s">
        <v>31</v>
      </c>
    </row>
    <row r="2" spans="1:20" x14ac:dyDescent="0.25">
      <c r="A2" s="50">
        <v>100679868</v>
      </c>
      <c r="B2" s="33" t="s">
        <v>32</v>
      </c>
      <c r="C2" s="55">
        <f>34497+(8*364)</f>
        <v>37409</v>
      </c>
      <c r="D2" s="51">
        <f t="shared" ref="D2:D65" ca="1" si="0">DATEDIF(C2,TODAY(),"Y")</f>
        <v>13</v>
      </c>
      <c r="E2" s="31" t="s">
        <v>33</v>
      </c>
      <c r="F2" s="52">
        <v>5</v>
      </c>
      <c r="G2" s="38">
        <v>80620</v>
      </c>
      <c r="H2" s="72"/>
      <c r="J2" s="47" t="s">
        <v>34</v>
      </c>
      <c r="K2" s="53"/>
      <c r="L2" s="53"/>
      <c r="M2" s="53"/>
      <c r="N2" s="53"/>
      <c r="O2" s="53"/>
      <c r="P2" s="53"/>
      <c r="Q2" s="53"/>
      <c r="S2" s="54"/>
      <c r="T2" s="55">
        <v>42005</v>
      </c>
    </row>
    <row r="3" spans="1:20" x14ac:dyDescent="0.25">
      <c r="A3" s="50">
        <v>102159909</v>
      </c>
      <c r="B3" s="33" t="s">
        <v>35</v>
      </c>
      <c r="C3" s="55">
        <f>33035+(8*364)</f>
        <v>35947</v>
      </c>
      <c r="D3" s="51">
        <f t="shared" ca="1" si="0"/>
        <v>17</v>
      </c>
      <c r="E3" s="31"/>
      <c r="F3" s="52">
        <v>1</v>
      </c>
      <c r="G3" s="38">
        <v>65091</v>
      </c>
      <c r="H3" s="72"/>
      <c r="I3" s="71"/>
      <c r="J3" s="47" t="s">
        <v>36</v>
      </c>
      <c r="K3" s="53"/>
      <c r="L3" s="53"/>
      <c r="M3" s="53"/>
      <c r="N3" s="53"/>
      <c r="O3" s="53"/>
      <c r="P3" s="53"/>
      <c r="Q3" s="53"/>
      <c r="S3" s="54"/>
      <c r="T3" s="55">
        <v>42735</v>
      </c>
    </row>
    <row r="4" spans="1:20" x14ac:dyDescent="0.25">
      <c r="A4" s="50">
        <v>106099892</v>
      </c>
      <c r="B4" s="33" t="s">
        <v>37</v>
      </c>
      <c r="C4" s="55">
        <f>39409+(8*364)</f>
        <v>42321</v>
      </c>
      <c r="D4" s="51">
        <f t="shared" ca="1" si="0"/>
        <v>0</v>
      </c>
      <c r="E4" s="31"/>
      <c r="F4" s="52">
        <v>4</v>
      </c>
      <c r="G4" s="38">
        <v>106823</v>
      </c>
      <c r="H4" s="72"/>
      <c r="I4" s="71"/>
      <c r="J4" s="47" t="s">
        <v>38</v>
      </c>
      <c r="K4" s="53"/>
      <c r="L4" s="53"/>
      <c r="M4" s="53"/>
      <c r="N4" s="53"/>
      <c r="O4" s="53"/>
      <c r="P4" s="53"/>
      <c r="Q4" s="53"/>
      <c r="S4" s="54"/>
    </row>
    <row r="5" spans="1:20" x14ac:dyDescent="0.25">
      <c r="A5" s="50">
        <v>106966222</v>
      </c>
      <c r="B5" s="33" t="s">
        <v>39</v>
      </c>
      <c r="C5" s="55">
        <f>38219+(8*364)</f>
        <v>41131</v>
      </c>
      <c r="D5" s="51">
        <f t="shared" ca="1" si="0"/>
        <v>3</v>
      </c>
      <c r="E5" s="31"/>
      <c r="F5" s="52">
        <v>3</v>
      </c>
      <c r="G5" s="38">
        <v>37108</v>
      </c>
      <c r="H5" s="72"/>
      <c r="I5" s="71"/>
      <c r="J5" s="47" t="s">
        <v>40</v>
      </c>
      <c r="K5" s="53"/>
      <c r="L5" s="53"/>
      <c r="M5" s="53"/>
      <c r="N5" s="53"/>
      <c r="O5" s="53"/>
      <c r="P5" s="53"/>
      <c r="Q5" s="53"/>
      <c r="S5" s="54"/>
    </row>
    <row r="6" spans="1:20" x14ac:dyDescent="0.25">
      <c r="A6" s="50">
        <v>110726520</v>
      </c>
      <c r="B6" s="33" t="s">
        <v>35</v>
      </c>
      <c r="C6" s="55">
        <f>34187+(8*364)</f>
        <v>37099</v>
      </c>
      <c r="D6" s="51">
        <f t="shared" ca="1" si="0"/>
        <v>14</v>
      </c>
      <c r="E6" s="31" t="s">
        <v>33</v>
      </c>
      <c r="F6" s="52">
        <v>4</v>
      </c>
      <c r="G6" s="38">
        <v>51686</v>
      </c>
      <c r="H6" s="72"/>
      <c r="I6" s="71"/>
      <c r="J6" s="47" t="s">
        <v>41</v>
      </c>
      <c r="K6" s="53"/>
      <c r="L6" s="53"/>
      <c r="M6" s="53"/>
      <c r="N6" s="53"/>
      <c r="O6" s="53"/>
      <c r="P6" s="53"/>
      <c r="Q6" s="53"/>
      <c r="S6" s="54"/>
    </row>
    <row r="7" spans="1:20" x14ac:dyDescent="0.25">
      <c r="A7" s="50">
        <v>111616346</v>
      </c>
      <c r="B7" s="33" t="s">
        <v>42</v>
      </c>
      <c r="C7" s="55">
        <f>32196+(8*364)</f>
        <v>35108</v>
      </c>
      <c r="D7" s="51">
        <f t="shared" ca="1" si="0"/>
        <v>19</v>
      </c>
      <c r="E7" s="31"/>
      <c r="F7" s="52">
        <v>2</v>
      </c>
      <c r="G7" s="38">
        <v>112620</v>
      </c>
      <c r="H7" s="72"/>
      <c r="I7" s="71"/>
      <c r="J7" s="47" t="s">
        <v>43</v>
      </c>
      <c r="K7" s="53"/>
      <c r="L7" s="53"/>
      <c r="M7" s="53"/>
      <c r="N7" s="53"/>
      <c r="O7" s="53"/>
      <c r="P7" s="53"/>
      <c r="Q7" s="53"/>
      <c r="S7" s="54"/>
    </row>
    <row r="8" spans="1:20" x14ac:dyDescent="0.25">
      <c r="A8" s="50">
        <v>113252240</v>
      </c>
      <c r="B8" s="33" t="s">
        <v>44</v>
      </c>
      <c r="C8" s="55">
        <f>35226+(8*364)</f>
        <v>38138</v>
      </c>
      <c r="D8" s="51">
        <f t="shared" ca="1" si="0"/>
        <v>11</v>
      </c>
      <c r="E8" s="31" t="s">
        <v>33</v>
      </c>
      <c r="F8" s="52">
        <v>4</v>
      </c>
      <c r="G8" s="38">
        <v>73707</v>
      </c>
      <c r="H8" s="72"/>
      <c r="I8" s="71"/>
      <c r="J8" s="47" t="s">
        <v>45</v>
      </c>
      <c r="K8" s="53"/>
      <c r="L8" s="53"/>
      <c r="M8" s="53"/>
      <c r="N8" s="53"/>
      <c r="O8" s="53"/>
      <c r="P8" s="53"/>
      <c r="Q8" s="53"/>
      <c r="S8" s="54"/>
    </row>
    <row r="9" spans="1:20" x14ac:dyDescent="0.25">
      <c r="A9" s="50">
        <v>115404531</v>
      </c>
      <c r="B9" s="33" t="s">
        <v>44</v>
      </c>
      <c r="C9" s="55">
        <f>36863+(8*364)</f>
        <v>39775</v>
      </c>
      <c r="D9" s="51">
        <f t="shared" ca="1" si="0"/>
        <v>7</v>
      </c>
      <c r="E9" s="31" t="s">
        <v>46</v>
      </c>
      <c r="F9" s="52">
        <v>2</v>
      </c>
      <c r="G9" s="38">
        <v>59065</v>
      </c>
      <c r="H9" s="72"/>
      <c r="I9" s="71"/>
      <c r="J9" s="47" t="s">
        <v>47</v>
      </c>
      <c r="K9" s="53"/>
      <c r="L9" s="53"/>
      <c r="M9" s="53"/>
      <c r="N9" s="53"/>
      <c r="O9" s="53"/>
      <c r="P9" s="53"/>
      <c r="Q9" s="53"/>
      <c r="S9" s="54"/>
    </row>
    <row r="10" spans="1:20" x14ac:dyDescent="0.25">
      <c r="A10" s="50">
        <v>116869057</v>
      </c>
      <c r="B10" s="33" t="s">
        <v>48</v>
      </c>
      <c r="C10" s="55">
        <f>33445+(8*364)</f>
        <v>36357</v>
      </c>
      <c r="D10" s="51">
        <f t="shared" ca="1" si="0"/>
        <v>16</v>
      </c>
      <c r="E10" s="31" t="s">
        <v>49</v>
      </c>
      <c r="F10" s="52">
        <v>4</v>
      </c>
      <c r="G10" s="38">
        <v>53048</v>
      </c>
      <c r="H10" s="72"/>
      <c r="I10" s="71"/>
      <c r="J10" s="47" t="s">
        <v>50</v>
      </c>
      <c r="K10" s="53"/>
      <c r="L10" s="53"/>
      <c r="M10" s="53"/>
      <c r="N10" s="53"/>
      <c r="O10" s="53"/>
      <c r="P10" s="53"/>
      <c r="Q10" s="53"/>
      <c r="S10" s="54"/>
    </row>
    <row r="11" spans="1:20" x14ac:dyDescent="0.25">
      <c r="A11" s="50">
        <v>120224342</v>
      </c>
      <c r="B11" s="33" t="s">
        <v>42</v>
      </c>
      <c r="C11" s="55">
        <f>35148+(8*364)</f>
        <v>38060</v>
      </c>
      <c r="D11" s="51">
        <f t="shared" ca="1" si="0"/>
        <v>11</v>
      </c>
      <c r="E11" s="31"/>
      <c r="F11" s="52">
        <v>2</v>
      </c>
      <c r="G11" s="38">
        <v>57841</v>
      </c>
      <c r="H11" s="72"/>
      <c r="I11" s="71"/>
      <c r="J11" s="47" t="s">
        <v>51</v>
      </c>
      <c r="K11" s="53"/>
      <c r="L11" s="53"/>
      <c r="M11" s="53"/>
      <c r="N11" s="53"/>
      <c r="O11" s="53"/>
      <c r="P11" s="53"/>
      <c r="Q11" s="53"/>
      <c r="S11" s="54"/>
    </row>
    <row r="12" spans="1:20" x14ac:dyDescent="0.25">
      <c r="A12" s="50">
        <v>120479503</v>
      </c>
      <c r="B12" s="33" t="s">
        <v>52</v>
      </c>
      <c r="C12" s="55">
        <f>37989+(8*364)</f>
        <v>40901</v>
      </c>
      <c r="D12" s="51">
        <f t="shared" ca="1" si="0"/>
        <v>3</v>
      </c>
      <c r="E12" s="31" t="s">
        <v>53</v>
      </c>
      <c r="F12" s="52">
        <v>3</v>
      </c>
      <c r="G12" s="38">
        <v>114529</v>
      </c>
      <c r="H12" s="72"/>
      <c r="I12" s="71"/>
      <c r="J12" s="47" t="s">
        <v>54</v>
      </c>
      <c r="K12" s="53"/>
      <c r="L12" s="53"/>
      <c r="M12" s="53"/>
      <c r="N12" s="53"/>
      <c r="O12" s="53"/>
      <c r="P12" s="53"/>
      <c r="Q12" s="53"/>
      <c r="S12" s="54"/>
    </row>
    <row r="13" spans="1:20" x14ac:dyDescent="0.25">
      <c r="A13" s="50">
        <v>121688720</v>
      </c>
      <c r="B13" s="33" t="s">
        <v>55</v>
      </c>
      <c r="C13" s="55">
        <f>34257+(8*364)</f>
        <v>37169</v>
      </c>
      <c r="D13" s="51">
        <f t="shared" ca="1" si="0"/>
        <v>14</v>
      </c>
      <c r="E13" s="31"/>
      <c r="F13" s="52">
        <v>1</v>
      </c>
      <c r="G13" s="38">
        <v>61509</v>
      </c>
      <c r="H13" s="72"/>
      <c r="I13" s="71"/>
      <c r="J13" s="47" t="s">
        <v>56</v>
      </c>
      <c r="K13" s="53"/>
      <c r="L13" s="53"/>
      <c r="M13" s="53"/>
      <c r="N13" s="53"/>
      <c r="O13" s="53"/>
      <c r="P13" s="53"/>
      <c r="Q13" s="53"/>
      <c r="S13" s="54"/>
    </row>
    <row r="14" spans="1:20" x14ac:dyDescent="0.25">
      <c r="A14" s="50">
        <v>124203063</v>
      </c>
      <c r="B14" s="33" t="s">
        <v>57</v>
      </c>
      <c r="C14" s="55">
        <f>39262+(8*364)</f>
        <v>42174</v>
      </c>
      <c r="D14" s="51">
        <f t="shared" ca="1" si="0"/>
        <v>0</v>
      </c>
      <c r="E14" s="31" t="s">
        <v>46</v>
      </c>
      <c r="F14" s="52">
        <v>4</v>
      </c>
      <c r="G14" s="38">
        <v>66460</v>
      </c>
      <c r="H14" s="72"/>
      <c r="I14" s="71"/>
      <c r="S14" s="54"/>
    </row>
    <row r="15" spans="1:20" x14ac:dyDescent="0.25">
      <c r="A15" s="50">
        <v>125540405</v>
      </c>
      <c r="B15" s="33" t="s">
        <v>35</v>
      </c>
      <c r="C15" s="55">
        <f>34935+(8*364)</f>
        <v>37847</v>
      </c>
      <c r="D15" s="51">
        <f t="shared" ca="1" si="0"/>
        <v>12</v>
      </c>
      <c r="E15" s="31" t="s">
        <v>33</v>
      </c>
      <c r="F15" s="52">
        <v>5</v>
      </c>
      <c r="G15" s="38">
        <v>71558</v>
      </c>
      <c r="H15" s="72"/>
      <c r="I15" s="71"/>
      <c r="S15" s="54"/>
    </row>
    <row r="16" spans="1:20" x14ac:dyDescent="0.25">
      <c r="A16" s="50">
        <v>130619578</v>
      </c>
      <c r="B16" s="33" t="s">
        <v>32</v>
      </c>
      <c r="C16" s="55">
        <f>35408+(8*364)</f>
        <v>38320</v>
      </c>
      <c r="D16" s="51">
        <f t="shared" ca="1" si="0"/>
        <v>11</v>
      </c>
      <c r="E16" s="31"/>
      <c r="F16" s="52">
        <v>5</v>
      </c>
      <c r="G16" s="38">
        <v>106316</v>
      </c>
      <c r="H16" s="72"/>
      <c r="I16" s="71"/>
      <c r="M16" s="2"/>
      <c r="N16" s="2"/>
      <c r="O16" s="56"/>
      <c r="P16" s="2"/>
      <c r="S16" s="54"/>
    </row>
    <row r="17" spans="1:19" x14ac:dyDescent="0.25">
      <c r="A17" s="50">
        <v>132016163</v>
      </c>
      <c r="B17" s="33" t="s">
        <v>58</v>
      </c>
      <c r="C17" s="55">
        <f>38561+(8*364)</f>
        <v>41473</v>
      </c>
      <c r="D17" s="51">
        <f t="shared" ca="1" si="0"/>
        <v>2</v>
      </c>
      <c r="E17" s="31" t="s">
        <v>49</v>
      </c>
      <c r="F17" s="52">
        <v>2</v>
      </c>
      <c r="G17" s="38">
        <v>39438</v>
      </c>
      <c r="H17" s="72"/>
      <c r="I17" s="71"/>
      <c r="M17" s="2"/>
      <c r="N17" s="2"/>
      <c r="O17" s="56"/>
      <c r="P17" s="2"/>
      <c r="S17" s="54"/>
    </row>
    <row r="18" spans="1:19" x14ac:dyDescent="0.25">
      <c r="A18" s="50">
        <v>135633006</v>
      </c>
      <c r="B18" s="33" t="s">
        <v>35</v>
      </c>
      <c r="C18" s="55">
        <f>35169+(8*364)</f>
        <v>38081</v>
      </c>
      <c r="D18" s="51">
        <f t="shared" ca="1" si="0"/>
        <v>11</v>
      </c>
      <c r="E18" s="31"/>
      <c r="F18" s="52">
        <v>4</v>
      </c>
      <c r="G18" s="38">
        <v>84861</v>
      </c>
      <c r="H18" s="72"/>
      <c r="I18" s="71"/>
      <c r="M18" s="2"/>
      <c r="N18" s="2"/>
      <c r="O18" s="56"/>
      <c r="P18" s="2"/>
      <c r="S18" s="54"/>
    </row>
    <row r="19" spans="1:19" x14ac:dyDescent="0.25">
      <c r="A19" s="50">
        <v>135965371</v>
      </c>
      <c r="B19" s="33" t="s">
        <v>32</v>
      </c>
      <c r="C19" s="55">
        <f>36626+(8*364)</f>
        <v>39538</v>
      </c>
      <c r="D19" s="51">
        <f t="shared" ca="1" si="0"/>
        <v>7</v>
      </c>
      <c r="E19" s="31" t="s">
        <v>46</v>
      </c>
      <c r="F19" s="52">
        <v>5</v>
      </c>
      <c r="G19" s="38">
        <v>101354</v>
      </c>
      <c r="H19" s="72"/>
      <c r="I19" s="71"/>
      <c r="M19" s="2"/>
      <c r="N19" s="2"/>
      <c r="O19" s="56"/>
      <c r="P19" s="2"/>
      <c r="S19" s="54"/>
    </row>
    <row r="20" spans="1:19" x14ac:dyDescent="0.25">
      <c r="A20" s="50">
        <v>144722757</v>
      </c>
      <c r="B20" s="33" t="s">
        <v>42</v>
      </c>
      <c r="C20" s="55">
        <f>32252+(8*364)</f>
        <v>35164</v>
      </c>
      <c r="D20" s="51">
        <f t="shared" ca="1" si="0"/>
        <v>19</v>
      </c>
      <c r="E20" s="31"/>
      <c r="F20" s="52">
        <v>1</v>
      </c>
      <c r="G20" s="38">
        <v>67039</v>
      </c>
      <c r="H20" s="72"/>
      <c r="I20" s="71"/>
      <c r="M20" s="2"/>
      <c r="N20" s="2"/>
      <c r="O20" s="2"/>
      <c r="P20" s="2"/>
      <c r="S20" s="54"/>
    </row>
    <row r="21" spans="1:19" x14ac:dyDescent="0.25">
      <c r="A21" s="50">
        <v>145495793</v>
      </c>
      <c r="B21" s="33" t="s">
        <v>42</v>
      </c>
      <c r="C21" s="55">
        <f>33650+(8*364)</f>
        <v>36562</v>
      </c>
      <c r="D21" s="51">
        <f t="shared" ca="1" si="0"/>
        <v>15</v>
      </c>
      <c r="E21" s="31" t="s">
        <v>53</v>
      </c>
      <c r="F21" s="52">
        <v>4</v>
      </c>
      <c r="G21" s="38">
        <v>65935</v>
      </c>
      <c r="H21" s="72"/>
      <c r="I21" s="71"/>
      <c r="M21" s="2"/>
      <c r="N21" s="2"/>
      <c r="O21" s="2"/>
      <c r="P21" s="2"/>
      <c r="S21" s="54"/>
    </row>
    <row r="22" spans="1:19" x14ac:dyDescent="0.25">
      <c r="A22" s="50">
        <v>147683641</v>
      </c>
      <c r="B22" s="33" t="s">
        <v>42</v>
      </c>
      <c r="C22" s="55">
        <f>39024+(8*364)</f>
        <v>41936</v>
      </c>
      <c r="D22" s="51">
        <f t="shared" ca="1" si="0"/>
        <v>1</v>
      </c>
      <c r="E22" s="31"/>
      <c r="F22" s="52">
        <v>1</v>
      </c>
      <c r="G22" s="38">
        <v>81580</v>
      </c>
      <c r="H22" s="72"/>
      <c r="I22" s="71"/>
      <c r="M22" s="2"/>
      <c r="N22" s="2"/>
      <c r="O22" s="2"/>
      <c r="P22" s="2"/>
      <c r="S22" s="54"/>
    </row>
    <row r="23" spans="1:19" x14ac:dyDescent="0.25">
      <c r="A23" s="50">
        <v>148899089</v>
      </c>
      <c r="B23" s="33" t="s">
        <v>59</v>
      </c>
      <c r="C23" s="55">
        <f>32856+(8*364)</f>
        <v>35768</v>
      </c>
      <c r="D23" s="51">
        <f t="shared" ca="1" si="0"/>
        <v>18</v>
      </c>
      <c r="E23" s="31" t="s">
        <v>33</v>
      </c>
      <c r="F23" s="52">
        <v>3</v>
      </c>
      <c r="G23" s="38">
        <v>98525</v>
      </c>
      <c r="H23" s="72"/>
      <c r="I23" s="71"/>
      <c r="M23" s="2"/>
      <c r="N23" s="2"/>
      <c r="O23" s="2"/>
      <c r="P23" s="2"/>
    </row>
    <row r="24" spans="1:19" x14ac:dyDescent="0.25">
      <c r="A24" s="50">
        <v>150132247</v>
      </c>
      <c r="B24" s="33" t="s">
        <v>52</v>
      </c>
      <c r="C24" s="55">
        <f>32571+(8*364)</f>
        <v>35483</v>
      </c>
      <c r="D24" s="51">
        <f t="shared" ca="1" si="0"/>
        <v>18</v>
      </c>
      <c r="E24" s="31" t="s">
        <v>53</v>
      </c>
      <c r="F24" s="52">
        <v>3</v>
      </c>
      <c r="G24" s="38">
        <v>36869</v>
      </c>
      <c r="H24" s="72"/>
      <c r="I24" s="71"/>
      <c r="M24" s="2"/>
      <c r="N24" s="2"/>
      <c r="O24" s="2"/>
      <c r="P24" s="2"/>
    </row>
    <row r="25" spans="1:19" x14ac:dyDescent="0.25">
      <c r="A25" s="50">
        <v>151277827</v>
      </c>
      <c r="B25" s="33" t="s">
        <v>44</v>
      </c>
      <c r="C25" s="55">
        <f>38589+(8*364)</f>
        <v>41501</v>
      </c>
      <c r="D25" s="51">
        <f t="shared" ca="1" si="0"/>
        <v>2</v>
      </c>
      <c r="E25" s="31" t="s">
        <v>33</v>
      </c>
      <c r="F25" s="52">
        <v>3</v>
      </c>
      <c r="G25" s="38">
        <v>48499</v>
      </c>
      <c r="H25" s="72"/>
      <c r="I25" s="71"/>
      <c r="M25" s="2"/>
      <c r="N25" s="2"/>
      <c r="O25" s="2"/>
      <c r="P25" s="2"/>
    </row>
    <row r="26" spans="1:19" x14ac:dyDescent="0.25">
      <c r="A26" s="50">
        <v>154984918</v>
      </c>
      <c r="B26" s="33" t="s">
        <v>58</v>
      </c>
      <c r="C26" s="55">
        <f>32097+(8*364)</f>
        <v>35009</v>
      </c>
      <c r="D26" s="51">
        <f t="shared" ca="1" si="0"/>
        <v>20</v>
      </c>
      <c r="E26" s="31" t="s">
        <v>33</v>
      </c>
      <c r="F26" s="52">
        <v>1</v>
      </c>
      <c r="G26" s="38">
        <v>114500</v>
      </c>
      <c r="H26" s="72"/>
      <c r="I26" s="71"/>
      <c r="M26" s="2"/>
      <c r="N26" s="2"/>
      <c r="O26" s="2"/>
      <c r="P26" s="2"/>
    </row>
    <row r="27" spans="1:19" x14ac:dyDescent="0.25">
      <c r="A27" s="50">
        <v>159117255</v>
      </c>
      <c r="B27" s="33" t="s">
        <v>32</v>
      </c>
      <c r="C27" s="55">
        <f>38520+(8*364)</f>
        <v>41432</v>
      </c>
      <c r="D27" s="51">
        <f t="shared" ca="1" si="0"/>
        <v>2</v>
      </c>
      <c r="E27" s="31"/>
      <c r="F27" s="52">
        <v>4</v>
      </c>
      <c r="G27" s="38">
        <v>45527</v>
      </c>
      <c r="H27" s="72"/>
      <c r="I27" s="71"/>
      <c r="M27" s="2"/>
      <c r="N27" s="2"/>
      <c r="O27" s="2"/>
      <c r="P27" s="2"/>
    </row>
    <row r="28" spans="1:19" x14ac:dyDescent="0.25">
      <c r="A28" s="50">
        <v>159415552</v>
      </c>
      <c r="B28" s="33" t="s">
        <v>58</v>
      </c>
      <c r="C28" s="55">
        <f>32455+(8*364)</f>
        <v>35367</v>
      </c>
      <c r="D28" s="51">
        <f t="shared" ca="1" si="0"/>
        <v>19</v>
      </c>
      <c r="E28" s="31" t="s">
        <v>60</v>
      </c>
      <c r="F28" s="52">
        <v>1</v>
      </c>
      <c r="G28" s="38">
        <v>111816</v>
      </c>
      <c r="H28" s="72"/>
      <c r="I28" s="71"/>
      <c r="M28" s="2"/>
      <c r="N28" s="2"/>
      <c r="O28" s="2"/>
      <c r="P28" s="2"/>
    </row>
    <row r="29" spans="1:19" x14ac:dyDescent="0.25">
      <c r="A29" s="50">
        <v>160184934</v>
      </c>
      <c r="B29" s="33" t="s">
        <v>44</v>
      </c>
      <c r="C29" s="55">
        <f>33483+(8*364)</f>
        <v>36395</v>
      </c>
      <c r="D29" s="51">
        <f t="shared" ca="1" si="0"/>
        <v>16</v>
      </c>
      <c r="E29" s="31" t="s">
        <v>46</v>
      </c>
      <c r="F29" s="52">
        <v>4</v>
      </c>
      <c r="G29" s="38">
        <v>90159</v>
      </c>
      <c r="H29" s="72"/>
      <c r="I29" s="71"/>
    </row>
    <row r="30" spans="1:19" x14ac:dyDescent="0.25">
      <c r="A30" s="50">
        <v>160662505</v>
      </c>
      <c r="B30" s="33" t="s">
        <v>44</v>
      </c>
      <c r="C30" s="55">
        <f>36216+(8*364)</f>
        <v>39128</v>
      </c>
      <c r="D30" s="51">
        <f t="shared" ca="1" si="0"/>
        <v>8</v>
      </c>
      <c r="E30" s="31"/>
      <c r="F30" s="52">
        <v>3</v>
      </c>
      <c r="G30" s="38">
        <v>69008</v>
      </c>
      <c r="H30" s="72"/>
      <c r="I30" s="71"/>
    </row>
    <row r="31" spans="1:19" x14ac:dyDescent="0.25">
      <c r="A31" s="50">
        <v>163292583</v>
      </c>
      <c r="B31" s="33" t="s">
        <v>59</v>
      </c>
      <c r="C31" s="55">
        <f>34728+(8*364)</f>
        <v>37640</v>
      </c>
      <c r="D31" s="51">
        <f t="shared" ca="1" si="0"/>
        <v>12</v>
      </c>
      <c r="E31" s="31"/>
      <c r="F31" s="52">
        <v>3</v>
      </c>
      <c r="G31" s="38">
        <v>111014</v>
      </c>
      <c r="H31" s="72"/>
      <c r="I31" s="71"/>
    </row>
    <row r="32" spans="1:19" x14ac:dyDescent="0.25">
      <c r="A32" s="50">
        <v>164904130</v>
      </c>
      <c r="B32" s="33" t="s">
        <v>59</v>
      </c>
      <c r="C32" s="55">
        <f>34259+(8*364)</f>
        <v>37171</v>
      </c>
      <c r="D32" s="51">
        <f t="shared" ca="1" si="0"/>
        <v>14</v>
      </c>
      <c r="E32" s="31"/>
      <c r="F32" s="52">
        <v>2</v>
      </c>
      <c r="G32" s="38">
        <v>51697</v>
      </c>
      <c r="H32" s="72"/>
      <c r="I32" s="71"/>
    </row>
    <row r="33" spans="1:9" x14ac:dyDescent="0.25">
      <c r="A33" s="50">
        <v>165917010</v>
      </c>
      <c r="B33" s="33" t="s">
        <v>32</v>
      </c>
      <c r="C33" s="55">
        <f>33361+(8*364)</f>
        <v>36273</v>
      </c>
      <c r="D33" s="51">
        <f t="shared" ca="1" si="0"/>
        <v>16</v>
      </c>
      <c r="E33" s="31"/>
      <c r="F33" s="52">
        <v>3</v>
      </c>
      <c r="G33" s="38">
        <v>108504</v>
      </c>
      <c r="H33" s="72"/>
      <c r="I33" s="71"/>
    </row>
    <row r="34" spans="1:9" x14ac:dyDescent="0.25">
      <c r="A34" s="50">
        <v>168791562</v>
      </c>
      <c r="B34" s="33" t="s">
        <v>58</v>
      </c>
      <c r="C34" s="55">
        <f>39051+(8*364)</f>
        <v>41963</v>
      </c>
      <c r="D34" s="51">
        <f t="shared" ca="1" si="0"/>
        <v>1</v>
      </c>
      <c r="E34" s="31" t="s">
        <v>49</v>
      </c>
      <c r="F34" s="52">
        <v>2</v>
      </c>
      <c r="G34" s="38">
        <v>68775</v>
      </c>
      <c r="H34" s="72"/>
      <c r="I34" s="71"/>
    </row>
    <row r="35" spans="1:9" x14ac:dyDescent="0.25">
      <c r="A35" s="50">
        <v>171868795</v>
      </c>
      <c r="B35" s="33" t="s">
        <v>48</v>
      </c>
      <c r="C35" s="55">
        <f>31769+(8*364)</f>
        <v>34681</v>
      </c>
      <c r="D35" s="51">
        <f t="shared" ca="1" si="0"/>
        <v>20</v>
      </c>
      <c r="E35" s="31" t="s">
        <v>53</v>
      </c>
      <c r="F35" s="52">
        <v>4</v>
      </c>
      <c r="G35" s="38">
        <v>100555</v>
      </c>
      <c r="H35" s="72"/>
      <c r="I35" s="71"/>
    </row>
    <row r="36" spans="1:9" x14ac:dyDescent="0.25">
      <c r="A36" s="50">
        <v>174159111</v>
      </c>
      <c r="B36" s="33" t="s">
        <v>44</v>
      </c>
      <c r="C36" s="55">
        <f>33976+(8*364)</f>
        <v>36888</v>
      </c>
      <c r="D36" s="51">
        <f t="shared" ca="1" si="0"/>
        <v>14</v>
      </c>
      <c r="E36" s="31" t="s">
        <v>60</v>
      </c>
      <c r="F36" s="52">
        <v>5</v>
      </c>
      <c r="G36" s="38">
        <v>84076</v>
      </c>
      <c r="H36" s="72"/>
      <c r="I36" s="71"/>
    </row>
    <row r="37" spans="1:9" x14ac:dyDescent="0.25">
      <c r="A37" s="50">
        <v>174483231</v>
      </c>
      <c r="B37" s="33" t="s">
        <v>61</v>
      </c>
      <c r="C37" s="55">
        <f>31876+(8*364)</f>
        <v>34788</v>
      </c>
      <c r="D37" s="51">
        <f t="shared" ca="1" si="0"/>
        <v>20</v>
      </c>
      <c r="E37" s="31" t="s">
        <v>33</v>
      </c>
      <c r="F37" s="52">
        <v>3</v>
      </c>
      <c r="G37" s="38">
        <v>77428</v>
      </c>
      <c r="H37" s="72"/>
      <c r="I37" s="71"/>
    </row>
    <row r="38" spans="1:9" x14ac:dyDescent="0.25">
      <c r="A38" s="50">
        <v>177332873</v>
      </c>
      <c r="B38" s="33" t="s">
        <v>32</v>
      </c>
      <c r="C38" s="55">
        <f>35103+(8*364)</f>
        <v>38015</v>
      </c>
      <c r="D38" s="51">
        <f t="shared" ca="1" si="0"/>
        <v>11</v>
      </c>
      <c r="E38" s="31" t="s">
        <v>33</v>
      </c>
      <c r="F38" s="52">
        <v>3</v>
      </c>
      <c r="G38" s="38">
        <v>97946</v>
      </c>
      <c r="H38" s="72"/>
      <c r="I38" s="71"/>
    </row>
    <row r="39" spans="1:9" x14ac:dyDescent="0.25">
      <c r="A39" s="50">
        <v>180095803</v>
      </c>
      <c r="B39" s="33" t="s">
        <v>32</v>
      </c>
      <c r="C39" s="55">
        <f>38662+(8*364)</f>
        <v>41574</v>
      </c>
      <c r="D39" s="51">
        <f t="shared" ca="1" si="0"/>
        <v>2</v>
      </c>
      <c r="E39" s="31" t="s">
        <v>33</v>
      </c>
      <c r="F39" s="52">
        <v>5</v>
      </c>
      <c r="G39" s="38">
        <v>75546</v>
      </c>
      <c r="H39" s="72"/>
      <c r="I39" s="71"/>
    </row>
    <row r="40" spans="1:9" x14ac:dyDescent="0.25">
      <c r="A40" s="50">
        <v>183135788</v>
      </c>
      <c r="B40" s="33" t="s">
        <v>62</v>
      </c>
      <c r="C40" s="55">
        <f>32693+(8*364)</f>
        <v>35605</v>
      </c>
      <c r="D40" s="51">
        <f t="shared" ca="1" si="0"/>
        <v>18</v>
      </c>
      <c r="E40" s="31"/>
      <c r="F40" s="52">
        <v>2</v>
      </c>
      <c r="G40" s="38">
        <v>72570</v>
      </c>
      <c r="H40" s="72"/>
      <c r="I40" s="71"/>
    </row>
    <row r="41" spans="1:9" x14ac:dyDescent="0.25">
      <c r="A41" s="50">
        <v>186346711</v>
      </c>
      <c r="B41" s="33" t="s">
        <v>42</v>
      </c>
      <c r="C41" s="55">
        <f>35309+(8*364)</f>
        <v>38221</v>
      </c>
      <c r="D41" s="51">
        <f t="shared" ca="1" si="0"/>
        <v>11</v>
      </c>
      <c r="E41" s="31" t="s">
        <v>60</v>
      </c>
      <c r="F41" s="52">
        <v>4</v>
      </c>
      <c r="G41" s="38">
        <v>62650</v>
      </c>
      <c r="H41" s="72"/>
      <c r="I41" s="71"/>
    </row>
    <row r="42" spans="1:9" x14ac:dyDescent="0.25">
      <c r="A42" s="50">
        <v>186821354</v>
      </c>
      <c r="B42" s="33" t="s">
        <v>35</v>
      </c>
      <c r="C42" s="55">
        <f>32700+(8*364)</f>
        <v>35612</v>
      </c>
      <c r="D42" s="51">
        <f t="shared" ca="1" si="0"/>
        <v>18</v>
      </c>
      <c r="E42" s="31" t="s">
        <v>33</v>
      </c>
      <c r="F42" s="52">
        <v>3</v>
      </c>
      <c r="G42" s="38">
        <v>36098</v>
      </c>
      <c r="H42" s="72"/>
      <c r="I42" s="71"/>
    </row>
    <row r="43" spans="1:9" x14ac:dyDescent="0.25">
      <c r="A43" s="50">
        <v>191359642</v>
      </c>
      <c r="B43" s="33" t="s">
        <v>44</v>
      </c>
      <c r="C43" s="55">
        <f>32051+(8*364)</f>
        <v>34963</v>
      </c>
      <c r="D43" s="51">
        <f t="shared" ca="1" si="0"/>
        <v>20</v>
      </c>
      <c r="E43" s="31" t="s">
        <v>33</v>
      </c>
      <c r="F43" s="52">
        <v>4</v>
      </c>
      <c r="G43" s="38">
        <v>49890</v>
      </c>
      <c r="H43" s="72"/>
      <c r="I43" s="71"/>
    </row>
    <row r="44" spans="1:9" x14ac:dyDescent="0.25">
      <c r="A44" s="50">
        <v>195245117</v>
      </c>
      <c r="B44" s="33" t="s">
        <v>63</v>
      </c>
      <c r="C44" s="55">
        <f>34363+(8*364)</f>
        <v>37275</v>
      </c>
      <c r="D44" s="51">
        <f t="shared" ca="1" si="0"/>
        <v>13</v>
      </c>
      <c r="E44" s="31"/>
      <c r="F44" s="52">
        <v>2</v>
      </c>
      <c r="G44" s="38">
        <v>79708</v>
      </c>
      <c r="H44" s="72"/>
      <c r="I44" s="71"/>
    </row>
    <row r="45" spans="1:9" x14ac:dyDescent="0.25">
      <c r="A45" s="50">
        <v>195772503</v>
      </c>
      <c r="B45" s="33" t="s">
        <v>35</v>
      </c>
      <c r="C45" s="55">
        <f>32604+(8*364)</f>
        <v>35516</v>
      </c>
      <c r="D45" s="51">
        <f t="shared" ca="1" si="0"/>
        <v>18</v>
      </c>
      <c r="E45" s="31"/>
      <c r="F45" s="52">
        <v>2</v>
      </c>
      <c r="G45" s="38">
        <v>79570</v>
      </c>
      <c r="H45" s="72"/>
      <c r="I45" s="71"/>
    </row>
    <row r="46" spans="1:9" x14ac:dyDescent="0.25">
      <c r="A46" s="50">
        <v>198564686</v>
      </c>
      <c r="B46" s="33" t="s">
        <v>61</v>
      </c>
      <c r="C46" s="55">
        <f>31936+(8*364)</f>
        <v>34848</v>
      </c>
      <c r="D46" s="51">
        <f t="shared" ca="1" si="0"/>
        <v>20</v>
      </c>
      <c r="E46" s="31" t="s">
        <v>33</v>
      </c>
      <c r="F46" s="52">
        <v>1</v>
      </c>
      <c r="G46" s="38">
        <v>37946</v>
      </c>
      <c r="H46" s="72"/>
      <c r="I46" s="71"/>
    </row>
    <row r="47" spans="1:9" x14ac:dyDescent="0.25">
      <c r="A47" s="50">
        <v>212136062</v>
      </c>
      <c r="B47" s="33" t="s">
        <v>48</v>
      </c>
      <c r="C47" s="55">
        <f>34772+(8*364)</f>
        <v>37684</v>
      </c>
      <c r="D47" s="51">
        <f t="shared" ca="1" si="0"/>
        <v>12</v>
      </c>
      <c r="E47" s="31" t="s">
        <v>46</v>
      </c>
      <c r="F47" s="52">
        <v>2</v>
      </c>
      <c r="G47" s="38">
        <v>62100</v>
      </c>
      <c r="H47" s="72"/>
      <c r="I47" s="71"/>
    </row>
    <row r="48" spans="1:9" x14ac:dyDescent="0.25">
      <c r="A48" s="50">
        <v>212558012</v>
      </c>
      <c r="B48" s="33" t="s">
        <v>42</v>
      </c>
      <c r="C48" s="55">
        <f>35657+(8*364)</f>
        <v>38569</v>
      </c>
      <c r="D48" s="51">
        <f t="shared" ca="1" si="0"/>
        <v>10</v>
      </c>
      <c r="E48" s="31" t="s">
        <v>33</v>
      </c>
      <c r="F48" s="52">
        <v>4</v>
      </c>
      <c r="G48" s="38">
        <v>95008</v>
      </c>
      <c r="H48" s="72"/>
      <c r="I48" s="71"/>
    </row>
    <row r="49" spans="1:9" x14ac:dyDescent="0.25">
      <c r="A49" s="50">
        <v>213584397</v>
      </c>
      <c r="B49" s="33" t="s">
        <v>32</v>
      </c>
      <c r="C49" s="55">
        <f>36021+(8*364)</f>
        <v>38933</v>
      </c>
      <c r="D49" s="51">
        <f t="shared" ca="1" si="0"/>
        <v>9</v>
      </c>
      <c r="E49" s="31" t="s">
        <v>46</v>
      </c>
      <c r="F49" s="52">
        <v>3</v>
      </c>
      <c r="G49" s="38">
        <v>73270</v>
      </c>
      <c r="H49" s="72"/>
      <c r="I49" s="71"/>
    </row>
    <row r="50" spans="1:9" x14ac:dyDescent="0.25">
      <c r="A50" s="50">
        <v>213741822</v>
      </c>
      <c r="B50" s="33" t="s">
        <v>52</v>
      </c>
      <c r="C50" s="55">
        <f>34611+(8*364)</f>
        <v>37523</v>
      </c>
      <c r="D50" s="51">
        <f t="shared" ca="1" si="0"/>
        <v>13</v>
      </c>
      <c r="E50" s="31"/>
      <c r="F50" s="52">
        <v>4</v>
      </c>
      <c r="G50" s="38">
        <v>51721</v>
      </c>
      <c r="H50" s="72"/>
      <c r="I50" s="71"/>
    </row>
    <row r="51" spans="1:9" x14ac:dyDescent="0.25">
      <c r="A51" s="50">
        <v>214234804</v>
      </c>
      <c r="B51" s="33" t="s">
        <v>64</v>
      </c>
      <c r="C51" s="55">
        <f>36626+(8*364)</f>
        <v>39538</v>
      </c>
      <c r="D51" s="51">
        <f t="shared" ca="1" si="0"/>
        <v>7</v>
      </c>
      <c r="E51" s="31" t="s">
        <v>46</v>
      </c>
      <c r="F51" s="52">
        <v>2</v>
      </c>
      <c r="G51" s="38">
        <v>113649</v>
      </c>
      <c r="H51" s="72"/>
      <c r="I51" s="71"/>
    </row>
    <row r="52" spans="1:9" x14ac:dyDescent="0.25">
      <c r="A52" s="50">
        <v>220781349</v>
      </c>
      <c r="B52" s="33" t="s">
        <v>32</v>
      </c>
      <c r="C52" s="55">
        <f>32839+(8*364)</f>
        <v>35751</v>
      </c>
      <c r="D52" s="51">
        <f t="shared" ca="1" si="0"/>
        <v>18</v>
      </c>
      <c r="E52" s="31"/>
      <c r="F52" s="52">
        <v>5</v>
      </c>
      <c r="G52" s="38">
        <v>44315</v>
      </c>
      <c r="H52" s="72"/>
      <c r="I52" s="71"/>
    </row>
    <row r="53" spans="1:9" x14ac:dyDescent="0.25">
      <c r="A53" s="50">
        <v>221347766</v>
      </c>
      <c r="B53" s="33" t="s">
        <v>35</v>
      </c>
      <c r="C53" s="55">
        <f>34760+(8*364)</f>
        <v>37672</v>
      </c>
      <c r="D53" s="51">
        <f t="shared" ca="1" si="0"/>
        <v>12</v>
      </c>
      <c r="E53" s="31"/>
      <c r="F53" s="52">
        <v>4</v>
      </c>
      <c r="G53" s="38">
        <v>98988</v>
      </c>
      <c r="H53" s="72"/>
      <c r="I53" s="71"/>
    </row>
    <row r="54" spans="1:9" x14ac:dyDescent="0.25">
      <c r="A54" s="50">
        <v>237359447</v>
      </c>
      <c r="B54" s="33" t="s">
        <v>65</v>
      </c>
      <c r="C54" s="55">
        <f>32991+(8*364)</f>
        <v>35903</v>
      </c>
      <c r="D54" s="51">
        <f t="shared" ca="1" si="0"/>
        <v>17</v>
      </c>
      <c r="E54" s="31" t="s">
        <v>33</v>
      </c>
      <c r="F54" s="52">
        <v>1</v>
      </c>
      <c r="G54" s="38">
        <v>109437</v>
      </c>
      <c r="H54" s="72"/>
      <c r="I54" s="71"/>
    </row>
    <row r="55" spans="1:9" x14ac:dyDescent="0.25">
      <c r="A55" s="50">
        <v>239847790</v>
      </c>
      <c r="B55" s="33" t="s">
        <v>44</v>
      </c>
      <c r="C55" s="55">
        <f>35065+(8*364)</f>
        <v>37977</v>
      </c>
      <c r="D55" s="51">
        <f t="shared" ca="1" si="0"/>
        <v>11</v>
      </c>
      <c r="E55" s="31"/>
      <c r="F55" s="52">
        <v>5</v>
      </c>
      <c r="G55" s="38">
        <v>100611</v>
      </c>
      <c r="H55" s="72"/>
      <c r="I55" s="71"/>
    </row>
    <row r="56" spans="1:9" x14ac:dyDescent="0.25">
      <c r="A56" s="50">
        <v>240241467</v>
      </c>
      <c r="B56" s="33" t="s">
        <v>42</v>
      </c>
      <c r="C56" s="55">
        <f>34266+(8*364)</f>
        <v>37178</v>
      </c>
      <c r="D56" s="51">
        <f t="shared" ca="1" si="0"/>
        <v>14</v>
      </c>
      <c r="E56" s="31"/>
      <c r="F56" s="52">
        <v>3</v>
      </c>
      <c r="G56" s="38">
        <v>45985</v>
      </c>
      <c r="H56" s="72"/>
      <c r="I56" s="71"/>
    </row>
    <row r="57" spans="1:9" x14ac:dyDescent="0.25">
      <c r="A57" s="50">
        <v>247276092</v>
      </c>
      <c r="B57" s="33" t="s">
        <v>59</v>
      </c>
      <c r="C57" s="55">
        <f>33809+(8*364)</f>
        <v>36721</v>
      </c>
      <c r="D57" s="51">
        <f t="shared" ca="1" si="0"/>
        <v>15</v>
      </c>
      <c r="E57" s="31"/>
      <c r="F57" s="52">
        <v>2</v>
      </c>
      <c r="G57" s="38">
        <v>109265</v>
      </c>
      <c r="H57" s="72"/>
      <c r="I57" s="71"/>
    </row>
    <row r="58" spans="1:9" x14ac:dyDescent="0.25">
      <c r="A58" s="50">
        <v>247422007</v>
      </c>
      <c r="B58" s="33" t="s">
        <v>42</v>
      </c>
      <c r="C58" s="55">
        <f>34883+(8*364)</f>
        <v>37795</v>
      </c>
      <c r="D58" s="51">
        <f t="shared" ca="1" si="0"/>
        <v>12</v>
      </c>
      <c r="E58" s="31"/>
      <c r="F58" s="52">
        <v>2</v>
      </c>
      <c r="G58" s="38">
        <v>50260</v>
      </c>
      <c r="H58" s="72"/>
      <c r="I58" s="71"/>
    </row>
    <row r="59" spans="1:9" x14ac:dyDescent="0.25">
      <c r="A59" s="50">
        <v>247555666</v>
      </c>
      <c r="B59" s="33" t="s">
        <v>66</v>
      </c>
      <c r="C59" s="55">
        <f>32307+(8*364)</f>
        <v>35219</v>
      </c>
      <c r="D59" s="51">
        <f t="shared" ca="1" si="0"/>
        <v>19</v>
      </c>
      <c r="E59" s="31" t="s">
        <v>33</v>
      </c>
      <c r="F59" s="52">
        <v>5</v>
      </c>
      <c r="G59" s="38">
        <v>45001</v>
      </c>
      <c r="H59" s="72"/>
      <c r="I59" s="71"/>
    </row>
    <row r="60" spans="1:9" x14ac:dyDescent="0.25">
      <c r="A60" s="50">
        <v>248820119</v>
      </c>
      <c r="B60" s="33" t="s">
        <v>52</v>
      </c>
      <c r="C60" s="55">
        <f>34593+(8*364)</f>
        <v>37505</v>
      </c>
      <c r="D60" s="51">
        <f t="shared" ca="1" si="0"/>
        <v>13</v>
      </c>
      <c r="E60" s="31" t="s">
        <v>33</v>
      </c>
      <c r="F60" s="52">
        <v>5</v>
      </c>
      <c r="G60" s="38">
        <v>75981</v>
      </c>
      <c r="H60" s="72"/>
      <c r="I60" s="71"/>
    </row>
    <row r="61" spans="1:9" x14ac:dyDescent="0.25">
      <c r="A61" s="50">
        <v>249416723</v>
      </c>
      <c r="B61" s="33" t="s">
        <v>42</v>
      </c>
      <c r="C61" s="55">
        <f>34715+(8*364)</f>
        <v>37627</v>
      </c>
      <c r="D61" s="51">
        <f t="shared" ca="1" si="0"/>
        <v>12</v>
      </c>
      <c r="E61" s="31" t="s">
        <v>60</v>
      </c>
      <c r="F61" s="52">
        <v>5</v>
      </c>
      <c r="G61" s="38">
        <v>84961</v>
      </c>
      <c r="H61" s="72"/>
      <c r="I61" s="71"/>
    </row>
    <row r="62" spans="1:9" x14ac:dyDescent="0.25">
      <c r="A62" s="50">
        <v>249760737</v>
      </c>
      <c r="B62" s="33" t="s">
        <v>48</v>
      </c>
      <c r="C62" s="55">
        <f>32639+(8*364)</f>
        <v>35551</v>
      </c>
      <c r="D62" s="51">
        <f t="shared" ca="1" si="0"/>
        <v>18</v>
      </c>
      <c r="E62" s="31"/>
      <c r="F62" s="52">
        <v>5</v>
      </c>
      <c r="G62" s="38">
        <v>81744</v>
      </c>
      <c r="H62" s="72"/>
      <c r="I62" s="71"/>
    </row>
    <row r="63" spans="1:9" x14ac:dyDescent="0.25">
      <c r="A63" s="50">
        <v>249929042</v>
      </c>
      <c r="B63" s="33" t="s">
        <v>32</v>
      </c>
      <c r="C63" s="55">
        <f>37354+(8*364)</f>
        <v>40266</v>
      </c>
      <c r="D63" s="51">
        <f t="shared" ca="1" si="0"/>
        <v>5</v>
      </c>
      <c r="E63" s="31" t="s">
        <v>33</v>
      </c>
      <c r="F63" s="52">
        <v>5</v>
      </c>
      <c r="G63" s="38">
        <v>75478</v>
      </c>
      <c r="H63" s="72"/>
      <c r="I63" s="71"/>
    </row>
    <row r="64" spans="1:9" x14ac:dyDescent="0.25">
      <c r="A64" s="50">
        <v>259573806</v>
      </c>
      <c r="B64" s="33" t="s">
        <v>32</v>
      </c>
      <c r="C64" s="55">
        <f>32338+(8*364)</f>
        <v>35250</v>
      </c>
      <c r="D64" s="51">
        <f t="shared" ca="1" si="0"/>
        <v>19</v>
      </c>
      <c r="E64" s="31" t="s">
        <v>53</v>
      </c>
      <c r="F64" s="52">
        <v>4</v>
      </c>
      <c r="G64" s="38">
        <v>106676</v>
      </c>
      <c r="H64" s="72"/>
      <c r="I64" s="71"/>
    </row>
    <row r="65" spans="1:9" x14ac:dyDescent="0.25">
      <c r="A65" s="50">
        <v>260815239</v>
      </c>
      <c r="B65" s="33" t="s">
        <v>59</v>
      </c>
      <c r="C65" s="55">
        <f>32310+(8*364)</f>
        <v>35222</v>
      </c>
      <c r="D65" s="51">
        <f t="shared" ca="1" si="0"/>
        <v>19</v>
      </c>
      <c r="E65" s="31"/>
      <c r="F65" s="52">
        <v>3</v>
      </c>
      <c r="G65" s="38">
        <v>75344</v>
      </c>
      <c r="H65" s="72"/>
      <c r="I65" s="71"/>
    </row>
    <row r="66" spans="1:9" x14ac:dyDescent="0.25">
      <c r="A66" s="50">
        <v>265993407</v>
      </c>
      <c r="B66" s="33" t="s">
        <v>35</v>
      </c>
      <c r="C66" s="55">
        <f>31972+(8*364)</f>
        <v>34884</v>
      </c>
      <c r="D66" s="51">
        <f t="shared" ref="D66:D129" ca="1" si="1">DATEDIF(C66,TODAY(),"Y")</f>
        <v>20</v>
      </c>
      <c r="E66" s="31"/>
      <c r="F66" s="52">
        <v>2</v>
      </c>
      <c r="G66" s="38">
        <v>49198</v>
      </c>
      <c r="H66" s="72"/>
      <c r="I66" s="71"/>
    </row>
    <row r="67" spans="1:9" x14ac:dyDescent="0.25">
      <c r="A67" s="50">
        <v>272036635</v>
      </c>
      <c r="B67" s="33" t="s">
        <v>39</v>
      </c>
      <c r="C67" s="55">
        <f>36573+(8*364)</f>
        <v>39485</v>
      </c>
      <c r="D67" s="51">
        <f t="shared" ca="1" si="1"/>
        <v>7</v>
      </c>
      <c r="E67" s="31" t="s">
        <v>33</v>
      </c>
      <c r="F67" s="52">
        <v>1</v>
      </c>
      <c r="G67" s="38">
        <v>89860</v>
      </c>
      <c r="H67" s="72"/>
      <c r="I67" s="71"/>
    </row>
    <row r="68" spans="1:9" x14ac:dyDescent="0.25">
      <c r="A68" s="50">
        <v>272714784</v>
      </c>
      <c r="B68" s="33" t="s">
        <v>52</v>
      </c>
      <c r="C68" s="55">
        <f>36401+(8*364)</f>
        <v>39313</v>
      </c>
      <c r="D68" s="51">
        <f t="shared" ca="1" si="1"/>
        <v>8</v>
      </c>
      <c r="E68" s="31"/>
      <c r="F68" s="52">
        <v>2</v>
      </c>
      <c r="G68" s="38">
        <v>59070</v>
      </c>
      <c r="H68" s="72"/>
      <c r="I68" s="71"/>
    </row>
    <row r="69" spans="1:9" x14ac:dyDescent="0.25">
      <c r="A69" s="50">
        <v>276873359</v>
      </c>
      <c r="B69" s="33" t="s">
        <v>42</v>
      </c>
      <c r="C69" s="55">
        <f>37861+(8*364)</f>
        <v>40773</v>
      </c>
      <c r="D69" s="51">
        <f t="shared" ca="1" si="1"/>
        <v>4</v>
      </c>
      <c r="E69" s="31" t="s">
        <v>49</v>
      </c>
      <c r="F69" s="52">
        <v>2</v>
      </c>
      <c r="G69" s="38">
        <v>36782</v>
      </c>
      <c r="H69" s="72"/>
      <c r="I69" s="71"/>
    </row>
    <row r="70" spans="1:9" x14ac:dyDescent="0.25">
      <c r="A70" s="50">
        <v>277423593</v>
      </c>
      <c r="B70" s="33" t="s">
        <v>42</v>
      </c>
      <c r="C70" s="55">
        <f>32081+(8*364)</f>
        <v>34993</v>
      </c>
      <c r="D70" s="51">
        <f t="shared" ca="1" si="1"/>
        <v>20</v>
      </c>
      <c r="E70" s="31" t="s">
        <v>46</v>
      </c>
      <c r="F70" s="52">
        <v>2</v>
      </c>
      <c r="G70" s="38">
        <v>92627</v>
      </c>
      <c r="H70" s="72"/>
      <c r="I70" s="71"/>
    </row>
    <row r="71" spans="1:9" x14ac:dyDescent="0.25">
      <c r="A71" s="50">
        <v>278129861</v>
      </c>
      <c r="B71" s="33" t="s">
        <v>44</v>
      </c>
      <c r="C71" s="55">
        <f>39094+(8*364)</f>
        <v>42006</v>
      </c>
      <c r="D71" s="51">
        <f t="shared" ca="1" si="1"/>
        <v>0</v>
      </c>
      <c r="E71" s="31"/>
      <c r="F71" s="52">
        <v>5</v>
      </c>
      <c r="G71" s="38">
        <v>97311</v>
      </c>
      <c r="H71" s="72"/>
      <c r="I71" s="71"/>
    </row>
    <row r="72" spans="1:9" x14ac:dyDescent="0.25">
      <c r="A72" s="50">
        <v>279591317</v>
      </c>
      <c r="B72" s="33" t="s">
        <v>48</v>
      </c>
      <c r="C72" s="55">
        <f>34953+(8*364)</f>
        <v>37865</v>
      </c>
      <c r="D72" s="51">
        <f t="shared" ca="1" si="1"/>
        <v>12</v>
      </c>
      <c r="E72" s="31"/>
      <c r="F72" s="52">
        <v>4</v>
      </c>
      <c r="G72" s="38">
        <v>68162</v>
      </c>
      <c r="H72" s="72"/>
      <c r="I72" s="71"/>
    </row>
    <row r="73" spans="1:9" x14ac:dyDescent="0.25">
      <c r="A73" s="50">
        <v>280304785</v>
      </c>
      <c r="B73" s="33" t="s">
        <v>32</v>
      </c>
      <c r="C73" s="55">
        <f>34686+(8*364)</f>
        <v>37598</v>
      </c>
      <c r="D73" s="51">
        <f t="shared" ca="1" si="1"/>
        <v>13</v>
      </c>
      <c r="E73" s="31" t="s">
        <v>33</v>
      </c>
      <c r="F73" s="52">
        <v>2</v>
      </c>
      <c r="G73" s="38">
        <v>60145</v>
      </c>
      <c r="H73" s="72"/>
      <c r="I73" s="71"/>
    </row>
    <row r="74" spans="1:9" x14ac:dyDescent="0.25">
      <c r="A74" s="50">
        <v>282972141</v>
      </c>
      <c r="B74" s="33" t="s">
        <v>48</v>
      </c>
      <c r="C74" s="55">
        <f>34629+(8*364)</f>
        <v>37541</v>
      </c>
      <c r="D74" s="51">
        <f t="shared" ca="1" si="1"/>
        <v>13</v>
      </c>
      <c r="E74" s="31"/>
      <c r="F74" s="52">
        <v>5</v>
      </c>
      <c r="G74" s="38">
        <v>40883</v>
      </c>
      <c r="H74" s="72"/>
      <c r="I74" s="71"/>
    </row>
    <row r="75" spans="1:9" x14ac:dyDescent="0.25">
      <c r="A75" s="50">
        <v>283476654</v>
      </c>
      <c r="B75" s="33" t="s">
        <v>42</v>
      </c>
      <c r="C75" s="55">
        <f>32371+(8*364)</f>
        <v>35283</v>
      </c>
      <c r="D75" s="51">
        <f t="shared" ca="1" si="1"/>
        <v>19</v>
      </c>
      <c r="E75" s="31" t="s">
        <v>60</v>
      </c>
      <c r="F75" s="52">
        <v>4</v>
      </c>
      <c r="G75" s="38">
        <v>67265</v>
      </c>
      <c r="H75" s="72"/>
      <c r="I75" s="71"/>
    </row>
    <row r="76" spans="1:9" x14ac:dyDescent="0.25">
      <c r="A76" s="50">
        <v>285295419</v>
      </c>
      <c r="B76" s="33" t="s">
        <v>61</v>
      </c>
      <c r="C76" s="55">
        <f>31848+(8*364)</f>
        <v>34760</v>
      </c>
      <c r="D76" s="51">
        <f t="shared" ca="1" si="1"/>
        <v>20</v>
      </c>
      <c r="E76" s="31"/>
      <c r="F76" s="52">
        <v>4</v>
      </c>
      <c r="G76" s="38">
        <v>65667</v>
      </c>
      <c r="H76" s="72"/>
      <c r="I76" s="71"/>
    </row>
    <row r="77" spans="1:9" x14ac:dyDescent="0.25">
      <c r="A77" s="50">
        <v>288741910</v>
      </c>
      <c r="B77" s="33" t="s">
        <v>35</v>
      </c>
      <c r="C77" s="55">
        <f>35050+(8*364)</f>
        <v>37962</v>
      </c>
      <c r="D77" s="51">
        <f t="shared" ca="1" si="1"/>
        <v>12</v>
      </c>
      <c r="E77" s="31" t="s">
        <v>46</v>
      </c>
      <c r="F77" s="52">
        <v>1</v>
      </c>
      <c r="G77" s="38">
        <v>53572</v>
      </c>
      <c r="H77" s="72"/>
      <c r="I77" s="71"/>
    </row>
    <row r="78" spans="1:9" x14ac:dyDescent="0.25">
      <c r="A78" s="50">
        <v>290385638</v>
      </c>
      <c r="B78" s="33" t="s">
        <v>52</v>
      </c>
      <c r="C78" s="55">
        <f>32192+(8*364)</f>
        <v>35104</v>
      </c>
      <c r="D78" s="51">
        <f t="shared" ca="1" si="1"/>
        <v>19</v>
      </c>
      <c r="E78" s="31" t="s">
        <v>60</v>
      </c>
      <c r="F78" s="52">
        <v>4</v>
      </c>
      <c r="G78" s="38">
        <v>105427</v>
      </c>
      <c r="H78" s="72"/>
      <c r="I78" s="71"/>
    </row>
    <row r="79" spans="1:9" x14ac:dyDescent="0.25">
      <c r="A79" s="50">
        <v>291715078</v>
      </c>
      <c r="B79" s="33" t="s">
        <v>32</v>
      </c>
      <c r="C79" s="55">
        <f>32303+(8*364)</f>
        <v>35215</v>
      </c>
      <c r="D79" s="51">
        <f t="shared" ca="1" si="1"/>
        <v>19</v>
      </c>
      <c r="E79" s="31" t="s">
        <v>67</v>
      </c>
      <c r="F79" s="52">
        <v>5</v>
      </c>
      <c r="G79" s="38">
        <v>50471</v>
      </c>
      <c r="H79" s="72"/>
      <c r="I79" s="71"/>
    </row>
    <row r="80" spans="1:9" x14ac:dyDescent="0.25">
      <c r="A80" s="50">
        <v>291798311</v>
      </c>
      <c r="B80" s="33" t="s">
        <v>63</v>
      </c>
      <c r="C80" s="55">
        <f>34177+(8*364)</f>
        <v>37089</v>
      </c>
      <c r="D80" s="51">
        <f t="shared" ca="1" si="1"/>
        <v>14</v>
      </c>
      <c r="E80" s="31" t="s">
        <v>33</v>
      </c>
      <c r="F80" s="52">
        <v>4</v>
      </c>
      <c r="G80" s="38">
        <v>64590</v>
      </c>
      <c r="H80" s="72"/>
      <c r="I80" s="71"/>
    </row>
    <row r="81" spans="1:9" x14ac:dyDescent="0.25">
      <c r="A81" s="50">
        <v>292693795</v>
      </c>
      <c r="B81" s="33" t="s">
        <v>61</v>
      </c>
      <c r="C81" s="55">
        <f>31970+(8*364)</f>
        <v>34882</v>
      </c>
      <c r="D81" s="51">
        <f t="shared" ca="1" si="1"/>
        <v>20</v>
      </c>
      <c r="E81" s="31" t="s">
        <v>33</v>
      </c>
      <c r="F81" s="52">
        <v>4</v>
      </c>
      <c r="G81" s="38">
        <v>61901</v>
      </c>
      <c r="H81" s="72"/>
      <c r="I81" s="71"/>
    </row>
    <row r="82" spans="1:9" x14ac:dyDescent="0.25">
      <c r="A82" s="50">
        <v>292993080</v>
      </c>
      <c r="B82" s="33" t="s">
        <v>32</v>
      </c>
      <c r="C82" s="55">
        <f>38145+(8*364)</f>
        <v>41057</v>
      </c>
      <c r="D82" s="51">
        <f t="shared" ca="1" si="1"/>
        <v>3</v>
      </c>
      <c r="E82" s="31" t="s">
        <v>46</v>
      </c>
      <c r="F82" s="52">
        <v>4</v>
      </c>
      <c r="G82" s="38">
        <v>60991</v>
      </c>
      <c r="H82" s="72"/>
      <c r="I82" s="71"/>
    </row>
    <row r="83" spans="1:9" x14ac:dyDescent="0.25">
      <c r="A83" s="50">
        <v>294130565</v>
      </c>
      <c r="B83" s="33" t="s">
        <v>52</v>
      </c>
      <c r="C83" s="55">
        <f>32326+(8*364)</f>
        <v>35238</v>
      </c>
      <c r="D83" s="51">
        <f t="shared" ca="1" si="1"/>
        <v>19</v>
      </c>
      <c r="E83" s="31" t="s">
        <v>33</v>
      </c>
      <c r="F83" s="52">
        <v>1</v>
      </c>
      <c r="G83" s="38">
        <v>68804</v>
      </c>
      <c r="H83" s="72"/>
      <c r="I83" s="71"/>
    </row>
    <row r="84" spans="1:9" x14ac:dyDescent="0.25">
      <c r="A84" s="50">
        <v>294161481</v>
      </c>
      <c r="B84" s="33" t="s">
        <v>58</v>
      </c>
      <c r="C84" s="55">
        <f>34784+(8*364)</f>
        <v>37696</v>
      </c>
      <c r="D84" s="51">
        <f t="shared" ca="1" si="1"/>
        <v>12</v>
      </c>
      <c r="E84" s="31" t="s">
        <v>33</v>
      </c>
      <c r="F84" s="52">
        <v>1</v>
      </c>
      <c r="G84" s="38">
        <v>37838</v>
      </c>
      <c r="H84" s="72"/>
      <c r="I84" s="71"/>
    </row>
    <row r="85" spans="1:9" x14ac:dyDescent="0.25">
      <c r="A85" s="50">
        <v>297852686</v>
      </c>
      <c r="B85" s="33" t="s">
        <v>68</v>
      </c>
      <c r="C85" s="55">
        <f>38394+(8*364)</f>
        <v>41306</v>
      </c>
      <c r="D85" s="51">
        <f t="shared" ca="1" si="1"/>
        <v>2</v>
      </c>
      <c r="E85" s="31" t="s">
        <v>53</v>
      </c>
      <c r="F85" s="52">
        <v>5</v>
      </c>
      <c r="G85" s="38">
        <v>99978</v>
      </c>
      <c r="H85" s="72"/>
      <c r="I85" s="71"/>
    </row>
    <row r="86" spans="1:9" x14ac:dyDescent="0.25">
      <c r="A86" s="50">
        <v>303641529</v>
      </c>
      <c r="B86" s="33" t="s">
        <v>66</v>
      </c>
      <c r="C86" s="55">
        <f>33840+(8*364)</f>
        <v>36752</v>
      </c>
      <c r="D86" s="51">
        <f t="shared" ca="1" si="1"/>
        <v>15</v>
      </c>
      <c r="E86" s="31" t="s">
        <v>33</v>
      </c>
      <c r="F86" s="52">
        <v>4</v>
      </c>
      <c r="G86" s="38">
        <v>61666</v>
      </c>
      <c r="H86" s="72"/>
      <c r="I86" s="71"/>
    </row>
    <row r="87" spans="1:9" x14ac:dyDescent="0.25">
      <c r="A87" s="50">
        <v>311309049</v>
      </c>
      <c r="B87" s="33" t="s">
        <v>42</v>
      </c>
      <c r="C87" s="55">
        <f>34933+(8*364)</f>
        <v>37845</v>
      </c>
      <c r="D87" s="51">
        <f t="shared" ca="1" si="1"/>
        <v>12</v>
      </c>
      <c r="E87" s="31" t="s">
        <v>53</v>
      </c>
      <c r="F87" s="52">
        <v>3</v>
      </c>
      <c r="G87" s="38">
        <v>64421</v>
      </c>
      <c r="H87" s="72"/>
      <c r="I87" s="71"/>
    </row>
    <row r="88" spans="1:9" x14ac:dyDescent="0.25">
      <c r="A88" s="50">
        <v>312019803</v>
      </c>
      <c r="B88" s="33" t="s">
        <v>32</v>
      </c>
      <c r="C88" s="55">
        <f>35919+(8*364)</f>
        <v>38831</v>
      </c>
      <c r="D88" s="51">
        <f t="shared" ca="1" si="1"/>
        <v>9</v>
      </c>
      <c r="E88" s="31" t="s">
        <v>46</v>
      </c>
      <c r="F88" s="52">
        <v>4</v>
      </c>
      <c r="G88" s="38">
        <v>69150</v>
      </c>
      <c r="H88" s="72"/>
      <c r="I88" s="71"/>
    </row>
    <row r="89" spans="1:9" x14ac:dyDescent="0.25">
      <c r="A89" s="50">
        <v>313648228</v>
      </c>
      <c r="B89" s="33" t="s">
        <v>35</v>
      </c>
      <c r="C89" s="55">
        <f>36315+(8*364)</f>
        <v>39227</v>
      </c>
      <c r="D89" s="51">
        <f t="shared" ca="1" si="1"/>
        <v>8</v>
      </c>
      <c r="E89" s="31" t="s">
        <v>46</v>
      </c>
      <c r="F89" s="52">
        <v>5</v>
      </c>
      <c r="G89" s="38">
        <v>48459</v>
      </c>
      <c r="H89" s="72"/>
      <c r="I89" s="71"/>
    </row>
    <row r="90" spans="1:9" x14ac:dyDescent="0.25">
      <c r="A90" s="50">
        <v>313651312</v>
      </c>
      <c r="B90" s="33" t="s">
        <v>57</v>
      </c>
      <c r="C90" s="55">
        <f>34872+(8*364)</f>
        <v>37784</v>
      </c>
      <c r="D90" s="51">
        <f t="shared" ca="1" si="1"/>
        <v>12</v>
      </c>
      <c r="E90" s="31" t="s">
        <v>46</v>
      </c>
      <c r="F90" s="52">
        <v>5</v>
      </c>
      <c r="G90" s="38">
        <v>114736</v>
      </c>
      <c r="H90" s="72"/>
      <c r="I90" s="71"/>
    </row>
    <row r="91" spans="1:9" x14ac:dyDescent="0.25">
      <c r="A91" s="50">
        <v>317749924</v>
      </c>
      <c r="B91" s="33" t="s">
        <v>42</v>
      </c>
      <c r="C91" s="55">
        <f>32667+(8*364)</f>
        <v>35579</v>
      </c>
      <c r="D91" s="51">
        <f t="shared" ca="1" si="1"/>
        <v>18</v>
      </c>
      <c r="E91" s="31"/>
      <c r="F91" s="52">
        <v>5</v>
      </c>
      <c r="G91" s="38">
        <v>60675</v>
      </c>
      <c r="H91" s="72"/>
      <c r="I91" s="71"/>
    </row>
    <row r="92" spans="1:9" x14ac:dyDescent="0.25">
      <c r="A92" s="50">
        <v>317844971</v>
      </c>
      <c r="B92" s="33" t="s">
        <v>32</v>
      </c>
      <c r="C92" s="55">
        <f>34617+(8*364)</f>
        <v>37529</v>
      </c>
      <c r="D92" s="51">
        <f t="shared" ca="1" si="1"/>
        <v>13</v>
      </c>
      <c r="E92" s="31"/>
      <c r="F92" s="52">
        <v>1</v>
      </c>
      <c r="G92" s="38">
        <v>92959</v>
      </c>
      <c r="H92" s="72"/>
      <c r="I92" s="71"/>
    </row>
    <row r="93" spans="1:9" x14ac:dyDescent="0.25">
      <c r="A93" s="50">
        <v>318068637</v>
      </c>
      <c r="B93" s="33" t="s">
        <v>32</v>
      </c>
      <c r="C93" s="55">
        <f>38228+(8*364)</f>
        <v>41140</v>
      </c>
      <c r="D93" s="51">
        <f t="shared" ca="1" si="1"/>
        <v>3</v>
      </c>
      <c r="E93" s="31"/>
      <c r="F93" s="52">
        <v>4</v>
      </c>
      <c r="G93" s="38">
        <v>76588</v>
      </c>
      <c r="H93" s="72"/>
      <c r="I93" s="71"/>
    </row>
    <row r="94" spans="1:9" x14ac:dyDescent="0.25">
      <c r="A94" s="50">
        <v>319449613</v>
      </c>
      <c r="B94" s="33" t="s">
        <v>32</v>
      </c>
      <c r="C94" s="55">
        <f>35022+(8*364)</f>
        <v>37934</v>
      </c>
      <c r="D94" s="51">
        <f t="shared" ca="1" si="1"/>
        <v>12</v>
      </c>
      <c r="E94" s="31" t="s">
        <v>49</v>
      </c>
      <c r="F94" s="52">
        <v>2</v>
      </c>
      <c r="G94" s="38">
        <v>51690</v>
      </c>
      <c r="H94" s="72"/>
      <c r="I94" s="71"/>
    </row>
    <row r="95" spans="1:9" x14ac:dyDescent="0.25">
      <c r="A95" s="50">
        <v>324069262</v>
      </c>
      <c r="B95" s="33" t="s">
        <v>42</v>
      </c>
      <c r="C95" s="55">
        <f>33224+(8*364)</f>
        <v>36136</v>
      </c>
      <c r="D95" s="51">
        <f t="shared" ca="1" si="1"/>
        <v>17</v>
      </c>
      <c r="E95" s="31"/>
      <c r="F95" s="52">
        <v>1</v>
      </c>
      <c r="G95" s="38">
        <v>96813</v>
      </c>
      <c r="H95" s="72"/>
      <c r="I95" s="71"/>
    </row>
    <row r="96" spans="1:9" x14ac:dyDescent="0.25">
      <c r="A96" s="50">
        <v>324622113</v>
      </c>
      <c r="B96" s="33" t="s">
        <v>57</v>
      </c>
      <c r="C96" s="55">
        <f>39206+(8*364)</f>
        <v>42118</v>
      </c>
      <c r="D96" s="51">
        <f t="shared" ca="1" si="1"/>
        <v>0</v>
      </c>
      <c r="E96" s="31" t="s">
        <v>46</v>
      </c>
      <c r="F96" s="52">
        <v>1</v>
      </c>
      <c r="G96" s="38">
        <v>60338</v>
      </c>
      <c r="H96" s="72"/>
      <c r="I96" s="71"/>
    </row>
    <row r="97" spans="1:9" x14ac:dyDescent="0.25">
      <c r="A97" s="50">
        <v>328787467</v>
      </c>
      <c r="B97" s="33" t="s">
        <v>32</v>
      </c>
      <c r="C97" s="55">
        <f>37777+(8*364)</f>
        <v>40689</v>
      </c>
      <c r="D97" s="51">
        <f t="shared" ca="1" si="1"/>
        <v>4</v>
      </c>
      <c r="E97" s="31"/>
      <c r="F97" s="52">
        <v>4</v>
      </c>
      <c r="G97" s="38">
        <v>113651</v>
      </c>
      <c r="H97" s="72"/>
      <c r="I97" s="71"/>
    </row>
    <row r="98" spans="1:9" x14ac:dyDescent="0.25">
      <c r="A98" s="50">
        <v>330879921</v>
      </c>
      <c r="B98" s="33" t="s">
        <v>44</v>
      </c>
      <c r="C98" s="55">
        <f>34778+(8*364)</f>
        <v>37690</v>
      </c>
      <c r="D98" s="51">
        <f t="shared" ca="1" si="1"/>
        <v>12</v>
      </c>
      <c r="E98" s="31" t="s">
        <v>49</v>
      </c>
      <c r="F98" s="52">
        <v>4</v>
      </c>
      <c r="G98" s="38">
        <v>63643</v>
      </c>
      <c r="H98" s="72"/>
      <c r="I98" s="71"/>
    </row>
    <row r="99" spans="1:9" x14ac:dyDescent="0.25">
      <c r="A99" s="50">
        <v>331251341</v>
      </c>
      <c r="B99" s="33" t="s">
        <v>35</v>
      </c>
      <c r="C99" s="55">
        <f>34586+(8*364)</f>
        <v>37498</v>
      </c>
      <c r="D99" s="51">
        <f t="shared" ca="1" si="1"/>
        <v>13</v>
      </c>
      <c r="E99" s="31" t="s">
        <v>46</v>
      </c>
      <c r="F99" s="52">
        <v>3</v>
      </c>
      <c r="G99" s="38">
        <v>84435</v>
      </c>
      <c r="H99" s="72"/>
      <c r="I99" s="71"/>
    </row>
    <row r="100" spans="1:9" x14ac:dyDescent="0.25">
      <c r="A100" s="50">
        <v>332494481</v>
      </c>
      <c r="B100" s="33" t="s">
        <v>42</v>
      </c>
      <c r="C100" s="55">
        <f>34770+(8*364)</f>
        <v>37682</v>
      </c>
      <c r="D100" s="51">
        <f t="shared" ca="1" si="1"/>
        <v>12</v>
      </c>
      <c r="E100" s="31" t="s">
        <v>46</v>
      </c>
      <c r="F100" s="52">
        <v>5</v>
      </c>
      <c r="G100" s="38">
        <v>39196</v>
      </c>
      <c r="H100" s="72"/>
      <c r="I100" s="71"/>
    </row>
    <row r="101" spans="1:9" x14ac:dyDescent="0.25">
      <c r="A101" s="50">
        <v>337370590</v>
      </c>
      <c r="B101" s="33" t="s">
        <v>32</v>
      </c>
      <c r="C101" s="55">
        <f>36734+(8*364)</f>
        <v>39646</v>
      </c>
      <c r="D101" s="51">
        <f t="shared" ca="1" si="1"/>
        <v>7</v>
      </c>
      <c r="E101" s="31"/>
      <c r="F101" s="52">
        <v>2</v>
      </c>
      <c r="G101" s="38">
        <v>60162</v>
      </c>
      <c r="H101" s="72"/>
      <c r="I101" s="71"/>
    </row>
    <row r="102" spans="1:9" x14ac:dyDescent="0.25">
      <c r="A102" s="50">
        <v>337411408</v>
      </c>
      <c r="B102" s="33" t="s">
        <v>35</v>
      </c>
      <c r="C102" s="55">
        <f>35216+(8*364)</f>
        <v>38128</v>
      </c>
      <c r="D102" s="51">
        <f t="shared" ca="1" si="1"/>
        <v>11</v>
      </c>
      <c r="E102" s="31" t="s">
        <v>33</v>
      </c>
      <c r="F102" s="52">
        <v>4</v>
      </c>
      <c r="G102" s="38">
        <v>43139</v>
      </c>
      <c r="H102" s="72"/>
      <c r="I102" s="71"/>
    </row>
    <row r="103" spans="1:9" x14ac:dyDescent="0.25">
      <c r="A103" s="50">
        <v>339398339</v>
      </c>
      <c r="B103" s="33" t="s">
        <v>59</v>
      </c>
      <c r="C103" s="55">
        <f>34655+(8*364)</f>
        <v>37567</v>
      </c>
      <c r="D103" s="51">
        <f t="shared" ca="1" si="1"/>
        <v>13</v>
      </c>
      <c r="E103" s="31" t="s">
        <v>49</v>
      </c>
      <c r="F103" s="52">
        <v>4</v>
      </c>
      <c r="G103" s="38">
        <v>112101</v>
      </c>
      <c r="H103" s="72"/>
      <c r="I103" s="71"/>
    </row>
    <row r="104" spans="1:9" x14ac:dyDescent="0.25">
      <c r="A104" s="50">
        <v>339488599</v>
      </c>
      <c r="B104" s="33" t="s">
        <v>44</v>
      </c>
      <c r="C104" s="55">
        <f>36094+(8*364)</f>
        <v>39006</v>
      </c>
      <c r="D104" s="51">
        <f t="shared" ca="1" si="1"/>
        <v>9</v>
      </c>
      <c r="E104" s="31"/>
      <c r="F104" s="52">
        <v>3</v>
      </c>
      <c r="G104" s="38">
        <v>110267</v>
      </c>
      <c r="H104" s="72"/>
      <c r="I104" s="71"/>
    </row>
    <row r="105" spans="1:9" x14ac:dyDescent="0.25">
      <c r="A105" s="50">
        <v>343897392</v>
      </c>
      <c r="B105" s="33" t="s">
        <v>58</v>
      </c>
      <c r="C105" s="55">
        <f>33944+(8*364)</f>
        <v>36856</v>
      </c>
      <c r="D105" s="51">
        <f t="shared" ca="1" si="1"/>
        <v>15</v>
      </c>
      <c r="E105" s="31" t="s">
        <v>33</v>
      </c>
      <c r="F105" s="52">
        <v>4</v>
      </c>
      <c r="G105" s="38">
        <v>36855</v>
      </c>
      <c r="H105" s="72"/>
      <c r="I105" s="71"/>
    </row>
    <row r="106" spans="1:9" x14ac:dyDescent="0.25">
      <c r="A106" s="50">
        <v>344090854</v>
      </c>
      <c r="B106" s="33" t="s">
        <v>59</v>
      </c>
      <c r="C106" s="55">
        <f>33887+(8*364)</f>
        <v>36799</v>
      </c>
      <c r="D106" s="51">
        <f t="shared" ca="1" si="1"/>
        <v>15</v>
      </c>
      <c r="E106" s="31" t="s">
        <v>53</v>
      </c>
      <c r="F106" s="52">
        <v>5</v>
      </c>
      <c r="G106" s="38">
        <v>65653</v>
      </c>
      <c r="H106" s="72"/>
      <c r="I106" s="71"/>
    </row>
    <row r="107" spans="1:9" x14ac:dyDescent="0.25">
      <c r="A107" s="50">
        <v>345817459</v>
      </c>
      <c r="B107" s="33" t="s">
        <v>58</v>
      </c>
      <c r="C107" s="55">
        <f>34889+(8*364)</f>
        <v>37801</v>
      </c>
      <c r="D107" s="51">
        <f t="shared" ca="1" si="1"/>
        <v>12</v>
      </c>
      <c r="E107" s="31"/>
      <c r="F107" s="52">
        <v>5</v>
      </c>
      <c r="G107" s="38">
        <v>38509</v>
      </c>
      <c r="H107" s="72"/>
      <c r="I107" s="71"/>
    </row>
    <row r="108" spans="1:9" x14ac:dyDescent="0.25">
      <c r="A108" s="50">
        <v>349174221</v>
      </c>
      <c r="B108" s="33" t="s">
        <v>44</v>
      </c>
      <c r="C108" s="55">
        <f>34774+(8*364)</f>
        <v>37686</v>
      </c>
      <c r="D108" s="51">
        <f t="shared" ca="1" si="1"/>
        <v>12</v>
      </c>
      <c r="E108" s="31" t="s">
        <v>60</v>
      </c>
      <c r="F108" s="52">
        <v>5</v>
      </c>
      <c r="G108" s="38">
        <v>85660</v>
      </c>
      <c r="H108" s="72"/>
      <c r="I108" s="71"/>
    </row>
    <row r="109" spans="1:9" x14ac:dyDescent="0.25">
      <c r="A109" s="50">
        <v>350104448</v>
      </c>
      <c r="B109" s="33" t="s">
        <v>32</v>
      </c>
      <c r="C109" s="55">
        <f>34219+(8*364)</f>
        <v>37131</v>
      </c>
      <c r="D109" s="51">
        <f t="shared" ca="1" si="1"/>
        <v>14</v>
      </c>
      <c r="E109" s="31" t="s">
        <v>49</v>
      </c>
      <c r="F109" s="52">
        <v>1</v>
      </c>
      <c r="G109" s="38">
        <v>59706</v>
      </c>
      <c r="H109" s="72"/>
      <c r="I109" s="71"/>
    </row>
    <row r="110" spans="1:9" x14ac:dyDescent="0.25">
      <c r="A110" s="50">
        <v>351003584</v>
      </c>
      <c r="B110" s="33" t="s">
        <v>35</v>
      </c>
      <c r="C110" s="55">
        <f>34904+(8*364)</f>
        <v>37816</v>
      </c>
      <c r="D110" s="51">
        <f t="shared" ca="1" si="1"/>
        <v>12</v>
      </c>
      <c r="E110" s="31"/>
      <c r="F110" s="52">
        <v>5</v>
      </c>
      <c r="G110" s="38">
        <v>59212</v>
      </c>
      <c r="H110" s="72"/>
      <c r="I110" s="71"/>
    </row>
    <row r="111" spans="1:9" x14ac:dyDescent="0.25">
      <c r="A111" s="50">
        <v>351268538</v>
      </c>
      <c r="B111" s="33" t="s">
        <v>69</v>
      </c>
      <c r="C111" s="55">
        <f>35209+(8*364)</f>
        <v>38121</v>
      </c>
      <c r="D111" s="51">
        <f t="shared" ca="1" si="1"/>
        <v>11</v>
      </c>
      <c r="E111" s="31" t="s">
        <v>46</v>
      </c>
      <c r="F111" s="52">
        <v>5</v>
      </c>
      <c r="G111" s="38">
        <v>78746</v>
      </c>
      <c r="H111" s="72"/>
      <c r="I111" s="71"/>
    </row>
    <row r="112" spans="1:9" x14ac:dyDescent="0.25">
      <c r="A112" s="50">
        <v>356110882</v>
      </c>
      <c r="B112" s="33" t="s">
        <v>68</v>
      </c>
      <c r="C112" s="55">
        <f>34907+(8*364)</f>
        <v>37819</v>
      </c>
      <c r="D112" s="51">
        <f t="shared" ca="1" si="1"/>
        <v>12</v>
      </c>
      <c r="E112" s="31" t="s">
        <v>33</v>
      </c>
      <c r="F112" s="52">
        <v>1</v>
      </c>
      <c r="G112" s="38">
        <v>75454</v>
      </c>
      <c r="H112" s="72"/>
      <c r="I112" s="71"/>
    </row>
    <row r="113" spans="1:9" x14ac:dyDescent="0.25">
      <c r="A113" s="50">
        <v>356242235</v>
      </c>
      <c r="B113" s="33" t="s">
        <v>32</v>
      </c>
      <c r="C113" s="55">
        <f>35294+(8*364)</f>
        <v>38206</v>
      </c>
      <c r="D113" s="51">
        <f t="shared" ca="1" si="1"/>
        <v>11</v>
      </c>
      <c r="E113" s="31" t="s">
        <v>46</v>
      </c>
      <c r="F113" s="52">
        <v>3</v>
      </c>
      <c r="G113" s="38">
        <v>50801</v>
      </c>
      <c r="H113" s="72"/>
      <c r="I113" s="71"/>
    </row>
    <row r="114" spans="1:9" x14ac:dyDescent="0.25">
      <c r="A114" s="50">
        <v>357081517</v>
      </c>
      <c r="B114" s="33" t="s">
        <v>58</v>
      </c>
      <c r="C114" s="55">
        <f>35061+(8*364)</f>
        <v>37973</v>
      </c>
      <c r="D114" s="51">
        <f t="shared" ca="1" si="1"/>
        <v>11</v>
      </c>
      <c r="E114" s="31" t="s">
        <v>46</v>
      </c>
      <c r="F114" s="52">
        <v>2</v>
      </c>
      <c r="G114" s="38">
        <v>59060</v>
      </c>
      <c r="H114" s="72"/>
      <c r="I114" s="71"/>
    </row>
    <row r="115" spans="1:9" x14ac:dyDescent="0.25">
      <c r="A115" s="50">
        <v>357568979</v>
      </c>
      <c r="B115" s="33" t="s">
        <v>35</v>
      </c>
      <c r="C115" s="55">
        <f>36465+(8*364)</f>
        <v>39377</v>
      </c>
      <c r="D115" s="51">
        <f t="shared" ca="1" si="1"/>
        <v>8</v>
      </c>
      <c r="E115" s="31" t="s">
        <v>60</v>
      </c>
      <c r="F115" s="52">
        <v>4</v>
      </c>
      <c r="G115" s="38">
        <v>85230</v>
      </c>
      <c r="H115" s="72"/>
      <c r="I115" s="71"/>
    </row>
    <row r="116" spans="1:9" x14ac:dyDescent="0.25">
      <c r="A116" s="50">
        <v>358017400</v>
      </c>
      <c r="B116" s="33" t="s">
        <v>44</v>
      </c>
      <c r="C116" s="55">
        <f>35070+(8*364)</f>
        <v>37982</v>
      </c>
      <c r="D116" s="51">
        <f t="shared" ca="1" si="1"/>
        <v>11</v>
      </c>
      <c r="E116" s="31"/>
      <c r="F116" s="52">
        <v>5</v>
      </c>
      <c r="G116" s="38">
        <v>71711</v>
      </c>
      <c r="H116" s="72"/>
      <c r="I116" s="71"/>
    </row>
    <row r="117" spans="1:9" x14ac:dyDescent="0.25">
      <c r="A117" s="50">
        <v>361925033</v>
      </c>
      <c r="B117" s="33" t="s">
        <v>32</v>
      </c>
      <c r="C117" s="55">
        <f>36979+(8*364)</f>
        <v>39891</v>
      </c>
      <c r="D117" s="51">
        <f t="shared" ca="1" si="1"/>
        <v>6</v>
      </c>
      <c r="E117" s="31"/>
      <c r="F117" s="52">
        <v>3</v>
      </c>
      <c r="G117" s="38">
        <v>102393</v>
      </c>
      <c r="H117" s="72"/>
      <c r="I117" s="71"/>
    </row>
    <row r="118" spans="1:9" x14ac:dyDescent="0.25">
      <c r="A118" s="50">
        <v>364404060</v>
      </c>
      <c r="B118" s="33" t="s">
        <v>58</v>
      </c>
      <c r="C118" s="55">
        <f>37052+(8*364)</f>
        <v>39964</v>
      </c>
      <c r="D118" s="51">
        <f t="shared" ca="1" si="1"/>
        <v>6</v>
      </c>
      <c r="E118" s="31" t="s">
        <v>33</v>
      </c>
      <c r="F118" s="52">
        <v>5</v>
      </c>
      <c r="G118" s="38">
        <v>54105</v>
      </c>
      <c r="H118" s="72"/>
      <c r="I118" s="71"/>
    </row>
    <row r="119" spans="1:9" x14ac:dyDescent="0.25">
      <c r="A119" s="50">
        <v>365117800</v>
      </c>
      <c r="B119" s="33" t="s">
        <v>59</v>
      </c>
      <c r="C119" s="55">
        <f>36650+(8*364)</f>
        <v>39562</v>
      </c>
      <c r="D119" s="51">
        <f t="shared" ca="1" si="1"/>
        <v>7</v>
      </c>
      <c r="E119" s="31" t="s">
        <v>33</v>
      </c>
      <c r="F119" s="52">
        <v>5</v>
      </c>
      <c r="G119" s="38">
        <v>53194</v>
      </c>
      <c r="H119" s="72"/>
      <c r="I119" s="71"/>
    </row>
    <row r="120" spans="1:9" x14ac:dyDescent="0.25">
      <c r="A120" s="50">
        <v>365499498</v>
      </c>
      <c r="B120" s="33" t="s">
        <v>52</v>
      </c>
      <c r="C120" s="55">
        <f>37497+(8*364)</f>
        <v>40409</v>
      </c>
      <c r="D120" s="51">
        <f t="shared" ca="1" si="1"/>
        <v>5</v>
      </c>
      <c r="E120" s="31" t="s">
        <v>33</v>
      </c>
      <c r="F120" s="52">
        <v>4</v>
      </c>
      <c r="G120" s="38">
        <v>113884</v>
      </c>
      <c r="H120" s="72"/>
      <c r="I120" s="71"/>
    </row>
    <row r="121" spans="1:9" x14ac:dyDescent="0.25">
      <c r="A121" s="50">
        <v>366740174</v>
      </c>
      <c r="B121" s="33" t="s">
        <v>32</v>
      </c>
      <c r="C121" s="55">
        <f>32855+(8*364)</f>
        <v>35767</v>
      </c>
      <c r="D121" s="51">
        <f t="shared" ca="1" si="1"/>
        <v>18</v>
      </c>
      <c r="E121" s="31"/>
      <c r="F121" s="52">
        <v>1</v>
      </c>
      <c r="G121" s="38">
        <v>103505</v>
      </c>
      <c r="H121" s="72"/>
      <c r="I121" s="71"/>
    </row>
    <row r="122" spans="1:9" x14ac:dyDescent="0.25">
      <c r="A122" s="50">
        <v>369210573</v>
      </c>
      <c r="B122" s="33" t="s">
        <v>44</v>
      </c>
      <c r="C122" s="55">
        <f>34907+(8*364)</f>
        <v>37819</v>
      </c>
      <c r="D122" s="51">
        <f t="shared" ca="1" si="1"/>
        <v>12</v>
      </c>
      <c r="E122" s="31" t="s">
        <v>46</v>
      </c>
      <c r="F122" s="52">
        <v>4</v>
      </c>
      <c r="G122" s="38">
        <v>82180</v>
      </c>
      <c r="H122" s="72"/>
      <c r="I122" s="71"/>
    </row>
    <row r="123" spans="1:9" x14ac:dyDescent="0.25">
      <c r="A123" s="50">
        <v>370608224</v>
      </c>
      <c r="B123" s="33" t="s">
        <v>64</v>
      </c>
      <c r="C123" s="55">
        <f>36097+(8*364)</f>
        <v>39009</v>
      </c>
      <c r="D123" s="51">
        <f t="shared" ca="1" si="1"/>
        <v>9</v>
      </c>
      <c r="E123" s="31" t="s">
        <v>33</v>
      </c>
      <c r="F123" s="52">
        <v>5</v>
      </c>
      <c r="G123" s="38">
        <v>42820</v>
      </c>
      <c r="H123" s="72"/>
      <c r="I123" s="71"/>
    </row>
    <row r="124" spans="1:9" x14ac:dyDescent="0.25">
      <c r="A124" s="50">
        <v>372693786</v>
      </c>
      <c r="B124" s="33" t="s">
        <v>58</v>
      </c>
      <c r="C124" s="55">
        <f>35828+(8*364)</f>
        <v>38740</v>
      </c>
      <c r="D124" s="51">
        <f t="shared" ca="1" si="1"/>
        <v>9</v>
      </c>
      <c r="E124" s="31" t="s">
        <v>60</v>
      </c>
      <c r="F124" s="52">
        <v>1</v>
      </c>
      <c r="G124" s="38">
        <v>52857</v>
      </c>
      <c r="H124" s="72"/>
      <c r="I124" s="71"/>
    </row>
    <row r="125" spans="1:9" x14ac:dyDescent="0.25">
      <c r="A125" s="50">
        <v>375875723</v>
      </c>
      <c r="B125" s="33" t="s">
        <v>42</v>
      </c>
      <c r="C125" s="55">
        <f>33413+(8*364)</f>
        <v>36325</v>
      </c>
      <c r="D125" s="51">
        <f t="shared" ca="1" si="1"/>
        <v>16</v>
      </c>
      <c r="E125" s="31"/>
      <c r="F125" s="52">
        <v>3</v>
      </c>
      <c r="G125" s="38">
        <v>74072</v>
      </c>
      <c r="H125" s="72"/>
      <c r="I125" s="71"/>
    </row>
    <row r="126" spans="1:9" x14ac:dyDescent="0.25">
      <c r="A126" s="50">
        <v>378189642</v>
      </c>
      <c r="B126" s="33" t="s">
        <v>32</v>
      </c>
      <c r="C126" s="55">
        <f>36589+(8*364)</f>
        <v>39501</v>
      </c>
      <c r="D126" s="51">
        <f t="shared" ca="1" si="1"/>
        <v>7</v>
      </c>
      <c r="E126" s="31"/>
      <c r="F126" s="52">
        <v>5</v>
      </c>
      <c r="G126" s="38">
        <v>50210</v>
      </c>
      <c r="H126" s="72"/>
      <c r="I126" s="71"/>
    </row>
    <row r="127" spans="1:9" x14ac:dyDescent="0.25">
      <c r="A127" s="50">
        <v>378281658</v>
      </c>
      <c r="B127" s="33" t="s">
        <v>32</v>
      </c>
      <c r="C127" s="55">
        <f>36763+(8*364)</f>
        <v>39675</v>
      </c>
      <c r="D127" s="51">
        <f t="shared" ca="1" si="1"/>
        <v>7</v>
      </c>
      <c r="E127" s="31"/>
      <c r="F127" s="52">
        <v>2</v>
      </c>
      <c r="G127" s="38">
        <v>71417</v>
      </c>
      <c r="H127" s="72"/>
      <c r="I127" s="71"/>
    </row>
    <row r="128" spans="1:9" x14ac:dyDescent="0.25">
      <c r="A128" s="50">
        <v>378882665</v>
      </c>
      <c r="B128" s="33" t="s">
        <v>44</v>
      </c>
      <c r="C128" s="55">
        <f>32361+(8*364)</f>
        <v>35273</v>
      </c>
      <c r="D128" s="51">
        <f t="shared" ca="1" si="1"/>
        <v>19</v>
      </c>
      <c r="E128" s="31" t="s">
        <v>33</v>
      </c>
      <c r="F128" s="52">
        <v>3</v>
      </c>
      <c r="G128" s="38">
        <v>82657</v>
      </c>
      <c r="H128" s="72"/>
      <c r="I128" s="71"/>
    </row>
    <row r="129" spans="1:9" x14ac:dyDescent="0.25">
      <c r="A129" s="50">
        <v>379340654</v>
      </c>
      <c r="B129" s="33" t="s">
        <v>44</v>
      </c>
      <c r="C129" s="55">
        <f>34680+(8*364)</f>
        <v>37592</v>
      </c>
      <c r="D129" s="51">
        <f t="shared" ca="1" si="1"/>
        <v>13</v>
      </c>
      <c r="E129" s="31" t="s">
        <v>53</v>
      </c>
      <c r="F129" s="52">
        <v>1</v>
      </c>
      <c r="G129" s="38">
        <v>42943</v>
      </c>
      <c r="H129" s="72"/>
      <c r="I129" s="71"/>
    </row>
    <row r="130" spans="1:9" x14ac:dyDescent="0.25">
      <c r="A130" s="50">
        <v>380343690</v>
      </c>
      <c r="B130" s="33" t="s">
        <v>64</v>
      </c>
      <c r="C130" s="55">
        <f>38982+(8*364)</f>
        <v>41894</v>
      </c>
      <c r="D130" s="51">
        <f t="shared" ref="D130:D193" ca="1" si="2">DATEDIF(C130,TODAY(),"Y")</f>
        <v>1</v>
      </c>
      <c r="E130" s="31"/>
      <c r="F130" s="52">
        <v>2</v>
      </c>
      <c r="G130" s="38">
        <v>103732</v>
      </c>
      <c r="H130" s="72"/>
      <c r="I130" s="71"/>
    </row>
    <row r="131" spans="1:9" x14ac:dyDescent="0.25">
      <c r="A131" s="50">
        <v>380653169</v>
      </c>
      <c r="B131" s="33" t="s">
        <v>32</v>
      </c>
      <c r="C131" s="55">
        <f>32841+(8*364)</f>
        <v>35753</v>
      </c>
      <c r="D131" s="51">
        <f t="shared" ca="1" si="2"/>
        <v>18</v>
      </c>
      <c r="E131" s="31" t="s">
        <v>46</v>
      </c>
      <c r="F131" s="52">
        <v>2</v>
      </c>
      <c r="G131" s="38">
        <v>63306</v>
      </c>
      <c r="H131" s="72"/>
      <c r="I131" s="71"/>
    </row>
    <row r="132" spans="1:9" x14ac:dyDescent="0.25">
      <c r="A132" s="50">
        <v>383616821</v>
      </c>
      <c r="B132" s="33" t="s">
        <v>62</v>
      </c>
      <c r="C132" s="55">
        <f>39074+(8*364)</f>
        <v>41986</v>
      </c>
      <c r="D132" s="51">
        <f t="shared" ca="1" si="2"/>
        <v>0</v>
      </c>
      <c r="E132" s="31" t="s">
        <v>33</v>
      </c>
      <c r="F132" s="52">
        <v>1</v>
      </c>
      <c r="G132" s="38">
        <v>103066</v>
      </c>
      <c r="H132" s="72"/>
      <c r="I132" s="71"/>
    </row>
    <row r="133" spans="1:9" x14ac:dyDescent="0.25">
      <c r="A133" s="50">
        <v>385074661</v>
      </c>
      <c r="B133" s="33" t="s">
        <v>58</v>
      </c>
      <c r="C133" s="55">
        <f>33565+(8*364)</f>
        <v>36477</v>
      </c>
      <c r="D133" s="51">
        <f t="shared" ca="1" si="2"/>
        <v>16</v>
      </c>
      <c r="E133" s="31" t="s">
        <v>53</v>
      </c>
      <c r="F133" s="52">
        <v>2</v>
      </c>
      <c r="G133" s="38">
        <v>62202</v>
      </c>
      <c r="H133" s="72"/>
      <c r="I133" s="71"/>
    </row>
    <row r="134" spans="1:9" x14ac:dyDescent="0.25">
      <c r="A134" s="50">
        <v>387131597</v>
      </c>
      <c r="B134" s="33" t="s">
        <v>44</v>
      </c>
      <c r="C134" s="55">
        <f>32205+(8*364)</f>
        <v>35117</v>
      </c>
      <c r="D134" s="51">
        <f t="shared" ca="1" si="2"/>
        <v>19</v>
      </c>
      <c r="E134" s="31"/>
      <c r="F134" s="52">
        <v>1</v>
      </c>
      <c r="G134" s="38">
        <v>70942</v>
      </c>
      <c r="H134" s="72"/>
      <c r="I134" s="71"/>
    </row>
    <row r="135" spans="1:9" x14ac:dyDescent="0.25">
      <c r="A135" s="50">
        <v>393051351</v>
      </c>
      <c r="B135" s="33" t="s">
        <v>48</v>
      </c>
      <c r="C135" s="55">
        <f>33876+(8*364)</f>
        <v>36788</v>
      </c>
      <c r="D135" s="51">
        <f t="shared" ca="1" si="2"/>
        <v>15</v>
      </c>
      <c r="E135" s="31" t="s">
        <v>53</v>
      </c>
      <c r="F135" s="52">
        <v>2</v>
      </c>
      <c r="G135" s="38">
        <v>108058</v>
      </c>
      <c r="H135" s="72"/>
      <c r="I135" s="71"/>
    </row>
    <row r="136" spans="1:9" x14ac:dyDescent="0.25">
      <c r="A136" s="50">
        <v>393393249</v>
      </c>
      <c r="B136" s="33" t="s">
        <v>59</v>
      </c>
      <c r="C136" s="55">
        <f>35160+(8*364)</f>
        <v>38072</v>
      </c>
      <c r="D136" s="51">
        <f t="shared" ca="1" si="2"/>
        <v>11</v>
      </c>
      <c r="E136" s="31"/>
      <c r="F136" s="52">
        <v>3</v>
      </c>
      <c r="G136" s="38">
        <v>95846</v>
      </c>
      <c r="H136" s="72"/>
      <c r="I136" s="71"/>
    </row>
    <row r="137" spans="1:9" x14ac:dyDescent="0.25">
      <c r="A137" s="50">
        <v>396727504</v>
      </c>
      <c r="B137" s="33" t="s">
        <v>32</v>
      </c>
      <c r="C137" s="55">
        <f>35290+(8*364)</f>
        <v>38202</v>
      </c>
      <c r="D137" s="51">
        <f t="shared" ca="1" si="2"/>
        <v>11</v>
      </c>
      <c r="E137" s="31"/>
      <c r="F137" s="52">
        <v>2</v>
      </c>
      <c r="G137" s="38">
        <v>43882</v>
      </c>
      <c r="H137" s="72"/>
      <c r="I137" s="71"/>
    </row>
    <row r="138" spans="1:9" x14ac:dyDescent="0.25">
      <c r="A138" s="50">
        <v>397835298</v>
      </c>
      <c r="B138" s="33" t="s">
        <v>66</v>
      </c>
      <c r="C138" s="55">
        <f>39062+(8*364)</f>
        <v>41974</v>
      </c>
      <c r="D138" s="51">
        <f t="shared" ca="1" si="2"/>
        <v>1</v>
      </c>
      <c r="E138" s="31"/>
      <c r="F138" s="52">
        <v>4</v>
      </c>
      <c r="G138" s="38">
        <v>39196</v>
      </c>
      <c r="H138" s="72"/>
      <c r="I138" s="71"/>
    </row>
    <row r="139" spans="1:9" x14ac:dyDescent="0.25">
      <c r="A139" s="50">
        <v>399060898</v>
      </c>
      <c r="B139" s="33" t="s">
        <v>32</v>
      </c>
      <c r="C139" s="55">
        <f>37011+(8*364)</f>
        <v>39923</v>
      </c>
      <c r="D139" s="51">
        <f t="shared" ca="1" si="2"/>
        <v>6</v>
      </c>
      <c r="E139" s="31"/>
      <c r="F139" s="52">
        <v>4</v>
      </c>
      <c r="G139" s="38">
        <v>88868</v>
      </c>
      <c r="H139" s="72"/>
      <c r="I139" s="71"/>
    </row>
    <row r="140" spans="1:9" x14ac:dyDescent="0.25">
      <c r="A140" s="50">
        <v>400260342</v>
      </c>
      <c r="B140" s="33" t="s">
        <v>58</v>
      </c>
      <c r="C140" s="55">
        <f>37973+(8*364)</f>
        <v>40885</v>
      </c>
      <c r="D140" s="51">
        <f t="shared" ca="1" si="2"/>
        <v>4</v>
      </c>
      <c r="E140" s="31"/>
      <c r="F140" s="52">
        <v>3</v>
      </c>
      <c r="G140" s="38">
        <v>102166</v>
      </c>
      <c r="H140" s="72"/>
      <c r="I140" s="71"/>
    </row>
    <row r="141" spans="1:9" x14ac:dyDescent="0.25">
      <c r="A141" s="50">
        <v>404589373</v>
      </c>
      <c r="B141" s="33" t="s">
        <v>35</v>
      </c>
      <c r="C141" s="55">
        <f>32718+(8*364)</f>
        <v>35630</v>
      </c>
      <c r="D141" s="51">
        <f t="shared" ca="1" si="2"/>
        <v>18</v>
      </c>
      <c r="E141" s="31" t="s">
        <v>46</v>
      </c>
      <c r="F141" s="52">
        <v>2</v>
      </c>
      <c r="G141" s="38">
        <v>113567</v>
      </c>
      <c r="H141" s="72"/>
      <c r="I141" s="71"/>
    </row>
    <row r="142" spans="1:9" x14ac:dyDescent="0.25">
      <c r="A142" s="50">
        <v>405297884</v>
      </c>
      <c r="B142" s="33" t="s">
        <v>57</v>
      </c>
      <c r="C142" s="55">
        <f>31761+(8*364)</f>
        <v>34673</v>
      </c>
      <c r="D142" s="51">
        <f t="shared" ca="1" si="2"/>
        <v>21</v>
      </c>
      <c r="E142" s="31" t="s">
        <v>46</v>
      </c>
      <c r="F142" s="52">
        <v>1</v>
      </c>
      <c r="G142" s="38">
        <v>75878</v>
      </c>
      <c r="H142" s="72"/>
      <c r="I142" s="71"/>
    </row>
    <row r="143" spans="1:9" x14ac:dyDescent="0.25">
      <c r="A143" s="50">
        <v>411058865</v>
      </c>
      <c r="B143" s="33" t="s">
        <v>59</v>
      </c>
      <c r="C143" s="55">
        <f>35698+(8*364)</f>
        <v>38610</v>
      </c>
      <c r="D143" s="51">
        <f t="shared" ca="1" si="2"/>
        <v>10</v>
      </c>
      <c r="E143" s="31" t="s">
        <v>33</v>
      </c>
      <c r="F143" s="52">
        <v>4</v>
      </c>
      <c r="G143" s="38">
        <v>102259</v>
      </c>
      <c r="H143" s="72"/>
      <c r="I143" s="71"/>
    </row>
    <row r="144" spans="1:9" x14ac:dyDescent="0.25">
      <c r="A144" s="50">
        <v>412611335</v>
      </c>
      <c r="B144" s="33" t="s">
        <v>32</v>
      </c>
      <c r="C144" s="55">
        <f>37197+(8*364)</f>
        <v>40109</v>
      </c>
      <c r="D144" s="51">
        <f t="shared" ca="1" si="2"/>
        <v>6</v>
      </c>
      <c r="E144" s="31"/>
      <c r="F144" s="52">
        <v>2</v>
      </c>
      <c r="G144" s="38">
        <v>63514</v>
      </c>
      <c r="H144" s="72"/>
      <c r="I144" s="71"/>
    </row>
    <row r="145" spans="1:9" x14ac:dyDescent="0.25">
      <c r="A145" s="50">
        <v>415076748</v>
      </c>
      <c r="B145" s="33" t="s">
        <v>68</v>
      </c>
      <c r="C145" s="55">
        <f>32172+(8*364)</f>
        <v>35084</v>
      </c>
      <c r="D145" s="51">
        <f t="shared" ca="1" si="2"/>
        <v>19</v>
      </c>
      <c r="E145" s="31" t="s">
        <v>33</v>
      </c>
      <c r="F145" s="52">
        <v>3</v>
      </c>
      <c r="G145" s="38">
        <v>40748</v>
      </c>
      <c r="H145" s="72"/>
      <c r="I145" s="71"/>
    </row>
    <row r="146" spans="1:9" x14ac:dyDescent="0.25">
      <c r="A146" s="50">
        <v>415299442</v>
      </c>
      <c r="B146" s="33" t="s">
        <v>32</v>
      </c>
      <c r="C146" s="55">
        <f>38386+(8*364)</f>
        <v>41298</v>
      </c>
      <c r="D146" s="51">
        <f t="shared" ca="1" si="2"/>
        <v>2</v>
      </c>
      <c r="E146" s="31" t="s">
        <v>33</v>
      </c>
      <c r="F146" s="52">
        <v>3</v>
      </c>
      <c r="G146" s="38">
        <v>88586</v>
      </c>
      <c r="H146" s="72"/>
      <c r="I146" s="71"/>
    </row>
    <row r="147" spans="1:9" x14ac:dyDescent="0.25">
      <c r="A147" s="50">
        <v>416394493</v>
      </c>
      <c r="B147" s="33" t="s">
        <v>32</v>
      </c>
      <c r="C147" s="55">
        <f>34628+(8*364)</f>
        <v>37540</v>
      </c>
      <c r="D147" s="51">
        <f t="shared" ca="1" si="2"/>
        <v>13</v>
      </c>
      <c r="E147" s="31" t="s">
        <v>49</v>
      </c>
      <c r="F147" s="52">
        <v>5</v>
      </c>
      <c r="G147" s="38">
        <v>97321</v>
      </c>
      <c r="H147" s="72"/>
      <c r="I147" s="71"/>
    </row>
    <row r="148" spans="1:9" x14ac:dyDescent="0.25">
      <c r="A148" s="50">
        <v>420739404</v>
      </c>
      <c r="B148" s="33" t="s">
        <v>35</v>
      </c>
      <c r="C148" s="55">
        <f>31959+(8*364)</f>
        <v>34871</v>
      </c>
      <c r="D148" s="51">
        <f t="shared" ca="1" si="2"/>
        <v>20</v>
      </c>
      <c r="E148" s="31" t="s">
        <v>46</v>
      </c>
      <c r="F148" s="52">
        <v>1</v>
      </c>
      <c r="G148" s="38">
        <v>59035</v>
      </c>
      <c r="H148" s="72"/>
      <c r="I148" s="71"/>
    </row>
    <row r="149" spans="1:9" x14ac:dyDescent="0.25">
      <c r="A149" s="50">
        <v>422463024</v>
      </c>
      <c r="B149" s="33" t="s">
        <v>44</v>
      </c>
      <c r="C149" s="55">
        <f>33383+(8*364)</f>
        <v>36295</v>
      </c>
      <c r="D149" s="51">
        <f t="shared" ca="1" si="2"/>
        <v>16</v>
      </c>
      <c r="E149" s="31" t="s">
        <v>60</v>
      </c>
      <c r="F149" s="52">
        <v>2</v>
      </c>
      <c r="G149" s="38">
        <v>104216</v>
      </c>
      <c r="H149" s="72"/>
      <c r="I149" s="71"/>
    </row>
    <row r="150" spans="1:9" x14ac:dyDescent="0.25">
      <c r="A150" s="50">
        <v>422957475</v>
      </c>
      <c r="B150" s="33" t="s">
        <v>58</v>
      </c>
      <c r="C150" s="55">
        <f>32867+(8*364)</f>
        <v>35779</v>
      </c>
      <c r="D150" s="51">
        <f t="shared" ca="1" si="2"/>
        <v>17</v>
      </c>
      <c r="E150" s="31" t="s">
        <v>46</v>
      </c>
      <c r="F150" s="52">
        <v>2</v>
      </c>
      <c r="G150" s="38">
        <v>50814</v>
      </c>
      <c r="H150" s="72"/>
      <c r="I150" s="71"/>
    </row>
    <row r="151" spans="1:9" x14ac:dyDescent="0.25">
      <c r="A151" s="50">
        <v>424800509</v>
      </c>
      <c r="B151" s="33" t="s">
        <v>58</v>
      </c>
      <c r="C151" s="55">
        <f>35153+(8*364)</f>
        <v>38065</v>
      </c>
      <c r="D151" s="51">
        <f t="shared" ca="1" si="2"/>
        <v>11</v>
      </c>
      <c r="E151" s="31" t="s">
        <v>33</v>
      </c>
      <c r="F151" s="52">
        <v>3</v>
      </c>
      <c r="G151" s="38">
        <v>104329</v>
      </c>
      <c r="H151" s="72"/>
      <c r="I151" s="71"/>
    </row>
    <row r="152" spans="1:9" x14ac:dyDescent="0.25">
      <c r="A152" s="50">
        <v>425598783</v>
      </c>
      <c r="B152" s="33" t="s">
        <v>48</v>
      </c>
      <c r="C152" s="55">
        <f>33760+(8*364)</f>
        <v>36672</v>
      </c>
      <c r="D152" s="51">
        <f t="shared" ca="1" si="2"/>
        <v>15</v>
      </c>
      <c r="E152" s="31" t="s">
        <v>53</v>
      </c>
      <c r="F152" s="52">
        <v>3</v>
      </c>
      <c r="G152" s="38">
        <v>102359</v>
      </c>
      <c r="H152" s="72"/>
      <c r="I152" s="71"/>
    </row>
    <row r="153" spans="1:9" x14ac:dyDescent="0.25">
      <c r="A153" s="50">
        <v>425943144</v>
      </c>
      <c r="B153" s="33" t="s">
        <v>55</v>
      </c>
      <c r="C153" s="55">
        <f>33098+(8*364)</f>
        <v>36010</v>
      </c>
      <c r="D153" s="51">
        <f t="shared" ca="1" si="2"/>
        <v>17</v>
      </c>
      <c r="E153" s="31"/>
      <c r="F153" s="52">
        <v>2</v>
      </c>
      <c r="G153" s="38">
        <v>64724</v>
      </c>
      <c r="H153" s="72"/>
      <c r="I153" s="71"/>
    </row>
    <row r="154" spans="1:9" x14ac:dyDescent="0.25">
      <c r="A154" s="50">
        <v>426812736</v>
      </c>
      <c r="B154" s="33" t="s">
        <v>42</v>
      </c>
      <c r="C154" s="55">
        <f>32849+(8*364)</f>
        <v>35761</v>
      </c>
      <c r="D154" s="51">
        <f t="shared" ca="1" si="2"/>
        <v>18</v>
      </c>
      <c r="E154" s="31"/>
      <c r="F154" s="52">
        <v>3</v>
      </c>
      <c r="G154" s="38">
        <v>68737</v>
      </c>
      <c r="H154" s="72"/>
      <c r="I154" s="71"/>
    </row>
    <row r="155" spans="1:9" x14ac:dyDescent="0.25">
      <c r="A155" s="50">
        <v>427260216</v>
      </c>
      <c r="B155" s="33" t="s">
        <v>32</v>
      </c>
      <c r="C155" s="55">
        <f>32853+(8*364)</f>
        <v>35765</v>
      </c>
      <c r="D155" s="51">
        <f t="shared" ca="1" si="2"/>
        <v>18</v>
      </c>
      <c r="E155" s="31" t="s">
        <v>60</v>
      </c>
      <c r="F155" s="52">
        <v>4</v>
      </c>
      <c r="G155" s="38">
        <v>113509</v>
      </c>
      <c r="H155" s="72"/>
      <c r="I155" s="71"/>
    </row>
    <row r="156" spans="1:9" x14ac:dyDescent="0.25">
      <c r="A156" s="50">
        <v>427811310</v>
      </c>
      <c r="B156" s="33" t="s">
        <v>59</v>
      </c>
      <c r="C156" s="55">
        <f>33945+(8*364)</f>
        <v>36857</v>
      </c>
      <c r="D156" s="51">
        <f t="shared" ca="1" si="2"/>
        <v>15</v>
      </c>
      <c r="E156" s="31"/>
      <c r="F156" s="52">
        <v>5</v>
      </c>
      <c r="G156" s="38">
        <v>97648</v>
      </c>
      <c r="H156" s="72"/>
      <c r="I156" s="71"/>
    </row>
    <row r="157" spans="1:9" x14ac:dyDescent="0.25">
      <c r="A157" s="50">
        <v>429283827</v>
      </c>
      <c r="B157" s="33" t="s">
        <v>48</v>
      </c>
      <c r="C157" s="55">
        <f>35333+(8*364)</f>
        <v>38245</v>
      </c>
      <c r="D157" s="51">
        <f t="shared" ca="1" si="2"/>
        <v>11</v>
      </c>
      <c r="E157" s="31" t="s">
        <v>46</v>
      </c>
      <c r="F157" s="52">
        <v>2</v>
      </c>
      <c r="G157" s="38">
        <v>42742</v>
      </c>
      <c r="H157" s="72"/>
      <c r="I157" s="71"/>
    </row>
    <row r="158" spans="1:9" x14ac:dyDescent="0.25">
      <c r="A158" s="50">
        <v>433314045</v>
      </c>
      <c r="B158" s="33" t="s">
        <v>44</v>
      </c>
      <c r="C158" s="55">
        <f>32328+(8*364)</f>
        <v>35240</v>
      </c>
      <c r="D158" s="51">
        <f t="shared" ca="1" si="2"/>
        <v>19</v>
      </c>
      <c r="E158" s="31"/>
      <c r="F158" s="52">
        <v>3</v>
      </c>
      <c r="G158" s="38">
        <v>109926</v>
      </c>
      <c r="H158" s="72"/>
      <c r="I158" s="71"/>
    </row>
    <row r="159" spans="1:9" x14ac:dyDescent="0.25">
      <c r="A159" s="50">
        <v>436693732</v>
      </c>
      <c r="B159" s="33" t="s">
        <v>59</v>
      </c>
      <c r="C159" s="55">
        <f>35866+(8*364)</f>
        <v>38778</v>
      </c>
      <c r="D159" s="51">
        <f t="shared" ca="1" si="2"/>
        <v>9</v>
      </c>
      <c r="E159" s="31" t="s">
        <v>49</v>
      </c>
      <c r="F159" s="52">
        <v>2</v>
      </c>
      <c r="G159" s="38">
        <v>66957</v>
      </c>
      <c r="H159" s="72"/>
      <c r="I159" s="71"/>
    </row>
    <row r="160" spans="1:9" x14ac:dyDescent="0.25">
      <c r="A160" s="50">
        <v>443926890</v>
      </c>
      <c r="B160" s="33" t="s">
        <v>37</v>
      </c>
      <c r="C160" s="55">
        <f>36374+(8*364)</f>
        <v>39286</v>
      </c>
      <c r="D160" s="51">
        <f t="shared" ca="1" si="2"/>
        <v>8</v>
      </c>
      <c r="E160" s="31" t="s">
        <v>46</v>
      </c>
      <c r="F160" s="52">
        <v>5</v>
      </c>
      <c r="G160" s="38">
        <v>60577</v>
      </c>
      <c r="H160" s="72"/>
      <c r="I160" s="71"/>
    </row>
    <row r="161" spans="1:9" x14ac:dyDescent="0.25">
      <c r="A161" s="50">
        <v>445693854</v>
      </c>
      <c r="B161" s="33" t="s">
        <v>44</v>
      </c>
      <c r="C161" s="55">
        <f>33605+(8*364)</f>
        <v>36517</v>
      </c>
      <c r="D161" s="51">
        <f t="shared" ca="1" si="2"/>
        <v>15</v>
      </c>
      <c r="E161" s="31"/>
      <c r="F161" s="52">
        <v>5</v>
      </c>
      <c r="G161" s="38">
        <v>60683</v>
      </c>
      <c r="H161" s="72"/>
      <c r="I161" s="71"/>
    </row>
    <row r="162" spans="1:9" x14ac:dyDescent="0.25">
      <c r="A162" s="50">
        <v>458734969</v>
      </c>
      <c r="B162" s="33" t="s">
        <v>42</v>
      </c>
      <c r="C162" s="55">
        <f>38418+(8*364)</f>
        <v>41330</v>
      </c>
      <c r="D162" s="51">
        <f t="shared" ca="1" si="2"/>
        <v>2</v>
      </c>
      <c r="E162" s="31" t="s">
        <v>33</v>
      </c>
      <c r="F162" s="52">
        <v>5</v>
      </c>
      <c r="G162" s="38">
        <v>104452</v>
      </c>
      <c r="H162" s="72"/>
      <c r="I162" s="71"/>
    </row>
    <row r="163" spans="1:9" x14ac:dyDescent="0.25">
      <c r="A163" s="50">
        <v>466400098</v>
      </c>
      <c r="B163" s="33" t="s">
        <v>58</v>
      </c>
      <c r="C163" s="55">
        <f>32744+(8*364)</f>
        <v>35656</v>
      </c>
      <c r="D163" s="51">
        <f t="shared" ca="1" si="2"/>
        <v>18</v>
      </c>
      <c r="E163" s="31"/>
      <c r="F163" s="52">
        <v>5</v>
      </c>
      <c r="G163" s="38">
        <v>58810</v>
      </c>
      <c r="H163" s="72"/>
      <c r="I163" s="71"/>
    </row>
    <row r="164" spans="1:9" x14ac:dyDescent="0.25">
      <c r="A164" s="50">
        <v>467030396</v>
      </c>
      <c r="B164" s="33" t="s">
        <v>32</v>
      </c>
      <c r="C164" s="55">
        <f>32410+(8*364)</f>
        <v>35322</v>
      </c>
      <c r="D164" s="51">
        <f t="shared" ca="1" si="2"/>
        <v>19</v>
      </c>
      <c r="E164" s="31" t="s">
        <v>46</v>
      </c>
      <c r="F164" s="52">
        <v>1</v>
      </c>
      <c r="G164" s="38">
        <v>69149</v>
      </c>
      <c r="H164" s="72"/>
      <c r="I164" s="71"/>
    </row>
    <row r="165" spans="1:9" x14ac:dyDescent="0.25">
      <c r="A165" s="50">
        <v>468053610</v>
      </c>
      <c r="B165" s="33" t="s">
        <v>32</v>
      </c>
      <c r="C165" s="55">
        <f>36199+(8*364)</f>
        <v>39111</v>
      </c>
      <c r="D165" s="51">
        <f t="shared" ca="1" si="2"/>
        <v>8</v>
      </c>
      <c r="E165" s="31" t="s">
        <v>46</v>
      </c>
      <c r="F165" s="52">
        <v>3</v>
      </c>
      <c r="G165" s="38">
        <v>103170</v>
      </c>
      <c r="H165" s="72"/>
      <c r="I165" s="71"/>
    </row>
    <row r="166" spans="1:9" x14ac:dyDescent="0.25">
      <c r="A166" s="50">
        <v>470719383</v>
      </c>
      <c r="B166" s="33" t="s">
        <v>32</v>
      </c>
      <c r="C166" s="55">
        <f>34699+(8*364)</f>
        <v>37611</v>
      </c>
      <c r="D166" s="51">
        <f t="shared" ca="1" si="2"/>
        <v>12</v>
      </c>
      <c r="E166" s="31" t="s">
        <v>33</v>
      </c>
      <c r="F166" s="52">
        <v>5</v>
      </c>
      <c r="G166" s="38">
        <v>52200</v>
      </c>
      <c r="H166" s="72"/>
      <c r="I166" s="71"/>
    </row>
    <row r="167" spans="1:9" x14ac:dyDescent="0.25">
      <c r="A167" s="50">
        <v>470935648</v>
      </c>
      <c r="B167" s="33" t="s">
        <v>32</v>
      </c>
      <c r="C167" s="55">
        <f>37227+(8*364)</f>
        <v>40139</v>
      </c>
      <c r="D167" s="51">
        <f t="shared" ca="1" si="2"/>
        <v>6</v>
      </c>
      <c r="E167" s="31"/>
      <c r="F167" s="52">
        <v>1</v>
      </c>
      <c r="G167" s="38">
        <v>113850</v>
      </c>
      <c r="H167" s="72"/>
      <c r="I167" s="71"/>
    </row>
    <row r="168" spans="1:9" x14ac:dyDescent="0.25">
      <c r="A168" s="50">
        <v>471064761</v>
      </c>
      <c r="B168" s="33" t="s">
        <v>42</v>
      </c>
      <c r="C168" s="55">
        <f>33515+(8*364)</f>
        <v>36427</v>
      </c>
      <c r="D168" s="51">
        <f t="shared" ca="1" si="2"/>
        <v>16</v>
      </c>
      <c r="E168" s="31"/>
      <c r="F168" s="52">
        <v>4</v>
      </c>
      <c r="G168" s="38">
        <v>83288</v>
      </c>
      <c r="H168" s="72"/>
      <c r="I168" s="71"/>
    </row>
    <row r="169" spans="1:9" x14ac:dyDescent="0.25">
      <c r="A169" s="50">
        <v>474117484</v>
      </c>
      <c r="B169" s="33" t="s">
        <v>52</v>
      </c>
      <c r="C169" s="55">
        <f>32332+(8*364)</f>
        <v>35244</v>
      </c>
      <c r="D169" s="51">
        <f t="shared" ca="1" si="2"/>
        <v>19</v>
      </c>
      <c r="E169" s="31" t="s">
        <v>33</v>
      </c>
      <c r="F169" s="52">
        <v>4</v>
      </c>
      <c r="G169" s="38">
        <v>100201</v>
      </c>
      <c r="H169" s="72"/>
      <c r="I169" s="71"/>
    </row>
    <row r="170" spans="1:9" x14ac:dyDescent="0.25">
      <c r="A170" s="50">
        <v>474999228</v>
      </c>
      <c r="B170" s="33" t="s">
        <v>59</v>
      </c>
      <c r="C170" s="55">
        <f>34777+(8*364)</f>
        <v>37689</v>
      </c>
      <c r="D170" s="51">
        <f t="shared" ca="1" si="2"/>
        <v>12</v>
      </c>
      <c r="E170" s="31"/>
      <c r="F170" s="52">
        <v>1</v>
      </c>
      <c r="G170" s="38">
        <v>36280</v>
      </c>
      <c r="H170" s="72"/>
      <c r="I170" s="71"/>
    </row>
    <row r="171" spans="1:9" x14ac:dyDescent="0.25">
      <c r="A171" s="50">
        <v>475517002</v>
      </c>
      <c r="B171" s="33" t="s">
        <v>32</v>
      </c>
      <c r="C171" s="55">
        <f>35008+(8*364)</f>
        <v>37920</v>
      </c>
      <c r="D171" s="51">
        <f t="shared" ca="1" si="2"/>
        <v>12</v>
      </c>
      <c r="E171" s="31" t="s">
        <v>46</v>
      </c>
      <c r="F171" s="52">
        <v>1</v>
      </c>
      <c r="G171" s="38">
        <v>81416</v>
      </c>
      <c r="H171" s="72"/>
      <c r="I171" s="71"/>
    </row>
    <row r="172" spans="1:9" x14ac:dyDescent="0.25">
      <c r="A172" s="50">
        <v>475671127</v>
      </c>
      <c r="B172" s="33" t="s">
        <v>44</v>
      </c>
      <c r="C172" s="55">
        <f>34648+(8*364)</f>
        <v>37560</v>
      </c>
      <c r="D172" s="51">
        <f t="shared" ca="1" si="2"/>
        <v>13</v>
      </c>
      <c r="E172" s="31" t="s">
        <v>46</v>
      </c>
      <c r="F172" s="52">
        <v>4</v>
      </c>
      <c r="G172" s="38">
        <v>53752</v>
      </c>
      <c r="H172" s="72"/>
      <c r="I172" s="71"/>
    </row>
    <row r="173" spans="1:9" x14ac:dyDescent="0.25">
      <c r="A173" s="50">
        <v>477110649</v>
      </c>
      <c r="B173" s="33" t="s">
        <v>69</v>
      </c>
      <c r="C173" s="55">
        <f>35733+(8*364)</f>
        <v>38645</v>
      </c>
      <c r="D173" s="51">
        <f t="shared" ca="1" si="2"/>
        <v>10</v>
      </c>
      <c r="E173" s="31" t="s">
        <v>60</v>
      </c>
      <c r="F173" s="52">
        <v>1</v>
      </c>
      <c r="G173" s="38">
        <v>81752</v>
      </c>
      <c r="H173" s="72"/>
      <c r="I173" s="71"/>
    </row>
    <row r="174" spans="1:9" x14ac:dyDescent="0.25">
      <c r="A174" s="50">
        <v>478004556</v>
      </c>
      <c r="B174" s="33" t="s">
        <v>66</v>
      </c>
      <c r="C174" s="55">
        <f>39223+(8*364)</f>
        <v>42135</v>
      </c>
      <c r="D174" s="51">
        <f t="shared" ca="1" si="2"/>
        <v>0</v>
      </c>
      <c r="E174" s="31" t="s">
        <v>53</v>
      </c>
      <c r="F174" s="52">
        <v>2</v>
      </c>
      <c r="G174" s="38">
        <v>68792</v>
      </c>
      <c r="H174" s="72"/>
      <c r="I174" s="71"/>
    </row>
    <row r="175" spans="1:9" x14ac:dyDescent="0.25">
      <c r="A175" s="50">
        <v>482927373</v>
      </c>
      <c r="B175" s="33" t="s">
        <v>32</v>
      </c>
      <c r="C175" s="55">
        <f>34216+(8*364)</f>
        <v>37128</v>
      </c>
      <c r="D175" s="51">
        <f t="shared" ca="1" si="2"/>
        <v>14</v>
      </c>
      <c r="E175" s="31" t="s">
        <v>46</v>
      </c>
      <c r="F175" s="52">
        <v>2</v>
      </c>
      <c r="G175" s="38">
        <v>42225</v>
      </c>
      <c r="H175" s="72"/>
      <c r="I175" s="71"/>
    </row>
    <row r="176" spans="1:9" x14ac:dyDescent="0.25">
      <c r="A176" s="50">
        <v>483483618</v>
      </c>
      <c r="B176" s="33" t="s">
        <v>42</v>
      </c>
      <c r="C176" s="55">
        <f>33827+(8*364)</f>
        <v>36739</v>
      </c>
      <c r="D176" s="51">
        <f t="shared" ca="1" si="2"/>
        <v>15</v>
      </c>
      <c r="E176" s="31" t="s">
        <v>46</v>
      </c>
      <c r="F176" s="52">
        <v>5</v>
      </c>
      <c r="G176" s="38">
        <v>65433</v>
      </c>
      <c r="H176" s="72"/>
      <c r="I176" s="71"/>
    </row>
    <row r="177" spans="1:9" x14ac:dyDescent="0.25">
      <c r="A177" s="50">
        <v>484217278</v>
      </c>
      <c r="B177" s="33" t="s">
        <v>32</v>
      </c>
      <c r="C177" s="55">
        <f>38437+(8*364)</f>
        <v>41349</v>
      </c>
      <c r="D177" s="51">
        <f t="shared" ca="1" si="2"/>
        <v>2</v>
      </c>
      <c r="E177" s="31"/>
      <c r="F177" s="52">
        <v>4</v>
      </c>
      <c r="G177" s="38">
        <v>82278</v>
      </c>
      <c r="H177" s="72"/>
      <c r="I177" s="71"/>
    </row>
    <row r="178" spans="1:9" x14ac:dyDescent="0.25">
      <c r="A178" s="50">
        <v>484442635</v>
      </c>
      <c r="B178" s="33" t="s">
        <v>44</v>
      </c>
      <c r="C178" s="55">
        <f>31857+(8*364)</f>
        <v>34769</v>
      </c>
      <c r="D178" s="51">
        <f t="shared" ca="1" si="2"/>
        <v>20</v>
      </c>
      <c r="E178" s="31"/>
      <c r="F178" s="52">
        <v>4</v>
      </c>
      <c r="G178" s="38">
        <v>96209</v>
      </c>
      <c r="H178" s="72"/>
      <c r="I178" s="71"/>
    </row>
    <row r="179" spans="1:9" x14ac:dyDescent="0.25">
      <c r="A179" s="50">
        <v>487810878</v>
      </c>
      <c r="B179" s="33" t="s">
        <v>32</v>
      </c>
      <c r="C179" s="55">
        <f>32758+(8*364)</f>
        <v>35670</v>
      </c>
      <c r="D179" s="51">
        <f t="shared" ca="1" si="2"/>
        <v>18</v>
      </c>
      <c r="E179" s="31" t="s">
        <v>46</v>
      </c>
      <c r="F179" s="52">
        <v>4</v>
      </c>
      <c r="G179" s="38">
        <v>79676</v>
      </c>
      <c r="H179" s="72"/>
      <c r="I179" s="71"/>
    </row>
    <row r="180" spans="1:9" x14ac:dyDescent="0.25">
      <c r="A180" s="50">
        <v>489013842</v>
      </c>
      <c r="B180" s="33" t="s">
        <v>52</v>
      </c>
      <c r="C180" s="55">
        <f>35385+(8*364)</f>
        <v>38297</v>
      </c>
      <c r="D180" s="51">
        <f t="shared" ca="1" si="2"/>
        <v>11</v>
      </c>
      <c r="E180" s="31" t="s">
        <v>46</v>
      </c>
      <c r="F180" s="52">
        <v>1</v>
      </c>
      <c r="G180" s="38">
        <v>100518</v>
      </c>
      <c r="H180" s="72"/>
      <c r="I180" s="71"/>
    </row>
    <row r="181" spans="1:9" x14ac:dyDescent="0.25">
      <c r="A181" s="50">
        <v>491830893</v>
      </c>
      <c r="B181" s="33" t="s">
        <v>35</v>
      </c>
      <c r="C181" s="55">
        <f>38768+(8*364)</f>
        <v>41680</v>
      </c>
      <c r="D181" s="51">
        <f t="shared" ca="1" si="2"/>
        <v>1</v>
      </c>
      <c r="E181" s="31" t="s">
        <v>46</v>
      </c>
      <c r="F181" s="52">
        <v>5</v>
      </c>
      <c r="G181" s="38">
        <v>86200</v>
      </c>
      <c r="H181" s="72"/>
      <c r="I181" s="71"/>
    </row>
    <row r="182" spans="1:9" x14ac:dyDescent="0.25">
      <c r="A182" s="50">
        <v>494754997</v>
      </c>
      <c r="B182" s="33" t="s">
        <v>44</v>
      </c>
      <c r="C182" s="55">
        <f>33416+(8*364)</f>
        <v>36328</v>
      </c>
      <c r="D182" s="51">
        <f t="shared" ca="1" si="2"/>
        <v>16</v>
      </c>
      <c r="E182" s="31"/>
      <c r="F182" s="52">
        <v>2</v>
      </c>
      <c r="G182" s="38">
        <v>113553</v>
      </c>
      <c r="H182" s="72"/>
      <c r="I182" s="71"/>
    </row>
    <row r="183" spans="1:9" x14ac:dyDescent="0.25">
      <c r="A183" s="50">
        <v>495042805</v>
      </c>
      <c r="B183" s="33" t="s">
        <v>39</v>
      </c>
      <c r="C183" s="55">
        <f>38943+(8*364)</f>
        <v>41855</v>
      </c>
      <c r="D183" s="51">
        <f t="shared" ca="1" si="2"/>
        <v>1</v>
      </c>
      <c r="E183" s="31"/>
      <c r="F183" s="52">
        <v>5</v>
      </c>
      <c r="G183" s="38">
        <v>87936</v>
      </c>
      <c r="H183" s="72"/>
      <c r="I183" s="71"/>
    </row>
    <row r="184" spans="1:9" x14ac:dyDescent="0.25">
      <c r="A184" s="50">
        <v>499124019</v>
      </c>
      <c r="B184" s="33" t="s">
        <v>58</v>
      </c>
      <c r="C184" s="55">
        <f>34811+(8*364)</f>
        <v>37723</v>
      </c>
      <c r="D184" s="51">
        <f t="shared" ca="1" si="2"/>
        <v>12</v>
      </c>
      <c r="E184" s="31" t="s">
        <v>46</v>
      </c>
      <c r="F184" s="52">
        <v>3</v>
      </c>
      <c r="G184" s="38">
        <v>107388</v>
      </c>
      <c r="H184" s="72"/>
      <c r="I184" s="71"/>
    </row>
    <row r="185" spans="1:9" x14ac:dyDescent="0.25">
      <c r="A185" s="50">
        <v>502580266</v>
      </c>
      <c r="B185" s="33" t="s">
        <v>42</v>
      </c>
      <c r="C185" s="55">
        <f>37336+(8*364)</f>
        <v>40248</v>
      </c>
      <c r="D185" s="51">
        <f t="shared" ca="1" si="2"/>
        <v>5</v>
      </c>
      <c r="E185" s="31"/>
      <c r="F185" s="52">
        <v>2</v>
      </c>
      <c r="G185" s="38">
        <v>108799</v>
      </c>
      <c r="H185" s="72"/>
      <c r="I185" s="71"/>
    </row>
    <row r="186" spans="1:9" x14ac:dyDescent="0.25">
      <c r="A186" s="50">
        <v>504735443</v>
      </c>
      <c r="B186" s="33" t="s">
        <v>59</v>
      </c>
      <c r="C186" s="55">
        <f>34592+(8*364)</f>
        <v>37504</v>
      </c>
      <c r="D186" s="51">
        <f t="shared" ca="1" si="2"/>
        <v>13</v>
      </c>
      <c r="E186" s="31"/>
      <c r="F186" s="52">
        <v>3</v>
      </c>
      <c r="G186" s="38">
        <v>60944</v>
      </c>
      <c r="H186" s="72"/>
      <c r="I186" s="71"/>
    </row>
    <row r="187" spans="1:9" x14ac:dyDescent="0.25">
      <c r="A187" s="50">
        <v>505680981</v>
      </c>
      <c r="B187" s="33" t="s">
        <v>44</v>
      </c>
      <c r="C187" s="55">
        <f>35828+(8*364)</f>
        <v>38740</v>
      </c>
      <c r="D187" s="51">
        <f t="shared" ca="1" si="2"/>
        <v>9</v>
      </c>
      <c r="E187" s="31" t="s">
        <v>33</v>
      </c>
      <c r="F187" s="52">
        <v>1</v>
      </c>
      <c r="G187" s="38">
        <v>62992</v>
      </c>
      <c r="H187" s="72"/>
      <c r="I187" s="71"/>
    </row>
    <row r="188" spans="1:9" x14ac:dyDescent="0.25">
      <c r="A188" s="50">
        <v>505966230</v>
      </c>
      <c r="B188" s="33" t="s">
        <v>32</v>
      </c>
      <c r="C188" s="55">
        <f>32683+(8*364)</f>
        <v>35595</v>
      </c>
      <c r="D188" s="51">
        <f t="shared" ca="1" si="2"/>
        <v>18</v>
      </c>
      <c r="E188" s="31" t="s">
        <v>46</v>
      </c>
      <c r="F188" s="52">
        <v>3</v>
      </c>
      <c r="G188" s="38">
        <v>65879</v>
      </c>
      <c r="H188" s="72"/>
      <c r="I188" s="71"/>
    </row>
    <row r="189" spans="1:9" x14ac:dyDescent="0.25">
      <c r="A189" s="50">
        <v>506165137</v>
      </c>
      <c r="B189" s="33" t="s">
        <v>58</v>
      </c>
      <c r="C189" s="55">
        <f>38773+(8*364)</f>
        <v>41685</v>
      </c>
      <c r="D189" s="51">
        <f t="shared" ca="1" si="2"/>
        <v>1</v>
      </c>
      <c r="E189" s="31" t="s">
        <v>46</v>
      </c>
      <c r="F189" s="52">
        <v>4</v>
      </c>
      <c r="G189" s="38">
        <v>57623</v>
      </c>
      <c r="H189" s="72"/>
      <c r="I189" s="71"/>
    </row>
    <row r="190" spans="1:9" x14ac:dyDescent="0.25">
      <c r="A190" s="50">
        <v>506577536</v>
      </c>
      <c r="B190" s="33" t="s">
        <v>32</v>
      </c>
      <c r="C190" s="55">
        <f>34995+(8*364)</f>
        <v>37907</v>
      </c>
      <c r="D190" s="51">
        <f t="shared" ca="1" si="2"/>
        <v>12</v>
      </c>
      <c r="E190" s="31"/>
      <c r="F190" s="52">
        <v>4</v>
      </c>
      <c r="G190" s="38">
        <v>68521</v>
      </c>
      <c r="H190" s="72"/>
      <c r="I190" s="71"/>
    </row>
    <row r="191" spans="1:9" x14ac:dyDescent="0.25">
      <c r="A191" s="50">
        <v>513140687</v>
      </c>
      <c r="B191" s="33" t="s">
        <v>59</v>
      </c>
      <c r="C191" s="55">
        <f>31918+(8*364)</f>
        <v>34830</v>
      </c>
      <c r="D191" s="51">
        <f t="shared" ca="1" si="2"/>
        <v>20</v>
      </c>
      <c r="E191" s="31"/>
      <c r="F191" s="52">
        <v>1</v>
      </c>
      <c r="G191" s="38">
        <v>43476</v>
      </c>
      <c r="H191" s="72"/>
      <c r="I191" s="71"/>
    </row>
    <row r="192" spans="1:9" x14ac:dyDescent="0.25">
      <c r="A192" s="50">
        <v>515543972</v>
      </c>
      <c r="B192" s="33" t="s">
        <v>65</v>
      </c>
      <c r="C192" s="55">
        <f>35309+(8*364)</f>
        <v>38221</v>
      </c>
      <c r="D192" s="51">
        <f t="shared" ca="1" si="2"/>
        <v>11</v>
      </c>
      <c r="E192" s="31" t="s">
        <v>49</v>
      </c>
      <c r="F192" s="52">
        <v>1</v>
      </c>
      <c r="G192" s="38">
        <v>66557</v>
      </c>
      <c r="H192" s="72"/>
      <c r="I192" s="71"/>
    </row>
    <row r="193" spans="1:9" x14ac:dyDescent="0.25">
      <c r="A193" s="50">
        <v>518009092</v>
      </c>
      <c r="B193" s="33" t="s">
        <v>35</v>
      </c>
      <c r="C193" s="55">
        <f>34559+(8*364)</f>
        <v>37471</v>
      </c>
      <c r="D193" s="51">
        <f t="shared" ca="1" si="2"/>
        <v>13</v>
      </c>
      <c r="E193" s="31"/>
      <c r="F193" s="52">
        <v>5</v>
      </c>
      <c r="G193" s="38">
        <v>36436</v>
      </c>
      <c r="H193" s="72"/>
      <c r="I193" s="71"/>
    </row>
    <row r="194" spans="1:9" x14ac:dyDescent="0.25">
      <c r="A194" s="50">
        <v>523758324</v>
      </c>
      <c r="B194" s="33" t="s">
        <v>32</v>
      </c>
      <c r="C194" s="55">
        <f>34051+(8*364)</f>
        <v>36963</v>
      </c>
      <c r="D194" s="51">
        <f t="shared" ref="D194:D257" ca="1" si="3">DATEDIF(C194,TODAY(),"Y")</f>
        <v>14</v>
      </c>
      <c r="E194" s="31" t="s">
        <v>33</v>
      </c>
      <c r="F194" s="52">
        <v>4</v>
      </c>
      <c r="G194" s="38">
        <v>76909</v>
      </c>
      <c r="H194" s="72"/>
      <c r="I194" s="71"/>
    </row>
    <row r="195" spans="1:9" x14ac:dyDescent="0.25">
      <c r="A195" s="50">
        <v>525699951</v>
      </c>
      <c r="B195" s="33" t="s">
        <v>44</v>
      </c>
      <c r="C195" s="55">
        <f>34636+(8*364)</f>
        <v>37548</v>
      </c>
      <c r="D195" s="51">
        <f t="shared" ca="1" si="3"/>
        <v>13</v>
      </c>
      <c r="E195" s="31"/>
      <c r="F195" s="52">
        <v>5</v>
      </c>
      <c r="G195" s="38">
        <v>85565</v>
      </c>
      <c r="H195" s="72"/>
      <c r="I195" s="71"/>
    </row>
    <row r="196" spans="1:9" x14ac:dyDescent="0.25">
      <c r="A196" s="50">
        <v>526188716</v>
      </c>
      <c r="B196" s="33" t="s">
        <v>63</v>
      </c>
      <c r="C196" s="55">
        <f>34649+(8*364)</f>
        <v>37561</v>
      </c>
      <c r="D196" s="51">
        <f t="shared" ca="1" si="3"/>
        <v>13</v>
      </c>
      <c r="E196" s="31"/>
      <c r="F196" s="52">
        <v>3</v>
      </c>
      <c r="G196" s="38">
        <v>88983</v>
      </c>
      <c r="H196" s="72"/>
      <c r="I196" s="71"/>
    </row>
    <row r="197" spans="1:9" x14ac:dyDescent="0.25">
      <c r="A197" s="50">
        <v>529609767</v>
      </c>
      <c r="B197" s="33" t="s">
        <v>70</v>
      </c>
      <c r="C197" s="55">
        <f>34085+(8*364)</f>
        <v>36997</v>
      </c>
      <c r="D197" s="51">
        <f t="shared" ca="1" si="3"/>
        <v>14</v>
      </c>
      <c r="E197" s="31"/>
      <c r="F197" s="52">
        <v>2</v>
      </c>
      <c r="G197" s="38">
        <v>38110</v>
      </c>
      <c r="H197" s="72"/>
      <c r="I197" s="71"/>
    </row>
    <row r="198" spans="1:9" x14ac:dyDescent="0.25">
      <c r="A198" s="50">
        <v>531654742</v>
      </c>
      <c r="B198" s="33" t="s">
        <v>35</v>
      </c>
      <c r="C198" s="55">
        <f>36483+(8*364)</f>
        <v>39395</v>
      </c>
      <c r="D198" s="51">
        <f t="shared" ca="1" si="3"/>
        <v>8</v>
      </c>
      <c r="E198" s="31" t="s">
        <v>33</v>
      </c>
      <c r="F198" s="52">
        <v>5</v>
      </c>
      <c r="G198" s="38">
        <v>40189</v>
      </c>
      <c r="H198" s="72"/>
      <c r="I198" s="71"/>
    </row>
    <row r="199" spans="1:9" x14ac:dyDescent="0.25">
      <c r="A199" s="50">
        <v>533976888</v>
      </c>
      <c r="B199" s="33" t="s">
        <v>65</v>
      </c>
      <c r="C199" s="55">
        <f>34904+(8*364)</f>
        <v>37816</v>
      </c>
      <c r="D199" s="51">
        <f t="shared" ca="1" si="3"/>
        <v>12</v>
      </c>
      <c r="E199" s="31" t="s">
        <v>53</v>
      </c>
      <c r="F199" s="52">
        <v>1</v>
      </c>
      <c r="G199" s="38">
        <v>39009</v>
      </c>
      <c r="H199" s="72"/>
      <c r="I199" s="71"/>
    </row>
    <row r="200" spans="1:9" x14ac:dyDescent="0.25">
      <c r="A200" s="50">
        <v>534034571</v>
      </c>
      <c r="B200" s="33" t="s">
        <v>70</v>
      </c>
      <c r="C200" s="55">
        <f>38107+(8*364)</f>
        <v>41019</v>
      </c>
      <c r="D200" s="51">
        <f t="shared" ca="1" si="3"/>
        <v>3</v>
      </c>
      <c r="E200" s="31" t="s">
        <v>49</v>
      </c>
      <c r="F200" s="52">
        <v>3</v>
      </c>
      <c r="G200" s="38">
        <v>39402</v>
      </c>
      <c r="H200" s="72"/>
      <c r="I200" s="71"/>
    </row>
    <row r="201" spans="1:9" x14ac:dyDescent="0.25">
      <c r="A201" s="50">
        <v>535539723</v>
      </c>
      <c r="B201" s="33" t="s">
        <v>68</v>
      </c>
      <c r="C201" s="55">
        <f>32164+(8*364)</f>
        <v>35076</v>
      </c>
      <c r="D201" s="51">
        <f t="shared" ca="1" si="3"/>
        <v>19</v>
      </c>
      <c r="E201" s="31" t="s">
        <v>60</v>
      </c>
      <c r="F201" s="52">
        <v>1</v>
      </c>
      <c r="G201" s="38">
        <v>59959</v>
      </c>
      <c r="H201" s="72"/>
      <c r="I201" s="71"/>
    </row>
    <row r="202" spans="1:9" x14ac:dyDescent="0.25">
      <c r="A202" s="50">
        <v>536516131</v>
      </c>
      <c r="B202" s="33" t="s">
        <v>48</v>
      </c>
      <c r="C202" s="55">
        <f>39160+(8*364)</f>
        <v>42072</v>
      </c>
      <c r="D202" s="51">
        <f t="shared" ca="1" si="3"/>
        <v>0</v>
      </c>
      <c r="E202" s="31" t="s">
        <v>46</v>
      </c>
      <c r="F202" s="52">
        <v>3</v>
      </c>
      <c r="G202" s="38">
        <v>83114</v>
      </c>
      <c r="H202" s="72"/>
      <c r="I202" s="71"/>
    </row>
    <row r="203" spans="1:9" x14ac:dyDescent="0.25">
      <c r="A203" s="50">
        <v>542051793</v>
      </c>
      <c r="B203" s="33" t="s">
        <v>68</v>
      </c>
      <c r="C203" s="55">
        <f>34950+(8*364)</f>
        <v>37862</v>
      </c>
      <c r="D203" s="51">
        <f t="shared" ca="1" si="3"/>
        <v>12</v>
      </c>
      <c r="E203" s="31" t="s">
        <v>33</v>
      </c>
      <c r="F203" s="52">
        <v>1</v>
      </c>
      <c r="G203" s="38">
        <v>63294</v>
      </c>
      <c r="H203" s="72"/>
      <c r="I203" s="71"/>
    </row>
    <row r="204" spans="1:9" x14ac:dyDescent="0.25">
      <c r="A204" s="50">
        <v>542653222</v>
      </c>
      <c r="B204" s="33" t="s">
        <v>32</v>
      </c>
      <c r="C204" s="55">
        <f>34687+(8*364)</f>
        <v>37599</v>
      </c>
      <c r="D204" s="51">
        <f t="shared" ca="1" si="3"/>
        <v>13</v>
      </c>
      <c r="E204" s="31"/>
      <c r="F204" s="52">
        <v>3</v>
      </c>
      <c r="G204" s="38">
        <v>55896</v>
      </c>
      <c r="H204" s="72"/>
      <c r="I204" s="71"/>
    </row>
    <row r="205" spans="1:9" x14ac:dyDescent="0.25">
      <c r="A205" s="50">
        <v>548283920</v>
      </c>
      <c r="B205" s="33" t="s">
        <v>44</v>
      </c>
      <c r="C205" s="55">
        <f>34987+(8*364)</f>
        <v>37899</v>
      </c>
      <c r="D205" s="51">
        <f t="shared" ca="1" si="3"/>
        <v>12</v>
      </c>
      <c r="E205" s="31"/>
      <c r="F205" s="52">
        <v>5</v>
      </c>
      <c r="G205" s="38">
        <v>92273</v>
      </c>
      <c r="H205" s="72"/>
      <c r="I205" s="71"/>
    </row>
    <row r="206" spans="1:9" x14ac:dyDescent="0.25">
      <c r="A206" s="50">
        <v>548704405</v>
      </c>
      <c r="B206" s="33" t="s">
        <v>35</v>
      </c>
      <c r="C206" s="55">
        <f>35096+(8*364)</f>
        <v>38008</v>
      </c>
      <c r="D206" s="51">
        <f t="shared" ca="1" si="3"/>
        <v>11</v>
      </c>
      <c r="E206" s="31"/>
      <c r="F206" s="52">
        <v>4</v>
      </c>
      <c r="G206" s="38">
        <v>103475</v>
      </c>
      <c r="H206" s="72"/>
      <c r="I206" s="71"/>
    </row>
    <row r="207" spans="1:9" x14ac:dyDescent="0.25">
      <c r="A207" s="50">
        <v>554029540</v>
      </c>
      <c r="B207" s="33" t="s">
        <v>44</v>
      </c>
      <c r="C207" s="55">
        <f>31924+(8*364)</f>
        <v>34836</v>
      </c>
      <c r="D207" s="51">
        <f t="shared" ca="1" si="3"/>
        <v>20</v>
      </c>
      <c r="E207" s="31"/>
      <c r="F207" s="52">
        <v>4</v>
      </c>
      <c r="G207" s="38">
        <v>52860</v>
      </c>
      <c r="H207" s="72"/>
      <c r="I207" s="71"/>
    </row>
    <row r="208" spans="1:9" x14ac:dyDescent="0.25">
      <c r="A208" s="50">
        <v>555718765</v>
      </c>
      <c r="B208" s="33" t="s">
        <v>52</v>
      </c>
      <c r="C208" s="55">
        <f>33427+(8*364)</f>
        <v>36339</v>
      </c>
      <c r="D208" s="51">
        <f t="shared" ca="1" si="3"/>
        <v>16</v>
      </c>
      <c r="E208" s="31" t="s">
        <v>33</v>
      </c>
      <c r="F208" s="52">
        <v>3</v>
      </c>
      <c r="G208" s="38">
        <v>79160</v>
      </c>
      <c r="H208" s="72"/>
      <c r="I208" s="71"/>
    </row>
    <row r="209" spans="1:9" x14ac:dyDescent="0.25">
      <c r="A209" s="50">
        <v>557568959</v>
      </c>
      <c r="B209" s="33" t="s">
        <v>66</v>
      </c>
      <c r="C209" s="55">
        <f>34137+(8*364)</f>
        <v>37049</v>
      </c>
      <c r="D209" s="51">
        <f t="shared" ca="1" si="3"/>
        <v>14</v>
      </c>
      <c r="E209" s="31"/>
      <c r="F209" s="52">
        <v>4</v>
      </c>
      <c r="G209" s="38">
        <v>37838</v>
      </c>
      <c r="H209" s="72"/>
      <c r="I209" s="71"/>
    </row>
    <row r="210" spans="1:9" x14ac:dyDescent="0.25">
      <c r="A210" s="50">
        <v>558903229</v>
      </c>
      <c r="B210" s="33" t="s">
        <v>44</v>
      </c>
      <c r="C210" s="55">
        <f>32751+(8*364)</f>
        <v>35663</v>
      </c>
      <c r="D210" s="51">
        <f t="shared" ca="1" si="3"/>
        <v>18</v>
      </c>
      <c r="E210" s="31" t="s">
        <v>33</v>
      </c>
      <c r="F210" s="52">
        <v>4</v>
      </c>
      <c r="G210" s="38">
        <v>38532</v>
      </c>
      <c r="H210" s="72"/>
      <c r="I210" s="71"/>
    </row>
    <row r="211" spans="1:9" x14ac:dyDescent="0.25">
      <c r="A211" s="50">
        <v>561530671</v>
      </c>
      <c r="B211" s="33" t="s">
        <v>44</v>
      </c>
      <c r="C211" s="55">
        <f>32200+(8*364)</f>
        <v>35112</v>
      </c>
      <c r="D211" s="51">
        <f t="shared" ca="1" si="3"/>
        <v>19</v>
      </c>
      <c r="E211" s="31" t="s">
        <v>60</v>
      </c>
      <c r="F211" s="52">
        <v>5</v>
      </c>
      <c r="G211" s="38">
        <v>101920</v>
      </c>
      <c r="H211" s="72"/>
      <c r="I211" s="71"/>
    </row>
    <row r="212" spans="1:9" x14ac:dyDescent="0.25">
      <c r="A212" s="50">
        <v>561737107</v>
      </c>
      <c r="B212" s="33" t="s">
        <v>32</v>
      </c>
      <c r="C212" s="55">
        <f>33714+(8*364)</f>
        <v>36626</v>
      </c>
      <c r="D212" s="51">
        <f t="shared" ca="1" si="3"/>
        <v>15</v>
      </c>
      <c r="E212" s="31" t="s">
        <v>46</v>
      </c>
      <c r="F212" s="52">
        <v>5</v>
      </c>
      <c r="G212" s="38">
        <v>75393</v>
      </c>
      <c r="H212" s="72"/>
      <c r="I212" s="71"/>
    </row>
    <row r="213" spans="1:9" x14ac:dyDescent="0.25">
      <c r="A213" s="50">
        <v>564908088</v>
      </c>
      <c r="B213" s="33" t="s">
        <v>32</v>
      </c>
      <c r="C213" s="55">
        <f>37067+(8*364)</f>
        <v>39979</v>
      </c>
      <c r="D213" s="51">
        <f t="shared" ca="1" si="3"/>
        <v>6</v>
      </c>
      <c r="E213" s="31" t="s">
        <v>33</v>
      </c>
      <c r="F213" s="52">
        <v>1</v>
      </c>
      <c r="G213" s="38">
        <v>96495</v>
      </c>
      <c r="H213" s="72"/>
      <c r="I213" s="71"/>
    </row>
    <row r="214" spans="1:9" x14ac:dyDescent="0.25">
      <c r="A214" s="50">
        <v>567266382</v>
      </c>
      <c r="B214" s="33" t="s">
        <v>58</v>
      </c>
      <c r="C214" s="55">
        <f>34806+(8*364)</f>
        <v>37718</v>
      </c>
      <c r="D214" s="51">
        <f t="shared" ca="1" si="3"/>
        <v>12</v>
      </c>
      <c r="E214" s="31" t="s">
        <v>53</v>
      </c>
      <c r="F214" s="52">
        <v>1</v>
      </c>
      <c r="G214" s="38">
        <v>99765</v>
      </c>
      <c r="H214" s="72"/>
      <c r="I214" s="71"/>
    </row>
    <row r="215" spans="1:9" x14ac:dyDescent="0.25">
      <c r="A215" s="50">
        <v>569701716</v>
      </c>
      <c r="B215" s="33" t="s">
        <v>32</v>
      </c>
      <c r="C215" s="55">
        <f>34867+(8*364)</f>
        <v>37779</v>
      </c>
      <c r="D215" s="51">
        <f t="shared" ca="1" si="3"/>
        <v>12</v>
      </c>
      <c r="E215" s="31" t="s">
        <v>49</v>
      </c>
      <c r="F215" s="52">
        <v>2</v>
      </c>
      <c r="G215" s="38">
        <v>84415</v>
      </c>
      <c r="H215" s="72"/>
      <c r="I215" s="71"/>
    </row>
    <row r="216" spans="1:9" x14ac:dyDescent="0.25">
      <c r="A216" s="50">
        <v>569882669</v>
      </c>
      <c r="B216" s="33" t="s">
        <v>44</v>
      </c>
      <c r="C216" s="55">
        <f>36258+(8*364)</f>
        <v>39170</v>
      </c>
      <c r="D216" s="51">
        <f t="shared" ca="1" si="3"/>
        <v>8</v>
      </c>
      <c r="E216" s="31" t="s">
        <v>60</v>
      </c>
      <c r="F216" s="52">
        <v>2</v>
      </c>
      <c r="G216" s="38">
        <v>75551</v>
      </c>
      <c r="H216" s="72"/>
      <c r="I216" s="71"/>
    </row>
    <row r="217" spans="1:9" x14ac:dyDescent="0.25">
      <c r="A217" s="50">
        <v>570756015</v>
      </c>
      <c r="B217" s="33" t="s">
        <v>44</v>
      </c>
      <c r="C217" s="55">
        <f>39111+(8*364)</f>
        <v>42023</v>
      </c>
      <c r="D217" s="51">
        <f t="shared" ca="1" si="3"/>
        <v>0</v>
      </c>
      <c r="E217" s="31" t="s">
        <v>60</v>
      </c>
      <c r="F217" s="52">
        <v>5</v>
      </c>
      <c r="G217" s="38">
        <v>37747</v>
      </c>
      <c r="H217" s="72"/>
      <c r="I217" s="71"/>
    </row>
    <row r="218" spans="1:9" x14ac:dyDescent="0.25">
      <c r="A218" s="50">
        <v>575270646</v>
      </c>
      <c r="B218" s="33" t="s">
        <v>32</v>
      </c>
      <c r="C218" s="55">
        <f>38038+(8*364)</f>
        <v>40950</v>
      </c>
      <c r="D218" s="51">
        <f t="shared" ca="1" si="3"/>
        <v>3</v>
      </c>
      <c r="E218" s="31" t="s">
        <v>33</v>
      </c>
      <c r="F218" s="52">
        <v>2</v>
      </c>
      <c r="G218" s="38">
        <v>36304</v>
      </c>
      <c r="H218" s="72"/>
      <c r="I218" s="71"/>
    </row>
    <row r="219" spans="1:9" x14ac:dyDescent="0.25">
      <c r="A219" s="50">
        <v>575648597</v>
      </c>
      <c r="B219" s="33" t="s">
        <v>48</v>
      </c>
      <c r="C219" s="55">
        <f>36331+(8*364)</f>
        <v>39243</v>
      </c>
      <c r="D219" s="51">
        <f t="shared" ca="1" si="3"/>
        <v>8</v>
      </c>
      <c r="E219" s="31"/>
      <c r="F219" s="52">
        <v>5</v>
      </c>
      <c r="G219" s="38">
        <v>51246</v>
      </c>
      <c r="H219" s="72"/>
      <c r="I219" s="71"/>
    </row>
    <row r="220" spans="1:9" x14ac:dyDescent="0.25">
      <c r="A220" s="50">
        <v>581823751</v>
      </c>
      <c r="B220" s="33" t="s">
        <v>63</v>
      </c>
      <c r="C220" s="55">
        <f>36357+(8*364)</f>
        <v>39269</v>
      </c>
      <c r="D220" s="51">
        <f t="shared" ca="1" si="3"/>
        <v>8</v>
      </c>
      <c r="E220" s="31"/>
      <c r="F220" s="52">
        <v>2</v>
      </c>
      <c r="G220" s="38">
        <v>67645</v>
      </c>
      <c r="H220" s="72"/>
      <c r="I220" s="71"/>
    </row>
    <row r="221" spans="1:9" x14ac:dyDescent="0.25">
      <c r="A221" s="50">
        <v>589649495</v>
      </c>
      <c r="B221" s="33" t="s">
        <v>32</v>
      </c>
      <c r="C221" s="55">
        <f>35397+(8*364)</f>
        <v>38309</v>
      </c>
      <c r="D221" s="51">
        <f t="shared" ca="1" si="3"/>
        <v>11</v>
      </c>
      <c r="E221" s="31" t="s">
        <v>53</v>
      </c>
      <c r="F221" s="52">
        <v>2</v>
      </c>
      <c r="G221" s="38">
        <v>85367</v>
      </c>
      <c r="H221" s="72"/>
      <c r="I221" s="71"/>
    </row>
    <row r="222" spans="1:9" x14ac:dyDescent="0.25">
      <c r="A222" s="50">
        <v>590896401</v>
      </c>
      <c r="B222" s="33" t="s">
        <v>32</v>
      </c>
      <c r="C222" s="55">
        <f>37011+(8*364)</f>
        <v>39923</v>
      </c>
      <c r="D222" s="51">
        <f t="shared" ca="1" si="3"/>
        <v>6</v>
      </c>
      <c r="E222" s="31" t="s">
        <v>60</v>
      </c>
      <c r="F222" s="52">
        <v>1</v>
      </c>
      <c r="G222" s="38">
        <v>108759</v>
      </c>
      <c r="H222" s="72"/>
      <c r="I222" s="71"/>
    </row>
    <row r="223" spans="1:9" x14ac:dyDescent="0.25">
      <c r="A223" s="50">
        <v>592631929</v>
      </c>
      <c r="B223" s="33" t="s">
        <v>32</v>
      </c>
      <c r="C223" s="55">
        <f>34039+(8*364)</f>
        <v>36951</v>
      </c>
      <c r="D223" s="51">
        <f t="shared" ca="1" si="3"/>
        <v>14</v>
      </c>
      <c r="E223" s="31"/>
      <c r="F223" s="52">
        <v>4</v>
      </c>
      <c r="G223" s="38">
        <v>66216</v>
      </c>
      <c r="H223" s="72"/>
      <c r="I223" s="71"/>
    </row>
    <row r="224" spans="1:9" x14ac:dyDescent="0.25">
      <c r="A224" s="50">
        <v>593584018</v>
      </c>
      <c r="B224" s="33" t="s">
        <v>35</v>
      </c>
      <c r="C224" s="55">
        <f>32144+(8*364)</f>
        <v>35056</v>
      </c>
      <c r="D224" s="51">
        <f t="shared" ca="1" si="3"/>
        <v>19</v>
      </c>
      <c r="E224" s="31" t="s">
        <v>33</v>
      </c>
      <c r="F224" s="52">
        <v>4</v>
      </c>
      <c r="G224" s="38">
        <v>79477</v>
      </c>
      <c r="H224" s="72"/>
      <c r="I224" s="71"/>
    </row>
    <row r="225" spans="1:9" x14ac:dyDescent="0.25">
      <c r="A225" s="50">
        <v>595022550</v>
      </c>
      <c r="B225" s="33" t="s">
        <v>42</v>
      </c>
      <c r="C225" s="55">
        <f>32647+(8*364)</f>
        <v>35559</v>
      </c>
      <c r="D225" s="51">
        <f t="shared" ca="1" si="3"/>
        <v>18</v>
      </c>
      <c r="E225" s="31" t="s">
        <v>60</v>
      </c>
      <c r="F225" s="52">
        <v>3</v>
      </c>
      <c r="G225" s="38">
        <v>64174</v>
      </c>
      <c r="H225" s="72"/>
      <c r="I225" s="71"/>
    </row>
    <row r="226" spans="1:9" x14ac:dyDescent="0.25">
      <c r="A226" s="50">
        <v>596008829</v>
      </c>
      <c r="B226" s="33" t="s">
        <v>32</v>
      </c>
      <c r="C226" s="55">
        <f>34701+(8*364)</f>
        <v>37613</v>
      </c>
      <c r="D226" s="51">
        <f t="shared" ca="1" si="3"/>
        <v>12</v>
      </c>
      <c r="E226" s="31"/>
      <c r="F226" s="52">
        <v>1</v>
      </c>
      <c r="G226" s="38">
        <v>83511</v>
      </c>
      <c r="H226" s="72"/>
      <c r="I226" s="71"/>
    </row>
    <row r="227" spans="1:9" x14ac:dyDescent="0.25">
      <c r="A227" s="50">
        <v>596641549</v>
      </c>
      <c r="B227" s="33" t="s">
        <v>32</v>
      </c>
      <c r="C227" s="55">
        <f>35040+(8*364)</f>
        <v>37952</v>
      </c>
      <c r="D227" s="51">
        <f t="shared" ca="1" si="3"/>
        <v>12</v>
      </c>
      <c r="E227" s="31"/>
      <c r="F227" s="52">
        <v>3</v>
      </c>
      <c r="G227" s="38">
        <v>72231</v>
      </c>
      <c r="H227" s="72"/>
      <c r="I227" s="71"/>
    </row>
    <row r="228" spans="1:9" x14ac:dyDescent="0.25">
      <c r="A228" s="50">
        <v>597131266</v>
      </c>
      <c r="B228" s="33" t="s">
        <v>32</v>
      </c>
      <c r="C228" s="55">
        <f>34393+(8*364)</f>
        <v>37305</v>
      </c>
      <c r="D228" s="51">
        <f t="shared" ca="1" si="3"/>
        <v>13</v>
      </c>
      <c r="E228" s="31" t="s">
        <v>60</v>
      </c>
      <c r="F228" s="52">
        <v>2</v>
      </c>
      <c r="G228" s="38">
        <v>51578</v>
      </c>
      <c r="H228" s="72"/>
      <c r="I228" s="71"/>
    </row>
    <row r="229" spans="1:9" x14ac:dyDescent="0.25">
      <c r="A229" s="50">
        <v>597641409</v>
      </c>
      <c r="B229" s="33" t="s">
        <v>58</v>
      </c>
      <c r="C229" s="55">
        <f>34547+(8*364)</f>
        <v>37459</v>
      </c>
      <c r="D229" s="51">
        <f t="shared" ca="1" si="3"/>
        <v>13</v>
      </c>
      <c r="E229" s="31" t="s">
        <v>46</v>
      </c>
      <c r="F229" s="52">
        <v>3</v>
      </c>
      <c r="G229" s="38">
        <v>45570</v>
      </c>
      <c r="H229" s="72"/>
      <c r="I229" s="71"/>
    </row>
    <row r="230" spans="1:9" x14ac:dyDescent="0.25">
      <c r="A230" s="50">
        <v>608796012</v>
      </c>
      <c r="B230" s="33" t="s">
        <v>68</v>
      </c>
      <c r="C230" s="55">
        <f>32521+(8*364)</f>
        <v>35433</v>
      </c>
      <c r="D230" s="51">
        <f t="shared" ca="1" si="3"/>
        <v>18</v>
      </c>
      <c r="E230" s="31" t="s">
        <v>33</v>
      </c>
      <c r="F230" s="52">
        <v>5</v>
      </c>
      <c r="G230" s="38">
        <v>83768</v>
      </c>
      <c r="H230" s="72"/>
      <c r="I230" s="71"/>
    </row>
    <row r="231" spans="1:9" x14ac:dyDescent="0.25">
      <c r="A231" s="50">
        <v>610340294</v>
      </c>
      <c r="B231" s="33" t="s">
        <v>42</v>
      </c>
      <c r="C231" s="55">
        <f>32510+(8*364)</f>
        <v>35422</v>
      </c>
      <c r="D231" s="51">
        <f t="shared" ca="1" si="3"/>
        <v>18</v>
      </c>
      <c r="E231" s="31"/>
      <c r="F231" s="52">
        <v>3</v>
      </c>
      <c r="G231" s="38">
        <v>56573</v>
      </c>
      <c r="H231" s="72"/>
      <c r="I231" s="71"/>
    </row>
    <row r="232" spans="1:9" x14ac:dyDescent="0.25">
      <c r="A232" s="50">
        <v>612295735</v>
      </c>
      <c r="B232" s="33" t="s">
        <v>32</v>
      </c>
      <c r="C232" s="55">
        <f>34201+(8*364)</f>
        <v>37113</v>
      </c>
      <c r="D232" s="51">
        <f t="shared" ca="1" si="3"/>
        <v>14</v>
      </c>
      <c r="E232" s="31" t="s">
        <v>46</v>
      </c>
      <c r="F232" s="52">
        <v>5</v>
      </c>
      <c r="G232" s="38">
        <v>38812</v>
      </c>
      <c r="H232" s="72"/>
      <c r="I232" s="71"/>
    </row>
    <row r="233" spans="1:9" x14ac:dyDescent="0.25">
      <c r="A233" s="50">
        <v>614562070</v>
      </c>
      <c r="B233" s="33" t="s">
        <v>35</v>
      </c>
      <c r="C233" s="55">
        <f>36505+(8*364)</f>
        <v>39417</v>
      </c>
      <c r="D233" s="51">
        <f t="shared" ca="1" si="3"/>
        <v>8</v>
      </c>
      <c r="E233" s="31" t="s">
        <v>33</v>
      </c>
      <c r="F233" s="52">
        <v>1</v>
      </c>
      <c r="G233" s="38">
        <v>102782</v>
      </c>
      <c r="H233" s="72"/>
      <c r="I233" s="71"/>
    </row>
    <row r="234" spans="1:9" x14ac:dyDescent="0.25">
      <c r="A234" s="50">
        <v>616417564</v>
      </c>
      <c r="B234" s="33" t="s">
        <v>32</v>
      </c>
      <c r="C234" s="55">
        <f>34141+(8*364)</f>
        <v>37053</v>
      </c>
      <c r="D234" s="51">
        <f t="shared" ca="1" si="3"/>
        <v>14</v>
      </c>
      <c r="E234" s="31"/>
      <c r="F234" s="52">
        <v>5</v>
      </c>
      <c r="G234" s="38">
        <v>46214</v>
      </c>
      <c r="H234" s="72"/>
      <c r="I234" s="71"/>
    </row>
    <row r="235" spans="1:9" x14ac:dyDescent="0.25">
      <c r="A235" s="50">
        <v>618535019</v>
      </c>
      <c r="B235" s="33" t="s">
        <v>32</v>
      </c>
      <c r="C235" s="55">
        <f>34622+(8*364)</f>
        <v>37534</v>
      </c>
      <c r="D235" s="51">
        <f t="shared" ca="1" si="3"/>
        <v>13</v>
      </c>
      <c r="E235" s="31" t="s">
        <v>46</v>
      </c>
      <c r="F235" s="52">
        <v>5</v>
      </c>
      <c r="G235" s="38">
        <v>92975</v>
      </c>
      <c r="H235" s="72"/>
      <c r="I235" s="71"/>
    </row>
    <row r="236" spans="1:9" x14ac:dyDescent="0.25">
      <c r="A236" s="50">
        <v>618775364</v>
      </c>
      <c r="B236" s="33" t="s">
        <v>44</v>
      </c>
      <c r="C236" s="55">
        <f>38944+(8*364)</f>
        <v>41856</v>
      </c>
      <c r="D236" s="51">
        <f t="shared" ca="1" si="3"/>
        <v>1</v>
      </c>
      <c r="E236" s="31" t="s">
        <v>46</v>
      </c>
      <c r="F236" s="52">
        <v>3</v>
      </c>
      <c r="G236" s="38">
        <v>107523</v>
      </c>
      <c r="H236" s="72"/>
      <c r="I236" s="71"/>
    </row>
    <row r="237" spans="1:9" x14ac:dyDescent="0.25">
      <c r="A237" s="50">
        <v>620072502</v>
      </c>
      <c r="B237" s="33" t="s">
        <v>64</v>
      </c>
      <c r="C237" s="55">
        <f>37728+(8*364)</f>
        <v>40640</v>
      </c>
      <c r="D237" s="51">
        <f t="shared" ca="1" si="3"/>
        <v>4</v>
      </c>
      <c r="E237" s="31" t="s">
        <v>53</v>
      </c>
      <c r="F237" s="52">
        <v>4</v>
      </c>
      <c r="G237" s="38">
        <v>101845</v>
      </c>
      <c r="H237" s="72"/>
      <c r="I237" s="71"/>
    </row>
    <row r="238" spans="1:9" x14ac:dyDescent="0.25">
      <c r="A238" s="50">
        <v>620336005</v>
      </c>
      <c r="B238" s="33" t="s">
        <v>32</v>
      </c>
      <c r="C238" s="55">
        <f>37067+(8*364)</f>
        <v>39979</v>
      </c>
      <c r="D238" s="51">
        <f t="shared" ca="1" si="3"/>
        <v>6</v>
      </c>
      <c r="E238" s="31" t="s">
        <v>33</v>
      </c>
      <c r="F238" s="52">
        <v>3</v>
      </c>
      <c r="G238" s="38">
        <v>69103</v>
      </c>
      <c r="H238" s="72"/>
      <c r="I238" s="71"/>
    </row>
    <row r="239" spans="1:9" x14ac:dyDescent="0.25">
      <c r="A239" s="50">
        <v>623823805</v>
      </c>
      <c r="B239" s="33" t="s">
        <v>52</v>
      </c>
      <c r="C239" s="55">
        <f>39093+(8*364)</f>
        <v>42005</v>
      </c>
      <c r="D239" s="51">
        <f t="shared" ca="1" si="3"/>
        <v>0</v>
      </c>
      <c r="E239" s="31"/>
      <c r="F239" s="52">
        <v>5</v>
      </c>
      <c r="G239" s="38">
        <v>45488</v>
      </c>
      <c r="H239" s="72"/>
      <c r="I239" s="71"/>
    </row>
    <row r="240" spans="1:9" x14ac:dyDescent="0.25">
      <c r="A240" s="50">
        <v>624234626</v>
      </c>
      <c r="B240" s="33" t="s">
        <v>32</v>
      </c>
      <c r="C240" s="55">
        <f>34033+(8*364)</f>
        <v>36945</v>
      </c>
      <c r="D240" s="51">
        <f t="shared" ca="1" si="3"/>
        <v>14</v>
      </c>
      <c r="E240" s="31" t="s">
        <v>33</v>
      </c>
      <c r="F240" s="52">
        <v>5</v>
      </c>
      <c r="G240" s="38">
        <v>67581</v>
      </c>
      <c r="H240" s="72"/>
      <c r="I240" s="71"/>
    </row>
    <row r="241" spans="1:9" x14ac:dyDescent="0.25">
      <c r="A241" s="50">
        <v>625531462</v>
      </c>
      <c r="B241" s="33" t="s">
        <v>48</v>
      </c>
      <c r="C241" s="55">
        <f>35978+(8*364)</f>
        <v>38890</v>
      </c>
      <c r="D241" s="51">
        <f t="shared" ca="1" si="3"/>
        <v>9</v>
      </c>
      <c r="E241" s="31" t="s">
        <v>33</v>
      </c>
      <c r="F241" s="52">
        <v>3</v>
      </c>
      <c r="G241" s="38">
        <v>47051</v>
      </c>
      <c r="H241" s="72"/>
      <c r="I241" s="71"/>
    </row>
    <row r="242" spans="1:9" x14ac:dyDescent="0.25">
      <c r="A242" s="50">
        <v>626501093</v>
      </c>
      <c r="B242" s="33" t="s">
        <v>35</v>
      </c>
      <c r="C242" s="55">
        <f>36717+(8*364)</f>
        <v>39629</v>
      </c>
      <c r="D242" s="51">
        <f t="shared" ca="1" si="3"/>
        <v>7</v>
      </c>
      <c r="E242" s="31"/>
      <c r="F242" s="52">
        <v>1</v>
      </c>
      <c r="G242" s="38">
        <v>76115</v>
      </c>
      <c r="H242" s="72"/>
      <c r="I242" s="71"/>
    </row>
    <row r="243" spans="1:9" x14ac:dyDescent="0.25">
      <c r="A243" s="50">
        <v>627977314</v>
      </c>
      <c r="B243" s="33" t="s">
        <v>35</v>
      </c>
      <c r="C243" s="55">
        <f>32542+(8*364)</f>
        <v>35454</v>
      </c>
      <c r="D243" s="51">
        <f t="shared" ca="1" si="3"/>
        <v>18</v>
      </c>
      <c r="E243" s="31" t="s">
        <v>53</v>
      </c>
      <c r="F243" s="52">
        <v>1</v>
      </c>
      <c r="G243" s="38">
        <v>106956</v>
      </c>
      <c r="H243" s="72"/>
      <c r="I243" s="71"/>
    </row>
    <row r="244" spans="1:9" x14ac:dyDescent="0.25">
      <c r="A244" s="50">
        <v>631405285</v>
      </c>
      <c r="B244" s="33" t="s">
        <v>59</v>
      </c>
      <c r="C244" s="55">
        <f>32217+(8*364)</f>
        <v>35129</v>
      </c>
      <c r="D244" s="51">
        <f t="shared" ca="1" si="3"/>
        <v>19</v>
      </c>
      <c r="E244" s="31" t="s">
        <v>46</v>
      </c>
      <c r="F244" s="52">
        <v>4</v>
      </c>
      <c r="G244" s="38">
        <v>58483</v>
      </c>
      <c r="H244" s="72"/>
      <c r="I244" s="71"/>
    </row>
    <row r="245" spans="1:9" x14ac:dyDescent="0.25">
      <c r="A245" s="50">
        <v>635240617</v>
      </c>
      <c r="B245" s="33" t="s">
        <v>42</v>
      </c>
      <c r="C245" s="55">
        <f>35533+(8*364)</f>
        <v>38445</v>
      </c>
      <c r="D245" s="51">
        <f t="shared" ca="1" si="3"/>
        <v>10</v>
      </c>
      <c r="E245" s="31" t="s">
        <v>46</v>
      </c>
      <c r="F245" s="52">
        <v>3</v>
      </c>
      <c r="G245" s="38">
        <v>102388</v>
      </c>
      <c r="H245" s="72"/>
      <c r="I245" s="71"/>
    </row>
    <row r="246" spans="1:9" x14ac:dyDescent="0.25">
      <c r="A246" s="50">
        <v>635767088</v>
      </c>
      <c r="B246" s="33" t="s">
        <v>32</v>
      </c>
      <c r="C246" s="55">
        <f>35667+(8*364)</f>
        <v>38579</v>
      </c>
      <c r="D246" s="51">
        <f t="shared" ca="1" si="3"/>
        <v>10</v>
      </c>
      <c r="E246" s="31"/>
      <c r="F246" s="52">
        <v>5</v>
      </c>
      <c r="G246" s="38">
        <v>79112</v>
      </c>
      <c r="H246" s="72"/>
      <c r="I246" s="71"/>
    </row>
    <row r="247" spans="1:9" x14ac:dyDescent="0.25">
      <c r="A247" s="50">
        <v>638271383</v>
      </c>
      <c r="B247" s="33" t="s">
        <v>68</v>
      </c>
      <c r="C247" s="55">
        <f>36832+(8*364)</f>
        <v>39744</v>
      </c>
      <c r="D247" s="51">
        <f t="shared" ca="1" si="3"/>
        <v>7</v>
      </c>
      <c r="E247" s="31" t="s">
        <v>33</v>
      </c>
      <c r="F247" s="52">
        <v>4</v>
      </c>
      <c r="G247" s="38">
        <v>113495</v>
      </c>
      <c r="H247" s="72"/>
      <c r="I247" s="71"/>
    </row>
    <row r="248" spans="1:9" x14ac:dyDescent="0.25">
      <c r="A248" s="50">
        <v>638495756</v>
      </c>
      <c r="B248" s="33" t="s">
        <v>44</v>
      </c>
      <c r="C248" s="55">
        <f>32639+(8*364)</f>
        <v>35551</v>
      </c>
      <c r="D248" s="51">
        <f t="shared" ca="1" si="3"/>
        <v>18</v>
      </c>
      <c r="E248" s="31"/>
      <c r="F248" s="52">
        <v>2</v>
      </c>
      <c r="G248" s="38">
        <v>48720</v>
      </c>
      <c r="H248" s="72"/>
      <c r="I248" s="71"/>
    </row>
    <row r="249" spans="1:9" x14ac:dyDescent="0.25">
      <c r="A249" s="50">
        <v>639314672</v>
      </c>
      <c r="B249" s="33" t="s">
        <v>59</v>
      </c>
      <c r="C249" s="55">
        <f>34532+(8*364)</f>
        <v>37444</v>
      </c>
      <c r="D249" s="51">
        <f t="shared" ca="1" si="3"/>
        <v>13</v>
      </c>
      <c r="E249" s="31" t="s">
        <v>53</v>
      </c>
      <c r="F249" s="52">
        <v>4</v>
      </c>
      <c r="G249" s="38">
        <v>77583</v>
      </c>
      <c r="H249" s="72"/>
      <c r="I249" s="71"/>
    </row>
    <row r="250" spans="1:9" x14ac:dyDescent="0.25">
      <c r="A250" s="50">
        <v>640301378</v>
      </c>
      <c r="B250" s="33" t="s">
        <v>39</v>
      </c>
      <c r="C250" s="55">
        <f>39195+(8*364)</f>
        <v>42107</v>
      </c>
      <c r="D250" s="51">
        <f t="shared" ca="1" si="3"/>
        <v>0</v>
      </c>
      <c r="E250" s="31" t="s">
        <v>46</v>
      </c>
      <c r="F250" s="52">
        <v>2</v>
      </c>
      <c r="G250" s="38">
        <v>49602</v>
      </c>
      <c r="H250" s="72"/>
      <c r="I250" s="71"/>
    </row>
    <row r="251" spans="1:9" x14ac:dyDescent="0.25">
      <c r="A251" s="50">
        <v>643272576</v>
      </c>
      <c r="B251" s="33" t="s">
        <v>58</v>
      </c>
      <c r="C251" s="55">
        <f>31995+(8*364)</f>
        <v>34907</v>
      </c>
      <c r="D251" s="51">
        <f t="shared" ca="1" si="3"/>
        <v>20</v>
      </c>
      <c r="E251" s="31"/>
      <c r="F251" s="52">
        <v>4</v>
      </c>
      <c r="G251" s="38">
        <v>59180</v>
      </c>
      <c r="H251" s="72"/>
      <c r="I251" s="71"/>
    </row>
    <row r="252" spans="1:9" x14ac:dyDescent="0.25">
      <c r="A252" s="50">
        <v>643979374</v>
      </c>
      <c r="B252" s="33" t="s">
        <v>44</v>
      </c>
      <c r="C252" s="55">
        <f>34231+(8*364)</f>
        <v>37143</v>
      </c>
      <c r="D252" s="51">
        <f t="shared" ca="1" si="3"/>
        <v>14</v>
      </c>
      <c r="E252" s="31"/>
      <c r="F252" s="52">
        <v>4</v>
      </c>
      <c r="G252" s="38">
        <v>112536</v>
      </c>
      <c r="H252" s="72"/>
      <c r="I252" s="71"/>
    </row>
    <row r="253" spans="1:9" x14ac:dyDescent="0.25">
      <c r="A253" s="50">
        <v>643984096</v>
      </c>
      <c r="B253" s="33" t="s">
        <v>42</v>
      </c>
      <c r="C253" s="55">
        <f>32103+(8*364)</f>
        <v>35015</v>
      </c>
      <c r="D253" s="51">
        <f t="shared" ca="1" si="3"/>
        <v>20</v>
      </c>
      <c r="E253" s="31"/>
      <c r="F253" s="52">
        <v>5</v>
      </c>
      <c r="G253" s="38">
        <v>92563</v>
      </c>
      <c r="H253" s="72"/>
      <c r="I253" s="71"/>
    </row>
    <row r="254" spans="1:9" x14ac:dyDescent="0.25">
      <c r="A254" s="50">
        <v>644489557</v>
      </c>
      <c r="B254" s="33" t="s">
        <v>35</v>
      </c>
      <c r="C254" s="55">
        <f>34702+(8*364)</f>
        <v>37614</v>
      </c>
      <c r="D254" s="51">
        <f t="shared" ca="1" si="3"/>
        <v>12</v>
      </c>
      <c r="E254" s="31" t="s">
        <v>60</v>
      </c>
      <c r="F254" s="52">
        <v>1</v>
      </c>
      <c r="G254" s="38">
        <v>48488</v>
      </c>
      <c r="H254" s="72"/>
      <c r="I254" s="71"/>
    </row>
    <row r="255" spans="1:9" x14ac:dyDescent="0.25">
      <c r="A255" s="50">
        <v>644862142</v>
      </c>
      <c r="B255" s="33" t="s">
        <v>59</v>
      </c>
      <c r="C255" s="55">
        <f>33341+(8*364)</f>
        <v>36253</v>
      </c>
      <c r="D255" s="51">
        <f t="shared" ca="1" si="3"/>
        <v>16</v>
      </c>
      <c r="E255" s="31"/>
      <c r="F255" s="52">
        <v>3</v>
      </c>
      <c r="G255" s="38">
        <v>110913</v>
      </c>
      <c r="H255" s="72"/>
      <c r="I255" s="71"/>
    </row>
    <row r="256" spans="1:9" x14ac:dyDescent="0.25">
      <c r="A256" s="50">
        <v>649234799</v>
      </c>
      <c r="B256" s="33" t="s">
        <v>58</v>
      </c>
      <c r="C256" s="55">
        <f>38899+(8*364)</f>
        <v>41811</v>
      </c>
      <c r="D256" s="51">
        <f t="shared" ca="1" si="3"/>
        <v>1</v>
      </c>
      <c r="E256" s="31" t="s">
        <v>46</v>
      </c>
      <c r="F256" s="52">
        <v>4</v>
      </c>
      <c r="G256" s="38">
        <v>65810</v>
      </c>
      <c r="H256" s="72"/>
      <c r="I256" s="71"/>
    </row>
    <row r="257" spans="1:9" x14ac:dyDescent="0.25">
      <c r="A257" s="50">
        <v>650784238</v>
      </c>
      <c r="B257" s="33" t="s">
        <v>58</v>
      </c>
      <c r="C257" s="55">
        <f>34208+(8*364)</f>
        <v>37120</v>
      </c>
      <c r="D257" s="51">
        <f t="shared" ca="1" si="3"/>
        <v>14</v>
      </c>
      <c r="E257" s="31"/>
      <c r="F257" s="52">
        <v>2</v>
      </c>
      <c r="G257" s="38">
        <v>38572</v>
      </c>
      <c r="H257" s="72"/>
      <c r="I257" s="71"/>
    </row>
    <row r="258" spans="1:9" x14ac:dyDescent="0.25">
      <c r="A258" s="50">
        <v>651995963</v>
      </c>
      <c r="B258" s="33" t="s">
        <v>57</v>
      </c>
      <c r="C258" s="55">
        <f>39003+(8*364)</f>
        <v>41915</v>
      </c>
      <c r="D258" s="51">
        <f t="shared" ref="D258:D321" ca="1" si="4">DATEDIF(C258,TODAY(),"Y")</f>
        <v>1</v>
      </c>
      <c r="E258" s="31"/>
      <c r="F258" s="52">
        <v>4</v>
      </c>
      <c r="G258" s="38">
        <v>84164</v>
      </c>
      <c r="H258" s="72"/>
      <c r="I258" s="71"/>
    </row>
    <row r="259" spans="1:9" x14ac:dyDescent="0.25">
      <c r="A259" s="50">
        <v>651999482</v>
      </c>
      <c r="B259" s="33" t="s">
        <v>42</v>
      </c>
      <c r="C259" s="55">
        <f>38369+(8*364)</f>
        <v>41281</v>
      </c>
      <c r="D259" s="51">
        <f t="shared" ca="1" si="4"/>
        <v>2</v>
      </c>
      <c r="E259" s="31" t="s">
        <v>33</v>
      </c>
      <c r="F259" s="52">
        <v>5</v>
      </c>
      <c r="G259" s="38">
        <v>67240</v>
      </c>
      <c r="H259" s="72"/>
      <c r="I259" s="71"/>
    </row>
    <row r="260" spans="1:9" x14ac:dyDescent="0.25">
      <c r="A260" s="50">
        <v>657835603</v>
      </c>
      <c r="B260" s="33" t="s">
        <v>42</v>
      </c>
      <c r="C260" s="55">
        <f>31969+(8*364)</f>
        <v>34881</v>
      </c>
      <c r="D260" s="51">
        <f t="shared" ca="1" si="4"/>
        <v>20</v>
      </c>
      <c r="E260" s="31" t="s">
        <v>33</v>
      </c>
      <c r="F260" s="52">
        <v>5</v>
      </c>
      <c r="G260" s="38">
        <v>111686</v>
      </c>
      <c r="H260" s="72"/>
      <c r="I260" s="71"/>
    </row>
    <row r="261" spans="1:9" x14ac:dyDescent="0.25">
      <c r="A261" s="50">
        <v>658842625</v>
      </c>
      <c r="B261" s="33" t="s">
        <v>42</v>
      </c>
      <c r="C261" s="55">
        <f>34743+(8*364)</f>
        <v>37655</v>
      </c>
      <c r="D261" s="51">
        <f t="shared" ca="1" si="4"/>
        <v>12</v>
      </c>
      <c r="E261" s="31" t="s">
        <v>53</v>
      </c>
      <c r="F261" s="52">
        <v>5</v>
      </c>
      <c r="G261" s="38">
        <v>71717</v>
      </c>
      <c r="H261" s="72"/>
      <c r="I261" s="71"/>
    </row>
    <row r="262" spans="1:9" x14ac:dyDescent="0.25">
      <c r="A262" s="50">
        <v>661850671</v>
      </c>
      <c r="B262" s="33" t="s">
        <v>32</v>
      </c>
      <c r="C262" s="55">
        <f>34519+(8*364)</f>
        <v>37431</v>
      </c>
      <c r="D262" s="51">
        <f t="shared" ca="1" si="4"/>
        <v>13</v>
      </c>
      <c r="E262" s="31"/>
      <c r="F262" s="52">
        <v>3</v>
      </c>
      <c r="G262" s="38">
        <v>36085</v>
      </c>
      <c r="H262" s="72"/>
      <c r="I262" s="71"/>
    </row>
    <row r="263" spans="1:9" x14ac:dyDescent="0.25">
      <c r="A263" s="50">
        <v>662247915</v>
      </c>
      <c r="B263" s="33" t="s">
        <v>58</v>
      </c>
      <c r="C263" s="55">
        <f>35630+(8*364)</f>
        <v>38542</v>
      </c>
      <c r="D263" s="51">
        <f t="shared" ca="1" si="4"/>
        <v>10</v>
      </c>
      <c r="E263" s="31" t="s">
        <v>33</v>
      </c>
      <c r="F263" s="52">
        <v>5</v>
      </c>
      <c r="G263" s="38">
        <v>43458</v>
      </c>
      <c r="H263" s="72"/>
      <c r="I263" s="71"/>
    </row>
    <row r="264" spans="1:9" x14ac:dyDescent="0.25">
      <c r="A264" s="50">
        <v>662974752</v>
      </c>
      <c r="B264" s="33" t="s">
        <v>58</v>
      </c>
      <c r="C264" s="55">
        <f>35082+(8*364)</f>
        <v>37994</v>
      </c>
      <c r="D264" s="51">
        <f t="shared" ca="1" si="4"/>
        <v>11</v>
      </c>
      <c r="E264" s="31" t="s">
        <v>46</v>
      </c>
      <c r="F264" s="52">
        <v>4</v>
      </c>
      <c r="G264" s="38">
        <v>60731</v>
      </c>
      <c r="H264" s="72"/>
      <c r="I264" s="71"/>
    </row>
    <row r="265" spans="1:9" x14ac:dyDescent="0.25">
      <c r="A265" s="50">
        <v>665006199</v>
      </c>
      <c r="B265" s="33" t="s">
        <v>66</v>
      </c>
      <c r="C265" s="55">
        <f>35257+(8*364)</f>
        <v>38169</v>
      </c>
      <c r="D265" s="51">
        <f t="shared" ca="1" si="4"/>
        <v>11</v>
      </c>
      <c r="E265" s="31" t="s">
        <v>53</v>
      </c>
      <c r="F265" s="52">
        <v>5</v>
      </c>
      <c r="G265" s="38">
        <v>50745</v>
      </c>
      <c r="H265" s="72"/>
      <c r="I265" s="71"/>
    </row>
    <row r="266" spans="1:9" x14ac:dyDescent="0.25">
      <c r="A266" s="50">
        <v>665773893</v>
      </c>
      <c r="B266" s="33" t="s">
        <v>32</v>
      </c>
      <c r="C266" s="55">
        <f>39264+(8*364)</f>
        <v>42176</v>
      </c>
      <c r="D266" s="51">
        <f t="shared" ca="1" si="4"/>
        <v>0</v>
      </c>
      <c r="E266" s="31"/>
      <c r="F266" s="52">
        <v>4</v>
      </c>
      <c r="G266" s="38">
        <v>78270</v>
      </c>
      <c r="H266" s="72"/>
      <c r="I266" s="71"/>
    </row>
    <row r="267" spans="1:9" x14ac:dyDescent="0.25">
      <c r="A267" s="50">
        <v>667812117</v>
      </c>
      <c r="B267" s="33" t="s">
        <v>59</v>
      </c>
      <c r="C267" s="55">
        <f>32436+(8*364)</f>
        <v>35348</v>
      </c>
      <c r="D267" s="51">
        <f t="shared" ca="1" si="4"/>
        <v>19</v>
      </c>
      <c r="E267" s="31" t="s">
        <v>60</v>
      </c>
      <c r="F267" s="52">
        <v>3</v>
      </c>
      <c r="G267" s="38">
        <v>91485</v>
      </c>
      <c r="H267" s="72"/>
      <c r="I267" s="71"/>
    </row>
    <row r="268" spans="1:9" x14ac:dyDescent="0.25">
      <c r="A268" s="50">
        <v>668708287</v>
      </c>
      <c r="B268" s="33" t="s">
        <v>35</v>
      </c>
      <c r="C268" s="55">
        <f>34496+(8*364)</f>
        <v>37408</v>
      </c>
      <c r="D268" s="51">
        <f t="shared" ca="1" si="4"/>
        <v>13</v>
      </c>
      <c r="E268" s="31"/>
      <c r="F268" s="52">
        <v>4</v>
      </c>
      <c r="G268" s="38">
        <v>72744</v>
      </c>
      <c r="H268" s="72"/>
      <c r="I268" s="71"/>
    </row>
    <row r="269" spans="1:9" x14ac:dyDescent="0.25">
      <c r="A269" s="50">
        <v>671360508</v>
      </c>
      <c r="B269" s="33" t="s">
        <v>61</v>
      </c>
      <c r="C269" s="55">
        <f>31850+(8*364)</f>
        <v>34762</v>
      </c>
      <c r="D269" s="51">
        <f t="shared" ca="1" si="4"/>
        <v>20</v>
      </c>
      <c r="E269" s="31" t="s">
        <v>60</v>
      </c>
      <c r="F269" s="52">
        <v>5</v>
      </c>
      <c r="G269" s="38">
        <v>55376</v>
      </c>
      <c r="H269" s="72"/>
      <c r="I269" s="71"/>
    </row>
    <row r="270" spans="1:9" x14ac:dyDescent="0.25">
      <c r="A270" s="50">
        <v>671823263</v>
      </c>
      <c r="B270" s="33" t="s">
        <v>42</v>
      </c>
      <c r="C270" s="55">
        <f>39327+(8*364)</f>
        <v>42239</v>
      </c>
      <c r="D270" s="51">
        <f t="shared" ca="1" si="4"/>
        <v>0</v>
      </c>
      <c r="E270" s="31" t="s">
        <v>33</v>
      </c>
      <c r="F270" s="52">
        <v>3</v>
      </c>
      <c r="G270" s="38">
        <v>75664</v>
      </c>
      <c r="H270" s="72"/>
      <c r="I270" s="71"/>
    </row>
    <row r="271" spans="1:9" x14ac:dyDescent="0.25">
      <c r="A271" s="50">
        <v>676030562</v>
      </c>
      <c r="B271" s="33" t="s">
        <v>32</v>
      </c>
      <c r="C271" s="55">
        <f>34385+(8*364)</f>
        <v>37297</v>
      </c>
      <c r="D271" s="51">
        <f t="shared" ca="1" si="4"/>
        <v>13</v>
      </c>
      <c r="E271" s="31" t="s">
        <v>33</v>
      </c>
      <c r="F271" s="52">
        <v>1</v>
      </c>
      <c r="G271" s="38">
        <v>66610</v>
      </c>
      <c r="H271" s="72"/>
      <c r="I271" s="71"/>
    </row>
    <row r="272" spans="1:9" x14ac:dyDescent="0.25">
      <c r="A272" s="50">
        <v>676534152</v>
      </c>
      <c r="B272" s="33" t="s">
        <v>59</v>
      </c>
      <c r="C272" s="55">
        <f>38982+(8*364)</f>
        <v>41894</v>
      </c>
      <c r="D272" s="51">
        <f t="shared" ca="1" si="4"/>
        <v>1</v>
      </c>
      <c r="E272" s="31" t="s">
        <v>33</v>
      </c>
      <c r="F272" s="52">
        <v>1</v>
      </c>
      <c r="G272" s="38">
        <v>90388</v>
      </c>
      <c r="H272" s="72"/>
      <c r="I272" s="71"/>
    </row>
    <row r="273" spans="1:9" x14ac:dyDescent="0.25">
      <c r="A273" s="50">
        <v>676831149</v>
      </c>
      <c r="B273" s="33" t="s">
        <v>39</v>
      </c>
      <c r="C273" s="55">
        <f>38078+(8*364)</f>
        <v>40990</v>
      </c>
      <c r="D273" s="51">
        <f t="shared" ca="1" si="4"/>
        <v>3</v>
      </c>
      <c r="E273" s="31" t="s">
        <v>33</v>
      </c>
      <c r="F273" s="52">
        <v>4</v>
      </c>
      <c r="G273" s="38">
        <v>42640</v>
      </c>
      <c r="H273" s="72"/>
      <c r="I273" s="71"/>
    </row>
    <row r="274" spans="1:9" x14ac:dyDescent="0.25">
      <c r="A274" s="50">
        <v>681596577</v>
      </c>
      <c r="B274" s="33" t="s">
        <v>63</v>
      </c>
      <c r="C274" s="55">
        <f>33840+(8*364)</f>
        <v>36752</v>
      </c>
      <c r="D274" s="51">
        <f t="shared" ca="1" si="4"/>
        <v>15</v>
      </c>
      <c r="E274" s="31"/>
      <c r="F274" s="52">
        <v>2</v>
      </c>
      <c r="G274" s="38">
        <v>61201</v>
      </c>
      <c r="H274" s="72"/>
      <c r="I274" s="71"/>
    </row>
    <row r="275" spans="1:9" x14ac:dyDescent="0.25">
      <c r="A275" s="50">
        <v>682500261</v>
      </c>
      <c r="B275" s="33" t="s">
        <v>32</v>
      </c>
      <c r="C275" s="55">
        <f>33571+(8*364)</f>
        <v>36483</v>
      </c>
      <c r="D275" s="51">
        <f t="shared" ca="1" si="4"/>
        <v>16</v>
      </c>
      <c r="E275" s="31" t="s">
        <v>60</v>
      </c>
      <c r="F275" s="52">
        <v>1</v>
      </c>
      <c r="G275" s="38">
        <v>44049</v>
      </c>
      <c r="H275" s="72"/>
      <c r="I275" s="71"/>
    </row>
    <row r="276" spans="1:9" x14ac:dyDescent="0.25">
      <c r="A276" s="50">
        <v>682907379</v>
      </c>
      <c r="B276" s="33" t="s">
        <v>32</v>
      </c>
      <c r="C276" s="55">
        <f>34001+(8*364)</f>
        <v>36913</v>
      </c>
      <c r="D276" s="51">
        <f t="shared" ca="1" si="4"/>
        <v>14</v>
      </c>
      <c r="E276" s="31" t="s">
        <v>49</v>
      </c>
      <c r="F276" s="52">
        <v>5</v>
      </c>
      <c r="G276" s="38">
        <v>89739</v>
      </c>
      <c r="H276" s="72"/>
      <c r="I276" s="71"/>
    </row>
    <row r="277" spans="1:9" x14ac:dyDescent="0.25">
      <c r="A277" s="50">
        <v>683670378</v>
      </c>
      <c r="B277" s="33" t="s">
        <v>42</v>
      </c>
      <c r="C277" s="55">
        <f>37037+(8*364)</f>
        <v>39949</v>
      </c>
      <c r="D277" s="51">
        <f t="shared" ca="1" si="4"/>
        <v>6</v>
      </c>
      <c r="E277" s="31" t="s">
        <v>46</v>
      </c>
      <c r="F277" s="52">
        <v>2</v>
      </c>
      <c r="G277" s="38">
        <v>47665</v>
      </c>
      <c r="H277" s="72"/>
      <c r="I277" s="71"/>
    </row>
    <row r="278" spans="1:9" x14ac:dyDescent="0.25">
      <c r="A278" s="50">
        <v>684054281</v>
      </c>
      <c r="B278" s="33" t="s">
        <v>32</v>
      </c>
      <c r="C278" s="55">
        <f>36836+(8*364)</f>
        <v>39748</v>
      </c>
      <c r="D278" s="51">
        <f t="shared" ca="1" si="4"/>
        <v>7</v>
      </c>
      <c r="E278" s="31" t="s">
        <v>33</v>
      </c>
      <c r="F278" s="52">
        <v>2</v>
      </c>
      <c r="G278" s="38">
        <v>59716</v>
      </c>
      <c r="H278" s="72"/>
      <c r="I278" s="71"/>
    </row>
    <row r="279" spans="1:9" x14ac:dyDescent="0.25">
      <c r="A279" s="50">
        <v>685953695</v>
      </c>
      <c r="B279" s="33" t="s">
        <v>63</v>
      </c>
      <c r="C279" s="55">
        <f>32513+(8*364)</f>
        <v>35425</v>
      </c>
      <c r="D279" s="51">
        <f t="shared" ca="1" si="4"/>
        <v>18</v>
      </c>
      <c r="E279" s="31" t="s">
        <v>46</v>
      </c>
      <c r="F279" s="52">
        <v>4</v>
      </c>
      <c r="G279" s="38">
        <v>46191</v>
      </c>
      <c r="H279" s="72"/>
      <c r="I279" s="71"/>
    </row>
    <row r="280" spans="1:9" x14ac:dyDescent="0.25">
      <c r="A280" s="50">
        <v>687006783</v>
      </c>
      <c r="B280" s="33" t="s">
        <v>32</v>
      </c>
      <c r="C280" s="55">
        <f>34069+(8*364)</f>
        <v>36981</v>
      </c>
      <c r="D280" s="51">
        <f t="shared" ca="1" si="4"/>
        <v>14</v>
      </c>
      <c r="E280" s="31"/>
      <c r="F280" s="52">
        <v>2</v>
      </c>
      <c r="G280" s="38">
        <v>35632</v>
      </c>
      <c r="H280" s="72"/>
      <c r="I280" s="71"/>
    </row>
    <row r="281" spans="1:9" x14ac:dyDescent="0.25">
      <c r="A281" s="50">
        <v>688769770</v>
      </c>
      <c r="B281" s="33" t="s">
        <v>42</v>
      </c>
      <c r="C281" s="55">
        <f>37316+(8*364)</f>
        <v>40228</v>
      </c>
      <c r="D281" s="51">
        <f t="shared" ca="1" si="4"/>
        <v>5</v>
      </c>
      <c r="E281" s="31" t="s">
        <v>33</v>
      </c>
      <c r="F281" s="52">
        <v>2</v>
      </c>
      <c r="G281" s="38">
        <v>55396</v>
      </c>
      <c r="H281" s="72"/>
      <c r="I281" s="71"/>
    </row>
    <row r="282" spans="1:9" x14ac:dyDescent="0.25">
      <c r="A282" s="50">
        <v>695198896</v>
      </c>
      <c r="B282" s="33" t="s">
        <v>42</v>
      </c>
      <c r="C282" s="55">
        <f>34516+(8*364)</f>
        <v>37428</v>
      </c>
      <c r="D282" s="51">
        <f t="shared" ca="1" si="4"/>
        <v>13</v>
      </c>
      <c r="E282" s="31"/>
      <c r="F282" s="52">
        <v>3</v>
      </c>
      <c r="G282" s="38">
        <v>43394</v>
      </c>
      <c r="H282" s="72"/>
      <c r="I282" s="71"/>
    </row>
    <row r="283" spans="1:9" x14ac:dyDescent="0.25">
      <c r="A283" s="50">
        <v>696435191</v>
      </c>
      <c r="B283" s="33" t="s">
        <v>32</v>
      </c>
      <c r="C283" s="55">
        <f>34281+(8*364)</f>
        <v>37193</v>
      </c>
      <c r="D283" s="51">
        <f t="shared" ca="1" si="4"/>
        <v>14</v>
      </c>
      <c r="E283" s="31" t="s">
        <v>46</v>
      </c>
      <c r="F283" s="52">
        <v>2</v>
      </c>
      <c r="G283" s="38">
        <v>49783</v>
      </c>
      <c r="H283" s="72"/>
      <c r="I283" s="71"/>
    </row>
    <row r="284" spans="1:9" x14ac:dyDescent="0.25">
      <c r="A284" s="50">
        <v>698869555</v>
      </c>
      <c r="B284" s="33" t="s">
        <v>32</v>
      </c>
      <c r="C284" s="55">
        <f>35193+(8*364)</f>
        <v>38105</v>
      </c>
      <c r="D284" s="51">
        <f t="shared" ca="1" si="4"/>
        <v>11</v>
      </c>
      <c r="E284" s="31" t="s">
        <v>49</v>
      </c>
      <c r="F284" s="52">
        <v>1</v>
      </c>
      <c r="G284" s="38">
        <v>37566</v>
      </c>
      <c r="H284" s="72"/>
      <c r="I284" s="71"/>
    </row>
    <row r="285" spans="1:9" x14ac:dyDescent="0.25">
      <c r="A285" s="50">
        <v>708082156</v>
      </c>
      <c r="B285" s="33" t="s">
        <v>35</v>
      </c>
      <c r="C285" s="55">
        <f>35002+(8*364)</f>
        <v>37914</v>
      </c>
      <c r="D285" s="51">
        <f t="shared" ca="1" si="4"/>
        <v>12</v>
      </c>
      <c r="E285" s="31" t="s">
        <v>33</v>
      </c>
      <c r="F285" s="52">
        <v>4</v>
      </c>
      <c r="G285" s="38">
        <v>57162</v>
      </c>
      <c r="H285" s="72"/>
      <c r="I285" s="71"/>
    </row>
    <row r="286" spans="1:9" x14ac:dyDescent="0.25">
      <c r="A286" s="50">
        <v>709234421</v>
      </c>
      <c r="B286" s="33" t="s">
        <v>35</v>
      </c>
      <c r="C286" s="55">
        <f>33444+(8*364)</f>
        <v>36356</v>
      </c>
      <c r="D286" s="51">
        <f t="shared" ca="1" si="4"/>
        <v>16</v>
      </c>
      <c r="E286" s="31" t="s">
        <v>33</v>
      </c>
      <c r="F286" s="52">
        <v>5</v>
      </c>
      <c r="G286" s="38">
        <v>67788</v>
      </c>
      <c r="H286" s="72"/>
      <c r="I286" s="71"/>
    </row>
    <row r="287" spans="1:9" x14ac:dyDescent="0.25">
      <c r="A287" s="50">
        <v>710460589</v>
      </c>
      <c r="B287" s="33" t="s">
        <v>61</v>
      </c>
      <c r="C287" s="55">
        <f>31869+(8*364)</f>
        <v>34781</v>
      </c>
      <c r="D287" s="51">
        <f t="shared" ca="1" si="4"/>
        <v>20</v>
      </c>
      <c r="E287" s="31" t="s">
        <v>46</v>
      </c>
      <c r="F287" s="52">
        <v>2</v>
      </c>
      <c r="G287" s="38">
        <v>88155</v>
      </c>
      <c r="H287" s="72"/>
      <c r="I287" s="71"/>
    </row>
    <row r="288" spans="1:9" x14ac:dyDescent="0.25">
      <c r="A288" s="50">
        <v>717503282</v>
      </c>
      <c r="B288" s="33" t="s">
        <v>42</v>
      </c>
      <c r="C288" s="55">
        <f>39213+(8*364)</f>
        <v>42125</v>
      </c>
      <c r="D288" s="51">
        <f t="shared" ca="1" si="4"/>
        <v>0</v>
      </c>
      <c r="E288" s="31"/>
      <c r="F288" s="52">
        <v>4</v>
      </c>
      <c r="G288" s="38">
        <v>69992</v>
      </c>
      <c r="H288" s="72"/>
      <c r="I288" s="71"/>
    </row>
    <row r="289" spans="1:9" x14ac:dyDescent="0.25">
      <c r="A289" s="50">
        <v>720538680</v>
      </c>
      <c r="B289" s="33" t="s">
        <v>32</v>
      </c>
      <c r="C289" s="55">
        <f>33173+(8*364)</f>
        <v>36085</v>
      </c>
      <c r="D289" s="51">
        <f t="shared" ca="1" si="4"/>
        <v>17</v>
      </c>
      <c r="E289" s="31" t="s">
        <v>33</v>
      </c>
      <c r="F289" s="52">
        <v>4</v>
      </c>
      <c r="G289" s="38">
        <v>76262</v>
      </c>
      <c r="H289" s="72"/>
      <c r="I289" s="71"/>
    </row>
    <row r="290" spans="1:9" x14ac:dyDescent="0.25">
      <c r="A290" s="50">
        <v>721169660</v>
      </c>
      <c r="B290" s="33" t="s">
        <v>59</v>
      </c>
      <c r="C290" s="55">
        <f>38964+(8*364)</f>
        <v>41876</v>
      </c>
      <c r="D290" s="51">
        <f t="shared" ca="1" si="4"/>
        <v>1</v>
      </c>
      <c r="E290" s="31" t="s">
        <v>60</v>
      </c>
      <c r="F290" s="52">
        <v>1</v>
      </c>
      <c r="G290" s="38">
        <v>63477</v>
      </c>
      <c r="H290" s="72"/>
      <c r="I290" s="71"/>
    </row>
    <row r="291" spans="1:9" x14ac:dyDescent="0.25">
      <c r="A291" s="50">
        <v>722630791</v>
      </c>
      <c r="B291" s="33" t="s">
        <v>32</v>
      </c>
      <c r="C291" s="55">
        <f>34672+(8*364)</f>
        <v>37584</v>
      </c>
      <c r="D291" s="51">
        <f t="shared" ca="1" si="4"/>
        <v>13</v>
      </c>
      <c r="E291" s="31"/>
      <c r="F291" s="52">
        <v>3</v>
      </c>
      <c r="G291" s="38">
        <v>101611</v>
      </c>
      <c r="H291" s="72"/>
      <c r="I291" s="71"/>
    </row>
    <row r="292" spans="1:9" x14ac:dyDescent="0.25">
      <c r="A292" s="50">
        <v>723066626</v>
      </c>
      <c r="B292" s="33" t="s">
        <v>42</v>
      </c>
      <c r="C292" s="55">
        <f>37128+(8*364)</f>
        <v>40040</v>
      </c>
      <c r="D292" s="51">
        <f t="shared" ca="1" si="4"/>
        <v>6</v>
      </c>
      <c r="E292" s="31"/>
      <c r="F292" s="52">
        <v>3</v>
      </c>
      <c r="G292" s="38">
        <v>83217</v>
      </c>
      <c r="H292" s="72"/>
      <c r="I292" s="71"/>
    </row>
    <row r="293" spans="1:9" x14ac:dyDescent="0.25">
      <c r="A293" s="50">
        <v>725737456</v>
      </c>
      <c r="B293" s="33" t="s">
        <v>32</v>
      </c>
      <c r="C293" s="55">
        <f>37564+(8*364)</f>
        <v>40476</v>
      </c>
      <c r="D293" s="51">
        <f t="shared" ca="1" si="4"/>
        <v>5</v>
      </c>
      <c r="E293" s="31"/>
      <c r="F293" s="52">
        <v>4</v>
      </c>
      <c r="G293" s="38">
        <v>95686</v>
      </c>
      <c r="H293" s="72"/>
      <c r="I293" s="71"/>
    </row>
    <row r="294" spans="1:9" x14ac:dyDescent="0.25">
      <c r="A294" s="50">
        <v>725801036</v>
      </c>
      <c r="B294" s="33" t="s">
        <v>32</v>
      </c>
      <c r="C294" s="55">
        <f>34662+(8*364)</f>
        <v>37574</v>
      </c>
      <c r="D294" s="51">
        <f t="shared" ca="1" si="4"/>
        <v>13</v>
      </c>
      <c r="E294" s="31"/>
      <c r="F294" s="52">
        <v>5</v>
      </c>
      <c r="G294" s="38">
        <v>48093</v>
      </c>
      <c r="H294" s="72"/>
      <c r="I294" s="71"/>
    </row>
    <row r="295" spans="1:9" x14ac:dyDescent="0.25">
      <c r="A295" s="50">
        <v>728567428</v>
      </c>
      <c r="B295" s="33" t="s">
        <v>44</v>
      </c>
      <c r="C295" s="55">
        <f>39314+(8*364)</f>
        <v>42226</v>
      </c>
      <c r="D295" s="51">
        <f t="shared" ca="1" si="4"/>
        <v>0</v>
      </c>
      <c r="E295" s="31" t="s">
        <v>53</v>
      </c>
      <c r="F295" s="52">
        <v>1</v>
      </c>
      <c r="G295" s="38">
        <v>69076</v>
      </c>
      <c r="H295" s="72"/>
      <c r="I295" s="71"/>
    </row>
    <row r="296" spans="1:9" x14ac:dyDescent="0.25">
      <c r="A296" s="50">
        <v>733358713</v>
      </c>
      <c r="B296" s="33" t="s">
        <v>42</v>
      </c>
      <c r="C296" s="55">
        <f>34028+(8*364)</f>
        <v>36940</v>
      </c>
      <c r="D296" s="51">
        <f t="shared" ca="1" si="4"/>
        <v>14</v>
      </c>
      <c r="E296" s="31"/>
      <c r="F296" s="52">
        <v>2</v>
      </c>
      <c r="G296" s="38">
        <v>101698</v>
      </c>
      <c r="H296" s="72"/>
      <c r="I296" s="71"/>
    </row>
    <row r="297" spans="1:9" x14ac:dyDescent="0.25">
      <c r="A297" s="50">
        <v>733881041</v>
      </c>
      <c r="B297" s="33" t="s">
        <v>35</v>
      </c>
      <c r="C297" s="55">
        <f>35247+(8*364)</f>
        <v>38159</v>
      </c>
      <c r="D297" s="51">
        <f t="shared" ca="1" si="4"/>
        <v>11</v>
      </c>
      <c r="E297" s="31"/>
      <c r="F297" s="52">
        <v>4</v>
      </c>
      <c r="G297" s="38">
        <v>84519</v>
      </c>
      <c r="H297" s="72"/>
      <c r="I297" s="71"/>
    </row>
    <row r="298" spans="1:9" x14ac:dyDescent="0.25">
      <c r="A298" s="50">
        <v>736688620</v>
      </c>
      <c r="B298" s="33" t="s">
        <v>48</v>
      </c>
      <c r="C298" s="55">
        <f>38458+(8*364)</f>
        <v>41370</v>
      </c>
      <c r="D298" s="51">
        <f t="shared" ca="1" si="4"/>
        <v>2</v>
      </c>
      <c r="E298" s="31" t="s">
        <v>33</v>
      </c>
      <c r="F298" s="52">
        <v>5</v>
      </c>
      <c r="G298" s="38">
        <v>96337</v>
      </c>
      <c r="H298" s="72"/>
      <c r="I298" s="71"/>
    </row>
    <row r="299" spans="1:9" x14ac:dyDescent="0.25">
      <c r="A299" s="50">
        <v>737152868</v>
      </c>
      <c r="B299" s="33" t="s">
        <v>44</v>
      </c>
      <c r="C299" s="55">
        <f>35363+(8*364)</f>
        <v>38275</v>
      </c>
      <c r="D299" s="51">
        <f t="shared" ca="1" si="4"/>
        <v>11</v>
      </c>
      <c r="E299" s="31" t="s">
        <v>53</v>
      </c>
      <c r="F299" s="52">
        <v>1</v>
      </c>
      <c r="G299" s="38">
        <v>39627</v>
      </c>
      <c r="H299" s="72"/>
      <c r="I299" s="71"/>
    </row>
    <row r="300" spans="1:9" x14ac:dyDescent="0.25">
      <c r="A300" s="50">
        <v>738946277</v>
      </c>
      <c r="B300" s="33" t="s">
        <v>58</v>
      </c>
      <c r="C300" s="55">
        <f>31913+(8*364)</f>
        <v>34825</v>
      </c>
      <c r="D300" s="51">
        <f t="shared" ca="1" si="4"/>
        <v>20</v>
      </c>
      <c r="E300" s="31" t="s">
        <v>60</v>
      </c>
      <c r="F300" s="52">
        <v>5</v>
      </c>
      <c r="G300" s="38">
        <v>41071</v>
      </c>
      <c r="H300" s="72"/>
      <c r="I300" s="71"/>
    </row>
    <row r="301" spans="1:9" x14ac:dyDescent="0.25">
      <c r="A301" s="50">
        <v>741258203</v>
      </c>
      <c r="B301" s="33" t="s">
        <v>42</v>
      </c>
      <c r="C301" s="55">
        <f>32479+(8*364)</f>
        <v>35391</v>
      </c>
      <c r="D301" s="51">
        <f t="shared" ca="1" si="4"/>
        <v>19</v>
      </c>
      <c r="E301" s="31"/>
      <c r="F301" s="52">
        <v>4</v>
      </c>
      <c r="G301" s="38">
        <v>58350</v>
      </c>
      <c r="H301" s="72"/>
      <c r="I301" s="71"/>
    </row>
    <row r="302" spans="1:9" x14ac:dyDescent="0.25">
      <c r="A302" s="50">
        <v>742946482</v>
      </c>
      <c r="B302" s="33" t="s">
        <v>64</v>
      </c>
      <c r="C302" s="55">
        <f>32522+(8*364)</f>
        <v>35434</v>
      </c>
      <c r="D302" s="51">
        <f t="shared" ca="1" si="4"/>
        <v>18</v>
      </c>
      <c r="E302" s="31" t="s">
        <v>33</v>
      </c>
      <c r="F302" s="52">
        <v>3</v>
      </c>
      <c r="G302" s="38">
        <v>96819</v>
      </c>
      <c r="H302" s="72"/>
      <c r="I302" s="71"/>
    </row>
    <row r="303" spans="1:9" x14ac:dyDescent="0.25">
      <c r="A303" s="50">
        <v>744830329</v>
      </c>
      <c r="B303" s="33" t="s">
        <v>35</v>
      </c>
      <c r="C303" s="55">
        <f>33490+(8*364)</f>
        <v>36402</v>
      </c>
      <c r="D303" s="51">
        <f t="shared" ca="1" si="4"/>
        <v>16</v>
      </c>
      <c r="E303" s="31" t="s">
        <v>60</v>
      </c>
      <c r="F303" s="52">
        <v>3</v>
      </c>
      <c r="G303" s="38">
        <v>83021</v>
      </c>
      <c r="H303" s="72"/>
      <c r="I303" s="71"/>
    </row>
    <row r="304" spans="1:9" x14ac:dyDescent="0.25">
      <c r="A304" s="50">
        <v>750006979</v>
      </c>
      <c r="B304" s="33" t="s">
        <v>42</v>
      </c>
      <c r="C304" s="55">
        <f>32732+(8*364)</f>
        <v>35644</v>
      </c>
      <c r="D304" s="51">
        <f t="shared" ca="1" si="4"/>
        <v>18</v>
      </c>
      <c r="E304" s="31" t="s">
        <v>49</v>
      </c>
      <c r="F304" s="52">
        <v>3</v>
      </c>
      <c r="G304" s="38">
        <v>112735</v>
      </c>
      <c r="H304" s="72"/>
      <c r="I304" s="71"/>
    </row>
    <row r="305" spans="1:9" x14ac:dyDescent="0.25">
      <c r="A305" s="50">
        <v>750581894</v>
      </c>
      <c r="B305" s="33" t="s">
        <v>35</v>
      </c>
      <c r="C305" s="55">
        <f>39040+(8*364)</f>
        <v>41952</v>
      </c>
      <c r="D305" s="51">
        <f t="shared" ca="1" si="4"/>
        <v>1</v>
      </c>
      <c r="E305" s="31"/>
      <c r="F305" s="52">
        <v>3</v>
      </c>
      <c r="G305" s="38">
        <v>82647</v>
      </c>
      <c r="H305" s="72"/>
      <c r="I305" s="71"/>
    </row>
    <row r="306" spans="1:9" x14ac:dyDescent="0.25">
      <c r="A306" s="50">
        <v>751878224</v>
      </c>
      <c r="B306" s="33" t="s">
        <v>58</v>
      </c>
      <c r="C306" s="55">
        <f>32296+(8*364)</f>
        <v>35208</v>
      </c>
      <c r="D306" s="51">
        <f t="shared" ca="1" si="4"/>
        <v>19</v>
      </c>
      <c r="E306" s="31" t="s">
        <v>60</v>
      </c>
      <c r="F306" s="52">
        <v>3</v>
      </c>
      <c r="G306" s="38">
        <v>84272</v>
      </c>
      <c r="H306" s="72"/>
      <c r="I306" s="71"/>
    </row>
    <row r="307" spans="1:9" x14ac:dyDescent="0.25">
      <c r="A307" s="50">
        <v>755945415</v>
      </c>
      <c r="B307" s="33" t="s">
        <v>66</v>
      </c>
      <c r="C307" s="55">
        <f>39023+(8*364)</f>
        <v>41935</v>
      </c>
      <c r="D307" s="51">
        <f t="shared" ca="1" si="4"/>
        <v>1</v>
      </c>
      <c r="E307" s="31"/>
      <c r="F307" s="52">
        <v>2</v>
      </c>
      <c r="G307" s="38">
        <v>48025</v>
      </c>
      <c r="H307" s="72"/>
      <c r="I307" s="71"/>
    </row>
    <row r="308" spans="1:9" x14ac:dyDescent="0.25">
      <c r="A308" s="50">
        <v>759350847</v>
      </c>
      <c r="B308" s="33" t="s">
        <v>39</v>
      </c>
      <c r="C308" s="55">
        <f>37087+(8*364)</f>
        <v>39999</v>
      </c>
      <c r="D308" s="51">
        <f t="shared" ca="1" si="4"/>
        <v>6</v>
      </c>
      <c r="E308" s="31" t="s">
        <v>33</v>
      </c>
      <c r="F308" s="52">
        <v>4</v>
      </c>
      <c r="G308" s="38">
        <v>74757</v>
      </c>
      <c r="H308" s="72"/>
      <c r="I308" s="71"/>
    </row>
    <row r="309" spans="1:9" x14ac:dyDescent="0.25">
      <c r="A309" s="50">
        <v>761337848</v>
      </c>
      <c r="B309" s="33" t="s">
        <v>52</v>
      </c>
      <c r="C309" s="55">
        <f>33192+(8*364)</f>
        <v>36104</v>
      </c>
      <c r="D309" s="51">
        <f t="shared" ca="1" si="4"/>
        <v>17</v>
      </c>
      <c r="E309" s="31"/>
      <c r="F309" s="52">
        <v>2</v>
      </c>
      <c r="G309" s="38">
        <v>55657</v>
      </c>
      <c r="H309" s="72"/>
      <c r="I309" s="71"/>
    </row>
    <row r="310" spans="1:9" x14ac:dyDescent="0.25">
      <c r="A310" s="50">
        <v>765836666</v>
      </c>
      <c r="B310" s="33" t="s">
        <v>35</v>
      </c>
      <c r="C310" s="55">
        <f>37843+(8*364)</f>
        <v>40755</v>
      </c>
      <c r="D310" s="51">
        <f t="shared" ca="1" si="4"/>
        <v>4</v>
      </c>
      <c r="E310" s="31" t="s">
        <v>46</v>
      </c>
      <c r="F310" s="52">
        <v>5</v>
      </c>
      <c r="G310" s="38">
        <v>94116</v>
      </c>
      <c r="H310" s="72"/>
      <c r="I310" s="71"/>
    </row>
    <row r="311" spans="1:9" x14ac:dyDescent="0.25">
      <c r="A311" s="50">
        <v>767961463</v>
      </c>
      <c r="B311" s="33" t="s">
        <v>68</v>
      </c>
      <c r="C311" s="55">
        <f>35467+(8*364)</f>
        <v>38379</v>
      </c>
      <c r="D311" s="51">
        <f t="shared" ca="1" si="4"/>
        <v>10</v>
      </c>
      <c r="E311" s="31"/>
      <c r="F311" s="52">
        <v>3</v>
      </c>
      <c r="G311" s="38">
        <v>63400</v>
      </c>
      <c r="H311" s="72"/>
      <c r="I311" s="71"/>
    </row>
    <row r="312" spans="1:9" x14ac:dyDescent="0.25">
      <c r="A312" s="50">
        <v>768215237</v>
      </c>
      <c r="B312" s="33" t="s">
        <v>59</v>
      </c>
      <c r="C312" s="55">
        <f>32162+(8*364)</f>
        <v>35074</v>
      </c>
      <c r="D312" s="51">
        <f t="shared" ca="1" si="4"/>
        <v>19</v>
      </c>
      <c r="E312" s="31" t="s">
        <v>60</v>
      </c>
      <c r="F312" s="52">
        <v>3</v>
      </c>
      <c r="G312" s="38">
        <v>59138</v>
      </c>
      <c r="H312" s="72"/>
      <c r="I312" s="71"/>
    </row>
    <row r="313" spans="1:9" x14ac:dyDescent="0.25">
      <c r="A313" s="50">
        <v>768681542</v>
      </c>
      <c r="B313" s="33" t="s">
        <v>68</v>
      </c>
      <c r="C313" s="55">
        <f>34154+(8*364)</f>
        <v>37066</v>
      </c>
      <c r="D313" s="51">
        <f t="shared" ca="1" si="4"/>
        <v>14</v>
      </c>
      <c r="E313" s="31" t="s">
        <v>33</v>
      </c>
      <c r="F313" s="52">
        <v>1</v>
      </c>
      <c r="G313" s="38">
        <v>43034</v>
      </c>
      <c r="H313" s="72"/>
      <c r="I313" s="71"/>
    </row>
    <row r="314" spans="1:9" x14ac:dyDescent="0.25">
      <c r="A314" s="50">
        <v>771110153</v>
      </c>
      <c r="B314" s="33" t="s">
        <v>42</v>
      </c>
      <c r="C314" s="55">
        <f>37973+(8*364)</f>
        <v>40885</v>
      </c>
      <c r="D314" s="51">
        <f t="shared" ca="1" si="4"/>
        <v>4</v>
      </c>
      <c r="E314" s="31" t="s">
        <v>33</v>
      </c>
      <c r="F314" s="52">
        <v>3</v>
      </c>
      <c r="G314" s="38">
        <v>98989</v>
      </c>
      <c r="H314" s="72"/>
      <c r="I314" s="71"/>
    </row>
    <row r="315" spans="1:9" x14ac:dyDescent="0.25">
      <c r="A315" s="50">
        <v>771277493</v>
      </c>
      <c r="B315" s="33" t="s">
        <v>68</v>
      </c>
      <c r="C315" s="55">
        <f>38816+(8*364)</f>
        <v>41728</v>
      </c>
      <c r="D315" s="51">
        <f t="shared" ca="1" si="4"/>
        <v>1</v>
      </c>
      <c r="E315" s="31"/>
      <c r="F315" s="52">
        <v>4</v>
      </c>
      <c r="G315" s="38">
        <v>72879</v>
      </c>
      <c r="H315" s="72"/>
      <c r="I315" s="71"/>
    </row>
    <row r="316" spans="1:9" x14ac:dyDescent="0.25">
      <c r="A316" s="50">
        <v>775217609</v>
      </c>
      <c r="B316" s="33" t="s">
        <v>32</v>
      </c>
      <c r="C316" s="55">
        <f>33094+(8*364)</f>
        <v>36006</v>
      </c>
      <c r="D316" s="51">
        <f t="shared" ca="1" si="4"/>
        <v>17</v>
      </c>
      <c r="E316" s="31" t="s">
        <v>46</v>
      </c>
      <c r="F316" s="52">
        <v>2</v>
      </c>
      <c r="G316" s="38">
        <v>106215</v>
      </c>
      <c r="H316" s="72"/>
      <c r="I316" s="71"/>
    </row>
    <row r="317" spans="1:9" x14ac:dyDescent="0.25">
      <c r="A317" s="50">
        <v>776823797</v>
      </c>
      <c r="B317" s="33" t="s">
        <v>37</v>
      </c>
      <c r="C317" s="55">
        <f>32077+(8*364)</f>
        <v>34989</v>
      </c>
      <c r="D317" s="51">
        <f t="shared" ca="1" si="4"/>
        <v>20</v>
      </c>
      <c r="E317" s="31"/>
      <c r="F317" s="52">
        <v>4</v>
      </c>
      <c r="G317" s="38">
        <v>45948</v>
      </c>
      <c r="H317" s="72"/>
      <c r="I317" s="71"/>
    </row>
    <row r="318" spans="1:9" x14ac:dyDescent="0.25">
      <c r="A318" s="50">
        <v>781472289</v>
      </c>
      <c r="B318" s="33" t="s">
        <v>35</v>
      </c>
      <c r="C318" s="55">
        <f>32238+(8*364)</f>
        <v>35150</v>
      </c>
      <c r="D318" s="51">
        <f t="shared" ca="1" si="4"/>
        <v>19</v>
      </c>
      <c r="E318" s="31" t="s">
        <v>46</v>
      </c>
      <c r="F318" s="52">
        <v>3</v>
      </c>
      <c r="G318" s="38">
        <v>108469</v>
      </c>
      <c r="H318" s="72"/>
      <c r="I318" s="71"/>
    </row>
    <row r="319" spans="1:9" x14ac:dyDescent="0.25">
      <c r="A319" s="50">
        <v>781913936</v>
      </c>
      <c r="B319" s="33" t="s">
        <v>68</v>
      </c>
      <c r="C319" s="55">
        <f>36472+(8*364)</f>
        <v>39384</v>
      </c>
      <c r="D319" s="51">
        <f t="shared" ca="1" si="4"/>
        <v>8</v>
      </c>
      <c r="E319" s="31" t="s">
        <v>53</v>
      </c>
      <c r="F319" s="52">
        <v>3</v>
      </c>
      <c r="G319" s="38">
        <v>75682</v>
      </c>
      <c r="H319" s="72"/>
      <c r="I319" s="71"/>
    </row>
    <row r="320" spans="1:9" x14ac:dyDescent="0.25">
      <c r="A320" s="50">
        <v>783624212</v>
      </c>
      <c r="B320" s="33" t="s">
        <v>32</v>
      </c>
      <c r="C320" s="55">
        <f>33273+(8*364)</f>
        <v>36185</v>
      </c>
      <c r="D320" s="51">
        <f t="shared" ca="1" si="4"/>
        <v>16</v>
      </c>
      <c r="E320" s="31" t="s">
        <v>60</v>
      </c>
      <c r="F320" s="52">
        <v>2</v>
      </c>
      <c r="G320" s="38">
        <v>35183</v>
      </c>
      <c r="H320" s="72"/>
      <c r="I320" s="71"/>
    </row>
    <row r="321" spans="1:9" x14ac:dyDescent="0.25">
      <c r="A321" s="50">
        <v>784064156</v>
      </c>
      <c r="B321" s="33" t="s">
        <v>35</v>
      </c>
      <c r="C321" s="55">
        <f>32294+(8*364)</f>
        <v>35206</v>
      </c>
      <c r="D321" s="51">
        <f t="shared" ca="1" si="4"/>
        <v>19</v>
      </c>
      <c r="E321" s="31" t="s">
        <v>33</v>
      </c>
      <c r="F321" s="52">
        <v>1</v>
      </c>
      <c r="G321" s="38">
        <v>72847</v>
      </c>
      <c r="H321" s="72"/>
      <c r="I321" s="71"/>
    </row>
    <row r="322" spans="1:9" x14ac:dyDescent="0.25">
      <c r="A322" s="50">
        <v>793256568</v>
      </c>
      <c r="B322" s="33" t="s">
        <v>42</v>
      </c>
      <c r="C322" s="55">
        <f>34054+(8*364)</f>
        <v>36966</v>
      </c>
      <c r="D322" s="51">
        <f t="shared" ref="D322:D385" ca="1" si="5">DATEDIF(C322,TODAY(),"Y")</f>
        <v>14</v>
      </c>
      <c r="E322" s="31" t="s">
        <v>33</v>
      </c>
      <c r="F322" s="52">
        <v>5</v>
      </c>
      <c r="G322" s="38">
        <v>102818</v>
      </c>
      <c r="H322" s="72"/>
      <c r="I322" s="71"/>
    </row>
    <row r="323" spans="1:9" x14ac:dyDescent="0.25">
      <c r="A323" s="50">
        <v>794814501</v>
      </c>
      <c r="B323" s="33" t="s">
        <v>42</v>
      </c>
      <c r="C323" s="55">
        <f>38925+(8*364)</f>
        <v>41837</v>
      </c>
      <c r="D323" s="51">
        <f t="shared" ca="1" si="5"/>
        <v>1</v>
      </c>
      <c r="E323" s="31"/>
      <c r="F323" s="52">
        <v>3</v>
      </c>
      <c r="G323" s="38">
        <v>62305</v>
      </c>
      <c r="H323" s="72"/>
      <c r="I323" s="71"/>
    </row>
    <row r="324" spans="1:9" x14ac:dyDescent="0.25">
      <c r="A324" s="50">
        <v>796685092</v>
      </c>
      <c r="B324" s="33" t="s">
        <v>58</v>
      </c>
      <c r="C324" s="55">
        <f>35146+(8*364)</f>
        <v>38058</v>
      </c>
      <c r="D324" s="51">
        <f t="shared" ca="1" si="5"/>
        <v>11</v>
      </c>
      <c r="E324" s="31" t="s">
        <v>46</v>
      </c>
      <c r="F324" s="52">
        <v>5</v>
      </c>
      <c r="G324" s="38">
        <v>71715</v>
      </c>
      <c r="H324" s="72"/>
      <c r="I324" s="71"/>
    </row>
    <row r="325" spans="1:9" x14ac:dyDescent="0.25">
      <c r="A325" s="50">
        <v>797431044</v>
      </c>
      <c r="B325" s="33" t="s">
        <v>66</v>
      </c>
      <c r="C325" s="55">
        <f>34774+(8*364)</f>
        <v>37686</v>
      </c>
      <c r="D325" s="51">
        <f t="shared" ca="1" si="5"/>
        <v>12</v>
      </c>
      <c r="E325" s="31"/>
      <c r="F325" s="52">
        <v>4</v>
      </c>
      <c r="G325" s="38">
        <v>91024</v>
      </c>
      <c r="H325" s="72"/>
      <c r="I325" s="71"/>
    </row>
    <row r="326" spans="1:9" x14ac:dyDescent="0.25">
      <c r="A326" s="50">
        <v>800685434</v>
      </c>
      <c r="B326" s="33" t="s">
        <v>42</v>
      </c>
      <c r="C326" s="55">
        <f>35646+(8*364)</f>
        <v>38558</v>
      </c>
      <c r="D326" s="51">
        <f t="shared" ca="1" si="5"/>
        <v>10</v>
      </c>
      <c r="E326" s="31" t="s">
        <v>53</v>
      </c>
      <c r="F326" s="52">
        <v>1</v>
      </c>
      <c r="G326" s="38">
        <v>69587</v>
      </c>
      <c r="H326" s="72"/>
      <c r="I326" s="71"/>
    </row>
    <row r="327" spans="1:9" x14ac:dyDescent="0.25">
      <c r="A327" s="50">
        <v>802700229</v>
      </c>
      <c r="B327" s="33" t="s">
        <v>66</v>
      </c>
      <c r="C327" s="55">
        <f>32594+(8*364)</f>
        <v>35506</v>
      </c>
      <c r="D327" s="51">
        <f t="shared" ca="1" si="5"/>
        <v>18</v>
      </c>
      <c r="E327" s="31" t="s">
        <v>60</v>
      </c>
      <c r="F327" s="52">
        <v>1</v>
      </c>
      <c r="G327" s="38">
        <v>78234</v>
      </c>
      <c r="H327" s="72"/>
      <c r="I327" s="71"/>
    </row>
    <row r="328" spans="1:9" x14ac:dyDescent="0.25">
      <c r="A328" s="50">
        <v>808012612</v>
      </c>
      <c r="B328" s="33" t="s">
        <v>44</v>
      </c>
      <c r="C328" s="55">
        <f>32348+(8*364)</f>
        <v>35260</v>
      </c>
      <c r="D328" s="51">
        <f t="shared" ca="1" si="5"/>
        <v>19</v>
      </c>
      <c r="E328" s="31"/>
      <c r="F328" s="52">
        <v>2</v>
      </c>
      <c r="G328" s="38">
        <v>58400</v>
      </c>
      <c r="H328" s="72"/>
      <c r="I328" s="71"/>
    </row>
    <row r="329" spans="1:9" x14ac:dyDescent="0.25">
      <c r="A329" s="50">
        <v>816607187</v>
      </c>
      <c r="B329" s="33" t="s">
        <v>52</v>
      </c>
      <c r="C329" s="55">
        <f>39142+(8*364)</f>
        <v>42054</v>
      </c>
      <c r="D329" s="51">
        <f t="shared" ca="1" si="5"/>
        <v>0</v>
      </c>
      <c r="E329" s="31"/>
      <c r="F329" s="52">
        <v>3</v>
      </c>
      <c r="G329" s="38">
        <v>101896</v>
      </c>
      <c r="H329" s="72"/>
      <c r="I329" s="71"/>
    </row>
    <row r="330" spans="1:9" x14ac:dyDescent="0.25">
      <c r="A330" s="50">
        <v>828395582</v>
      </c>
      <c r="B330" s="33" t="s">
        <v>44</v>
      </c>
      <c r="C330" s="55">
        <f>32263+(8*364)</f>
        <v>35175</v>
      </c>
      <c r="D330" s="51">
        <f t="shared" ca="1" si="5"/>
        <v>19</v>
      </c>
      <c r="E330" s="31" t="s">
        <v>53</v>
      </c>
      <c r="F330" s="52">
        <v>4</v>
      </c>
      <c r="G330" s="38">
        <v>39259</v>
      </c>
      <c r="H330" s="72"/>
      <c r="I330" s="71"/>
    </row>
    <row r="331" spans="1:9" x14ac:dyDescent="0.25">
      <c r="A331" s="50">
        <v>828715080</v>
      </c>
      <c r="B331" s="33" t="s">
        <v>44</v>
      </c>
      <c r="C331" s="55">
        <f>33784+(8*364)</f>
        <v>36696</v>
      </c>
      <c r="D331" s="51">
        <f t="shared" ca="1" si="5"/>
        <v>15</v>
      </c>
      <c r="E331" s="31" t="s">
        <v>60</v>
      </c>
      <c r="F331" s="52">
        <v>2</v>
      </c>
      <c r="G331" s="38">
        <v>78237</v>
      </c>
      <c r="H331" s="72"/>
      <c r="I331" s="71"/>
    </row>
    <row r="332" spans="1:9" x14ac:dyDescent="0.25">
      <c r="A332" s="50">
        <v>828996583</v>
      </c>
      <c r="B332" s="33" t="s">
        <v>63</v>
      </c>
      <c r="C332" s="55">
        <f>31873+(8*364)</f>
        <v>34785</v>
      </c>
      <c r="D332" s="51">
        <f t="shared" ca="1" si="5"/>
        <v>20</v>
      </c>
      <c r="E332" s="31"/>
      <c r="F332" s="52">
        <v>5</v>
      </c>
      <c r="G332" s="38">
        <v>83985</v>
      </c>
      <c r="H332" s="72"/>
      <c r="I332" s="71"/>
    </row>
    <row r="333" spans="1:9" x14ac:dyDescent="0.25">
      <c r="A333" s="50">
        <v>829216164</v>
      </c>
      <c r="B333" s="33" t="s">
        <v>32</v>
      </c>
      <c r="C333" s="55">
        <f>38235+(8*364)</f>
        <v>41147</v>
      </c>
      <c r="D333" s="51">
        <f t="shared" ca="1" si="5"/>
        <v>3</v>
      </c>
      <c r="E333" s="31"/>
      <c r="F333" s="52">
        <v>2</v>
      </c>
      <c r="G333" s="38">
        <v>51365</v>
      </c>
      <c r="H333" s="72"/>
      <c r="I333" s="71"/>
    </row>
    <row r="334" spans="1:9" x14ac:dyDescent="0.25">
      <c r="A334" s="50">
        <v>834061135</v>
      </c>
      <c r="B334" s="33" t="s">
        <v>61</v>
      </c>
      <c r="C334" s="55">
        <f>32203+(8*364)</f>
        <v>35115</v>
      </c>
      <c r="D334" s="51">
        <f t="shared" ca="1" si="5"/>
        <v>19</v>
      </c>
      <c r="E334" s="31" t="s">
        <v>49</v>
      </c>
      <c r="F334" s="52">
        <v>2</v>
      </c>
      <c r="G334" s="38">
        <v>66169</v>
      </c>
      <c r="H334" s="72"/>
      <c r="I334" s="71"/>
    </row>
    <row r="335" spans="1:9" x14ac:dyDescent="0.25">
      <c r="A335" s="50">
        <v>836953739</v>
      </c>
      <c r="B335" s="33" t="s">
        <v>35</v>
      </c>
      <c r="C335" s="55">
        <f>35221+(8*364)</f>
        <v>38133</v>
      </c>
      <c r="D335" s="51">
        <f t="shared" ca="1" si="5"/>
        <v>11</v>
      </c>
      <c r="E335" s="31" t="s">
        <v>49</v>
      </c>
      <c r="F335" s="52">
        <v>4</v>
      </c>
      <c r="G335" s="38">
        <v>113482</v>
      </c>
      <c r="H335" s="72"/>
      <c r="I335" s="71"/>
    </row>
    <row r="336" spans="1:9" x14ac:dyDescent="0.25">
      <c r="A336" s="50">
        <v>840313216</v>
      </c>
      <c r="B336" s="33" t="s">
        <v>68</v>
      </c>
      <c r="C336" s="55">
        <f>37759+(8*364)</f>
        <v>40671</v>
      </c>
      <c r="D336" s="51">
        <f t="shared" ca="1" si="5"/>
        <v>4</v>
      </c>
      <c r="E336" s="31" t="s">
        <v>49</v>
      </c>
      <c r="F336" s="52">
        <v>3</v>
      </c>
      <c r="G336" s="38">
        <v>42464</v>
      </c>
      <c r="H336" s="72"/>
      <c r="I336" s="71"/>
    </row>
    <row r="337" spans="1:9" x14ac:dyDescent="0.25">
      <c r="A337" s="50">
        <v>841913875</v>
      </c>
      <c r="B337" s="33" t="s">
        <v>59</v>
      </c>
      <c r="C337" s="55">
        <f>33850+(8*364)</f>
        <v>36762</v>
      </c>
      <c r="D337" s="51">
        <f t="shared" ca="1" si="5"/>
        <v>15</v>
      </c>
      <c r="E337" s="31"/>
      <c r="F337" s="52">
        <v>2</v>
      </c>
      <c r="G337" s="38">
        <v>83470</v>
      </c>
      <c r="H337" s="72"/>
      <c r="I337" s="71"/>
    </row>
    <row r="338" spans="1:9" x14ac:dyDescent="0.25">
      <c r="A338" s="50">
        <v>842774592</v>
      </c>
      <c r="B338" s="33" t="s">
        <v>52</v>
      </c>
      <c r="C338" s="55">
        <f>36834+(8*364)</f>
        <v>39746</v>
      </c>
      <c r="D338" s="51">
        <f t="shared" ca="1" si="5"/>
        <v>7</v>
      </c>
      <c r="E338" s="31"/>
      <c r="F338" s="52">
        <v>4</v>
      </c>
      <c r="G338" s="38">
        <v>41433</v>
      </c>
      <c r="H338" s="72"/>
      <c r="I338" s="71"/>
    </row>
    <row r="339" spans="1:9" x14ac:dyDescent="0.25">
      <c r="A339" s="50">
        <v>843064707</v>
      </c>
      <c r="B339" s="33" t="s">
        <v>32</v>
      </c>
      <c r="C339" s="55">
        <f>39370+(8*364)</f>
        <v>42282</v>
      </c>
      <c r="D339" s="51">
        <f t="shared" ca="1" si="5"/>
        <v>0</v>
      </c>
      <c r="E339" s="31"/>
      <c r="F339" s="52">
        <v>3</v>
      </c>
      <c r="G339" s="38">
        <v>91658</v>
      </c>
      <c r="H339" s="72"/>
      <c r="I339" s="71"/>
    </row>
    <row r="340" spans="1:9" x14ac:dyDescent="0.25">
      <c r="A340" s="50">
        <v>843299208</v>
      </c>
      <c r="B340" s="33" t="s">
        <v>42</v>
      </c>
      <c r="C340" s="55">
        <f>38225+(8*364)</f>
        <v>41137</v>
      </c>
      <c r="D340" s="51">
        <f t="shared" ca="1" si="5"/>
        <v>3</v>
      </c>
      <c r="E340" s="31" t="s">
        <v>53</v>
      </c>
      <c r="F340" s="52">
        <v>5</v>
      </c>
      <c r="G340" s="38">
        <v>102954</v>
      </c>
      <c r="H340" s="72"/>
      <c r="I340" s="71"/>
    </row>
    <row r="341" spans="1:9" x14ac:dyDescent="0.25">
      <c r="A341" s="50">
        <v>843875501</v>
      </c>
      <c r="B341" s="33" t="s">
        <v>63</v>
      </c>
      <c r="C341" s="55">
        <f>34866+(8*364)</f>
        <v>37778</v>
      </c>
      <c r="D341" s="51">
        <f t="shared" ca="1" si="5"/>
        <v>12</v>
      </c>
      <c r="E341" s="31"/>
      <c r="F341" s="52">
        <v>5</v>
      </c>
      <c r="G341" s="38">
        <v>57411</v>
      </c>
      <c r="H341" s="72"/>
      <c r="I341" s="71"/>
    </row>
    <row r="342" spans="1:9" x14ac:dyDescent="0.25">
      <c r="A342" s="50">
        <v>847051774</v>
      </c>
      <c r="B342" s="33" t="s">
        <v>52</v>
      </c>
      <c r="C342" s="55">
        <f>38347+(8*364)</f>
        <v>41259</v>
      </c>
      <c r="D342" s="51">
        <f t="shared" ca="1" si="5"/>
        <v>2</v>
      </c>
      <c r="E342" s="31" t="s">
        <v>53</v>
      </c>
      <c r="F342" s="52">
        <v>1</v>
      </c>
      <c r="G342" s="38">
        <v>90255</v>
      </c>
      <c r="H342" s="72"/>
      <c r="I342" s="71"/>
    </row>
    <row r="343" spans="1:9" x14ac:dyDescent="0.25">
      <c r="A343" s="50">
        <v>852430023</v>
      </c>
      <c r="B343" s="33" t="s">
        <v>61</v>
      </c>
      <c r="C343" s="55">
        <f>31802+(8*364)</f>
        <v>34714</v>
      </c>
      <c r="D343" s="51">
        <f t="shared" ca="1" si="5"/>
        <v>20</v>
      </c>
      <c r="E343" s="31" t="s">
        <v>49</v>
      </c>
      <c r="F343" s="52">
        <v>1</v>
      </c>
      <c r="G343" s="38">
        <v>76344</v>
      </c>
      <c r="H343" s="72"/>
      <c r="I343" s="71"/>
    </row>
    <row r="344" spans="1:9" x14ac:dyDescent="0.25">
      <c r="A344" s="50">
        <v>858800513</v>
      </c>
      <c r="B344" s="33" t="s">
        <v>32</v>
      </c>
      <c r="C344" s="55">
        <f>38002+(8*364)</f>
        <v>40914</v>
      </c>
      <c r="D344" s="51">
        <f t="shared" ca="1" si="5"/>
        <v>3</v>
      </c>
      <c r="E344" s="31" t="s">
        <v>60</v>
      </c>
      <c r="F344" s="52">
        <v>3</v>
      </c>
      <c r="G344" s="38">
        <v>77150</v>
      </c>
      <c r="H344" s="72"/>
      <c r="I344" s="71"/>
    </row>
    <row r="345" spans="1:9" x14ac:dyDescent="0.25">
      <c r="A345" s="50">
        <v>859204644</v>
      </c>
      <c r="B345" s="33" t="s">
        <v>66</v>
      </c>
      <c r="C345" s="55">
        <f>34414+(8*364)</f>
        <v>37326</v>
      </c>
      <c r="D345" s="51">
        <f t="shared" ca="1" si="5"/>
        <v>13</v>
      </c>
      <c r="E345" s="31"/>
      <c r="F345" s="52">
        <v>4</v>
      </c>
      <c r="G345" s="38">
        <v>71173</v>
      </c>
      <c r="H345" s="72"/>
      <c r="I345" s="71"/>
    </row>
    <row r="346" spans="1:9" x14ac:dyDescent="0.25">
      <c r="A346" s="50">
        <v>861884260</v>
      </c>
      <c r="B346" s="33" t="s">
        <v>69</v>
      </c>
      <c r="C346" s="55">
        <f>32075+(8*364)</f>
        <v>34987</v>
      </c>
      <c r="D346" s="51">
        <f t="shared" ca="1" si="5"/>
        <v>20</v>
      </c>
      <c r="E346" s="31" t="s">
        <v>33</v>
      </c>
      <c r="F346" s="52">
        <v>1</v>
      </c>
      <c r="G346" s="38">
        <v>110402</v>
      </c>
      <c r="H346" s="72"/>
      <c r="I346" s="71"/>
    </row>
    <row r="347" spans="1:9" x14ac:dyDescent="0.25">
      <c r="A347" s="50">
        <v>862698919</v>
      </c>
      <c r="B347" s="33" t="s">
        <v>42</v>
      </c>
      <c r="C347" s="55">
        <f>37018+(8*364)</f>
        <v>39930</v>
      </c>
      <c r="D347" s="51">
        <f t="shared" ca="1" si="5"/>
        <v>6</v>
      </c>
      <c r="E347" s="31" t="s">
        <v>60</v>
      </c>
      <c r="F347" s="52">
        <v>4</v>
      </c>
      <c r="G347" s="38">
        <v>67467</v>
      </c>
      <c r="H347" s="72"/>
      <c r="I347" s="71"/>
    </row>
    <row r="348" spans="1:9" x14ac:dyDescent="0.25">
      <c r="A348" s="50">
        <v>863161920</v>
      </c>
      <c r="B348" s="33" t="s">
        <v>63</v>
      </c>
      <c r="C348" s="55">
        <f>34767+(8*364)</f>
        <v>37679</v>
      </c>
      <c r="D348" s="51">
        <f t="shared" ca="1" si="5"/>
        <v>12</v>
      </c>
      <c r="E348" s="31" t="s">
        <v>46</v>
      </c>
      <c r="F348" s="52">
        <v>1</v>
      </c>
      <c r="G348" s="38">
        <v>44518</v>
      </c>
      <c r="H348" s="72"/>
      <c r="I348" s="71"/>
    </row>
    <row r="349" spans="1:9" x14ac:dyDescent="0.25">
      <c r="A349" s="50">
        <v>865073824</v>
      </c>
      <c r="B349" s="33" t="s">
        <v>32</v>
      </c>
      <c r="C349" s="55">
        <f>33231+(8*364)</f>
        <v>36143</v>
      </c>
      <c r="D349" s="51">
        <f t="shared" ca="1" si="5"/>
        <v>16</v>
      </c>
      <c r="E349" s="31" t="s">
        <v>53</v>
      </c>
      <c r="F349" s="52">
        <v>3</v>
      </c>
      <c r="G349" s="38">
        <v>40062</v>
      </c>
      <c r="H349" s="72"/>
      <c r="I349" s="71"/>
    </row>
    <row r="350" spans="1:9" x14ac:dyDescent="0.25">
      <c r="A350" s="50">
        <v>867671341</v>
      </c>
      <c r="B350" s="33" t="s">
        <v>59</v>
      </c>
      <c r="C350" s="55">
        <f>35586+(8*364)</f>
        <v>38498</v>
      </c>
      <c r="D350" s="51">
        <f t="shared" ca="1" si="5"/>
        <v>10</v>
      </c>
      <c r="E350" s="31" t="s">
        <v>33</v>
      </c>
      <c r="F350" s="52">
        <v>3</v>
      </c>
      <c r="G350" s="38">
        <v>112086</v>
      </c>
      <c r="H350" s="72"/>
      <c r="I350" s="71"/>
    </row>
    <row r="351" spans="1:9" x14ac:dyDescent="0.25">
      <c r="A351" s="50">
        <v>869524136</v>
      </c>
      <c r="B351" s="33" t="s">
        <v>52</v>
      </c>
      <c r="C351" s="55">
        <f>34029+(8*364)</f>
        <v>36941</v>
      </c>
      <c r="D351" s="51">
        <f t="shared" ca="1" si="5"/>
        <v>14</v>
      </c>
      <c r="E351" s="31" t="s">
        <v>46</v>
      </c>
      <c r="F351" s="52">
        <v>1</v>
      </c>
      <c r="G351" s="38">
        <v>70597</v>
      </c>
      <c r="H351" s="72"/>
      <c r="I351" s="71"/>
    </row>
    <row r="352" spans="1:9" x14ac:dyDescent="0.25">
      <c r="A352" s="50">
        <v>870106287</v>
      </c>
      <c r="B352" s="33" t="s">
        <v>59</v>
      </c>
      <c r="C352" s="55">
        <f>33238+(8*364)</f>
        <v>36150</v>
      </c>
      <c r="D352" s="51">
        <f t="shared" ca="1" si="5"/>
        <v>16</v>
      </c>
      <c r="E352" s="31" t="s">
        <v>53</v>
      </c>
      <c r="F352" s="52">
        <v>4</v>
      </c>
      <c r="G352" s="38">
        <v>36243</v>
      </c>
      <c r="H352" s="72"/>
      <c r="I352" s="71"/>
    </row>
    <row r="353" spans="1:9" x14ac:dyDescent="0.25">
      <c r="A353" s="50">
        <v>870601943</v>
      </c>
      <c r="B353" s="33" t="s">
        <v>48</v>
      </c>
      <c r="C353" s="55">
        <f>33451+(8*364)</f>
        <v>36363</v>
      </c>
      <c r="D353" s="51">
        <f t="shared" ca="1" si="5"/>
        <v>16</v>
      </c>
      <c r="E353" s="31"/>
      <c r="F353" s="52">
        <v>5</v>
      </c>
      <c r="G353" s="38">
        <v>79691</v>
      </c>
      <c r="H353" s="72"/>
      <c r="I353" s="71"/>
    </row>
    <row r="354" spans="1:9" x14ac:dyDescent="0.25">
      <c r="A354" s="50">
        <v>873100939</v>
      </c>
      <c r="B354" s="33" t="s">
        <v>59</v>
      </c>
      <c r="C354" s="55">
        <f>38775+(8*364)</f>
        <v>41687</v>
      </c>
      <c r="D354" s="51">
        <f t="shared" ca="1" si="5"/>
        <v>1</v>
      </c>
      <c r="E354" s="31" t="s">
        <v>33</v>
      </c>
      <c r="F354" s="52">
        <v>5</v>
      </c>
      <c r="G354" s="38">
        <v>54493</v>
      </c>
      <c r="H354" s="72"/>
      <c r="I354" s="71"/>
    </row>
    <row r="355" spans="1:9" x14ac:dyDescent="0.25">
      <c r="A355" s="50">
        <v>875920441</v>
      </c>
      <c r="B355" s="33" t="s">
        <v>69</v>
      </c>
      <c r="C355" s="55">
        <f>36195+(8*364)</f>
        <v>39107</v>
      </c>
      <c r="D355" s="51">
        <f t="shared" ca="1" si="5"/>
        <v>8</v>
      </c>
      <c r="E355" s="31" t="s">
        <v>53</v>
      </c>
      <c r="F355" s="52">
        <v>1</v>
      </c>
      <c r="G355" s="38">
        <v>112687</v>
      </c>
      <c r="H355" s="72"/>
      <c r="I355" s="71"/>
    </row>
    <row r="356" spans="1:9" x14ac:dyDescent="0.25">
      <c r="A356" s="50">
        <v>876777922</v>
      </c>
      <c r="B356" s="33" t="s">
        <v>32</v>
      </c>
      <c r="C356" s="55">
        <f>39139+(8*364)</f>
        <v>42051</v>
      </c>
      <c r="D356" s="51">
        <f t="shared" ca="1" si="5"/>
        <v>0</v>
      </c>
      <c r="E356" s="31"/>
      <c r="F356" s="52">
        <v>5</v>
      </c>
      <c r="G356" s="38">
        <v>39294</v>
      </c>
      <c r="H356" s="72"/>
      <c r="I356" s="71"/>
    </row>
    <row r="357" spans="1:9" x14ac:dyDescent="0.25">
      <c r="A357" s="50">
        <v>877574472</v>
      </c>
      <c r="B357" s="33" t="s">
        <v>42</v>
      </c>
      <c r="C357" s="55">
        <f>32091+(8*364)</f>
        <v>35003</v>
      </c>
      <c r="D357" s="51">
        <f t="shared" ca="1" si="5"/>
        <v>20</v>
      </c>
      <c r="E357" s="31"/>
      <c r="F357" s="52">
        <v>5</v>
      </c>
      <c r="G357" s="38">
        <v>81132</v>
      </c>
      <c r="H357" s="72"/>
      <c r="I357" s="71"/>
    </row>
    <row r="358" spans="1:9" x14ac:dyDescent="0.25">
      <c r="A358" s="50">
        <v>879114558</v>
      </c>
      <c r="B358" s="33" t="s">
        <v>42</v>
      </c>
      <c r="C358" s="55">
        <f>35608+(8*364)</f>
        <v>38520</v>
      </c>
      <c r="D358" s="51">
        <f t="shared" ca="1" si="5"/>
        <v>10</v>
      </c>
      <c r="E358" s="31" t="s">
        <v>33</v>
      </c>
      <c r="F358" s="52">
        <v>5</v>
      </c>
      <c r="G358" s="38">
        <v>68066</v>
      </c>
      <c r="H358" s="72"/>
      <c r="I358" s="71"/>
    </row>
    <row r="359" spans="1:9" x14ac:dyDescent="0.25">
      <c r="A359" s="50">
        <v>884025623</v>
      </c>
      <c r="B359" s="33" t="s">
        <v>32</v>
      </c>
      <c r="C359" s="55">
        <f>32721+(8*364)</f>
        <v>35633</v>
      </c>
      <c r="D359" s="51">
        <f t="shared" ca="1" si="5"/>
        <v>18</v>
      </c>
      <c r="E359" s="31"/>
      <c r="F359" s="52">
        <v>4</v>
      </c>
      <c r="G359" s="38">
        <v>35494</v>
      </c>
      <c r="H359" s="72"/>
      <c r="I359" s="71"/>
    </row>
    <row r="360" spans="1:9" x14ac:dyDescent="0.25">
      <c r="A360" s="50">
        <v>885773638</v>
      </c>
      <c r="B360" s="33" t="s">
        <v>71</v>
      </c>
      <c r="C360" s="55">
        <f>35259+(8*364)</f>
        <v>38171</v>
      </c>
      <c r="D360" s="51">
        <f t="shared" ca="1" si="5"/>
        <v>11</v>
      </c>
      <c r="E360" s="31" t="s">
        <v>46</v>
      </c>
      <c r="F360" s="52">
        <v>5</v>
      </c>
      <c r="G360" s="38">
        <v>91466</v>
      </c>
      <c r="H360" s="72"/>
      <c r="I360" s="71"/>
    </row>
    <row r="361" spans="1:9" x14ac:dyDescent="0.25">
      <c r="A361" s="50">
        <v>886332647</v>
      </c>
      <c r="B361" s="33" t="s">
        <v>44</v>
      </c>
      <c r="C361" s="55">
        <f>36538+(8*364)</f>
        <v>39450</v>
      </c>
      <c r="D361" s="51">
        <f t="shared" ca="1" si="5"/>
        <v>7</v>
      </c>
      <c r="E361" s="31" t="s">
        <v>60</v>
      </c>
      <c r="F361" s="52">
        <v>2</v>
      </c>
      <c r="G361" s="38">
        <v>95624</v>
      </c>
      <c r="H361" s="72"/>
      <c r="I361" s="71"/>
    </row>
    <row r="362" spans="1:9" x14ac:dyDescent="0.25">
      <c r="A362" s="50">
        <v>891224981</v>
      </c>
      <c r="B362" s="33" t="s">
        <v>42</v>
      </c>
      <c r="C362" s="55">
        <f>32830+(8*364)</f>
        <v>35742</v>
      </c>
      <c r="D362" s="51">
        <f t="shared" ca="1" si="5"/>
        <v>18</v>
      </c>
      <c r="E362" s="31" t="s">
        <v>53</v>
      </c>
      <c r="F362" s="52">
        <v>4</v>
      </c>
      <c r="G362" s="38">
        <v>73266</v>
      </c>
      <c r="H362" s="72"/>
      <c r="I362" s="71"/>
    </row>
    <row r="363" spans="1:9" x14ac:dyDescent="0.25">
      <c r="A363" s="50">
        <v>894030119</v>
      </c>
      <c r="B363" s="33" t="s">
        <v>32</v>
      </c>
      <c r="C363" s="55">
        <f>35758+(8*364)</f>
        <v>38670</v>
      </c>
      <c r="D363" s="51">
        <f t="shared" ca="1" si="5"/>
        <v>10</v>
      </c>
      <c r="E363" s="31" t="s">
        <v>60</v>
      </c>
      <c r="F363" s="52">
        <v>5</v>
      </c>
      <c r="G363" s="38">
        <v>79159</v>
      </c>
      <c r="H363" s="72"/>
      <c r="I363" s="71"/>
    </row>
    <row r="364" spans="1:9" x14ac:dyDescent="0.25">
      <c r="A364" s="50">
        <v>894855096</v>
      </c>
      <c r="B364" s="33" t="s">
        <v>42</v>
      </c>
      <c r="C364" s="55">
        <f>34156+(8*364)</f>
        <v>37068</v>
      </c>
      <c r="D364" s="51">
        <f t="shared" ca="1" si="5"/>
        <v>14</v>
      </c>
      <c r="E364" s="31" t="s">
        <v>60</v>
      </c>
      <c r="F364" s="52">
        <v>4</v>
      </c>
      <c r="G364" s="38">
        <v>63028</v>
      </c>
      <c r="H364" s="72"/>
      <c r="I364" s="71"/>
    </row>
    <row r="365" spans="1:9" x14ac:dyDescent="0.25">
      <c r="A365" s="50">
        <v>895408697</v>
      </c>
      <c r="B365" s="33" t="s">
        <v>58</v>
      </c>
      <c r="C365" s="55">
        <f>37847+(8*364)</f>
        <v>40759</v>
      </c>
      <c r="D365" s="51">
        <f t="shared" ca="1" si="5"/>
        <v>4</v>
      </c>
      <c r="E365" s="31" t="s">
        <v>46</v>
      </c>
      <c r="F365" s="52">
        <v>4</v>
      </c>
      <c r="G365" s="38">
        <v>79057</v>
      </c>
      <c r="H365" s="72"/>
      <c r="I365" s="71"/>
    </row>
    <row r="366" spans="1:9" x14ac:dyDescent="0.25">
      <c r="A366" s="50">
        <v>904497673</v>
      </c>
      <c r="B366" s="33" t="s">
        <v>42</v>
      </c>
      <c r="C366" s="55">
        <f>31834+(8*364)</f>
        <v>34746</v>
      </c>
      <c r="D366" s="51">
        <f t="shared" ca="1" si="5"/>
        <v>20</v>
      </c>
      <c r="E366" s="31"/>
      <c r="F366" s="52">
        <v>4</v>
      </c>
      <c r="G366" s="38">
        <v>72824</v>
      </c>
      <c r="H366" s="72"/>
      <c r="I366" s="71"/>
    </row>
    <row r="367" spans="1:9" x14ac:dyDescent="0.25">
      <c r="A367" s="50">
        <v>914041569</v>
      </c>
      <c r="B367" s="33" t="s">
        <v>71</v>
      </c>
      <c r="C367" s="55">
        <f>39090+(8*364)</f>
        <v>42002</v>
      </c>
      <c r="D367" s="51">
        <f t="shared" ca="1" si="5"/>
        <v>0</v>
      </c>
      <c r="E367" s="31" t="s">
        <v>46</v>
      </c>
      <c r="F367" s="52">
        <v>2</v>
      </c>
      <c r="G367" s="38">
        <v>44041</v>
      </c>
      <c r="H367" s="72"/>
      <c r="I367" s="71"/>
    </row>
    <row r="368" spans="1:9" x14ac:dyDescent="0.25">
      <c r="A368" s="50">
        <v>914330398</v>
      </c>
      <c r="B368" s="33" t="s">
        <v>32</v>
      </c>
      <c r="C368" s="55">
        <f>37511+(8*364)</f>
        <v>40423</v>
      </c>
      <c r="D368" s="51">
        <f t="shared" ca="1" si="5"/>
        <v>5</v>
      </c>
      <c r="E368" s="31" t="s">
        <v>46</v>
      </c>
      <c r="F368" s="52">
        <v>1</v>
      </c>
      <c r="G368" s="38">
        <v>105709</v>
      </c>
      <c r="H368" s="72"/>
      <c r="I368" s="71"/>
    </row>
    <row r="369" spans="1:9" x14ac:dyDescent="0.25">
      <c r="A369" s="50">
        <v>914428485</v>
      </c>
      <c r="B369" s="33" t="s">
        <v>72</v>
      </c>
      <c r="C369" s="55">
        <f>31980+(8*364)</f>
        <v>34892</v>
      </c>
      <c r="D369" s="51">
        <f t="shared" ca="1" si="5"/>
        <v>20</v>
      </c>
      <c r="E369" s="31" t="s">
        <v>60</v>
      </c>
      <c r="F369" s="52">
        <v>4</v>
      </c>
      <c r="G369" s="38">
        <v>101313</v>
      </c>
      <c r="H369" s="72"/>
      <c r="I369" s="71"/>
    </row>
    <row r="370" spans="1:9" x14ac:dyDescent="0.25">
      <c r="A370" s="50">
        <v>917714039</v>
      </c>
      <c r="B370" s="33" t="s">
        <v>58</v>
      </c>
      <c r="C370" s="55">
        <f>33910+(8*364)</f>
        <v>36822</v>
      </c>
      <c r="D370" s="51">
        <f t="shared" ca="1" si="5"/>
        <v>15</v>
      </c>
      <c r="E370" s="31" t="s">
        <v>49</v>
      </c>
      <c r="F370" s="52">
        <v>4</v>
      </c>
      <c r="G370" s="38">
        <v>66097</v>
      </c>
      <c r="H370" s="72"/>
      <c r="I370" s="71"/>
    </row>
    <row r="371" spans="1:9" x14ac:dyDescent="0.25">
      <c r="A371" s="50">
        <v>918436287</v>
      </c>
      <c r="B371" s="33" t="s">
        <v>42</v>
      </c>
      <c r="C371" s="55">
        <f>31883+(8*364)</f>
        <v>34795</v>
      </c>
      <c r="D371" s="51">
        <f t="shared" ca="1" si="5"/>
        <v>20</v>
      </c>
      <c r="E371" s="31"/>
      <c r="F371" s="52">
        <v>5</v>
      </c>
      <c r="G371" s="38">
        <v>78249</v>
      </c>
      <c r="H371" s="72"/>
      <c r="I371" s="71"/>
    </row>
    <row r="372" spans="1:9" x14ac:dyDescent="0.25">
      <c r="A372" s="50">
        <v>923123594</v>
      </c>
      <c r="B372" s="33" t="s">
        <v>32</v>
      </c>
      <c r="C372" s="55">
        <f>34888+(8*364)</f>
        <v>37800</v>
      </c>
      <c r="D372" s="51">
        <f t="shared" ca="1" si="5"/>
        <v>12</v>
      </c>
      <c r="E372" s="31" t="s">
        <v>53</v>
      </c>
      <c r="F372" s="52">
        <v>2</v>
      </c>
      <c r="G372" s="38">
        <v>45212</v>
      </c>
      <c r="H372" s="72"/>
      <c r="I372" s="71"/>
    </row>
    <row r="373" spans="1:9" x14ac:dyDescent="0.25">
      <c r="A373" s="50">
        <v>923665952</v>
      </c>
      <c r="B373" s="33" t="s">
        <v>59</v>
      </c>
      <c r="C373" s="55">
        <f>33776+(8*364)</f>
        <v>36688</v>
      </c>
      <c r="D373" s="51">
        <f t="shared" ca="1" si="5"/>
        <v>15</v>
      </c>
      <c r="E373" s="31" t="s">
        <v>49</v>
      </c>
      <c r="F373" s="52">
        <v>5</v>
      </c>
      <c r="G373" s="38">
        <v>47490</v>
      </c>
      <c r="H373" s="72"/>
      <c r="I373" s="71"/>
    </row>
    <row r="374" spans="1:9" x14ac:dyDescent="0.25">
      <c r="A374" s="50">
        <v>925049144</v>
      </c>
      <c r="B374" s="33" t="s">
        <v>57</v>
      </c>
      <c r="C374" s="55">
        <f>34939+(8*364)</f>
        <v>37851</v>
      </c>
      <c r="D374" s="51">
        <f t="shared" ca="1" si="5"/>
        <v>12</v>
      </c>
      <c r="E374" s="31" t="s">
        <v>33</v>
      </c>
      <c r="F374" s="52">
        <v>2</v>
      </c>
      <c r="G374" s="38">
        <v>87427</v>
      </c>
      <c r="H374" s="72"/>
      <c r="I374" s="71"/>
    </row>
    <row r="375" spans="1:9" x14ac:dyDescent="0.25">
      <c r="A375" s="50">
        <v>927043360</v>
      </c>
      <c r="B375" s="33" t="s">
        <v>48</v>
      </c>
      <c r="C375" s="55">
        <f>32114+(8*364)</f>
        <v>35026</v>
      </c>
      <c r="D375" s="51">
        <f t="shared" ca="1" si="5"/>
        <v>20</v>
      </c>
      <c r="E375" s="31"/>
      <c r="F375" s="52">
        <v>2</v>
      </c>
      <c r="G375" s="38">
        <v>46404</v>
      </c>
      <c r="H375" s="72"/>
      <c r="I375" s="71"/>
    </row>
    <row r="376" spans="1:9" x14ac:dyDescent="0.25">
      <c r="A376" s="50">
        <v>930314379</v>
      </c>
      <c r="B376" s="33" t="s">
        <v>32</v>
      </c>
      <c r="C376" s="55">
        <f>38080+(8*364)</f>
        <v>40992</v>
      </c>
      <c r="D376" s="51">
        <f t="shared" ca="1" si="5"/>
        <v>3</v>
      </c>
      <c r="E376" s="31" t="s">
        <v>49</v>
      </c>
      <c r="F376" s="52">
        <v>5</v>
      </c>
      <c r="G376" s="38">
        <v>83508</v>
      </c>
      <c r="H376" s="72"/>
      <c r="I376" s="71"/>
    </row>
    <row r="377" spans="1:9" x14ac:dyDescent="0.25">
      <c r="A377" s="50">
        <v>931105030</v>
      </c>
      <c r="B377" s="33" t="s">
        <v>32</v>
      </c>
      <c r="C377" s="55">
        <f>34963+(8*364)</f>
        <v>37875</v>
      </c>
      <c r="D377" s="51">
        <f t="shared" ca="1" si="5"/>
        <v>12</v>
      </c>
      <c r="E377" s="31" t="s">
        <v>46</v>
      </c>
      <c r="F377" s="52">
        <v>4</v>
      </c>
      <c r="G377" s="38">
        <v>55916</v>
      </c>
      <c r="H377" s="72"/>
      <c r="I377" s="71"/>
    </row>
    <row r="378" spans="1:9" x14ac:dyDescent="0.25">
      <c r="A378" s="50">
        <v>931977751</v>
      </c>
      <c r="B378" s="33" t="s">
        <v>52</v>
      </c>
      <c r="C378" s="55">
        <f>33591+(8*364)</f>
        <v>36503</v>
      </c>
      <c r="D378" s="51">
        <f t="shared" ca="1" si="5"/>
        <v>16</v>
      </c>
      <c r="E378" s="31" t="s">
        <v>33</v>
      </c>
      <c r="F378" s="52">
        <v>5</v>
      </c>
      <c r="G378" s="38">
        <v>106422</v>
      </c>
      <c r="H378" s="72"/>
      <c r="I378" s="71"/>
    </row>
    <row r="379" spans="1:9" x14ac:dyDescent="0.25">
      <c r="A379" s="50">
        <v>934447306</v>
      </c>
      <c r="B379" s="33" t="s">
        <v>52</v>
      </c>
      <c r="C379" s="55">
        <f>32801+(8*364)</f>
        <v>35713</v>
      </c>
      <c r="D379" s="51">
        <f t="shared" ca="1" si="5"/>
        <v>18</v>
      </c>
      <c r="E379" s="31" t="s">
        <v>46</v>
      </c>
      <c r="F379" s="52">
        <v>5</v>
      </c>
      <c r="G379" s="38">
        <v>53222</v>
      </c>
      <c r="H379" s="72"/>
      <c r="I379" s="71"/>
    </row>
    <row r="380" spans="1:9" x14ac:dyDescent="0.25">
      <c r="A380" s="50">
        <v>938723321</v>
      </c>
      <c r="B380" s="33" t="s">
        <v>44</v>
      </c>
      <c r="C380" s="55">
        <f>35477+(8*364)</f>
        <v>38389</v>
      </c>
      <c r="D380" s="51">
        <f t="shared" ca="1" si="5"/>
        <v>10</v>
      </c>
      <c r="E380" s="31"/>
      <c r="F380" s="52">
        <v>4</v>
      </c>
      <c r="G380" s="38">
        <v>73113</v>
      </c>
      <c r="H380" s="72"/>
      <c r="I380" s="71"/>
    </row>
    <row r="381" spans="1:9" x14ac:dyDescent="0.25">
      <c r="A381" s="50">
        <v>943671719</v>
      </c>
      <c r="B381" s="33" t="s">
        <v>57</v>
      </c>
      <c r="C381" s="55">
        <f>34139+(8*364)</f>
        <v>37051</v>
      </c>
      <c r="D381" s="51">
        <f t="shared" ca="1" si="5"/>
        <v>14</v>
      </c>
      <c r="E381" s="31" t="s">
        <v>46</v>
      </c>
      <c r="F381" s="52">
        <v>3</v>
      </c>
      <c r="G381" s="38">
        <v>55933</v>
      </c>
      <c r="H381" s="72"/>
      <c r="I381" s="71"/>
    </row>
    <row r="382" spans="1:9" x14ac:dyDescent="0.25">
      <c r="A382" s="50">
        <v>948252103</v>
      </c>
      <c r="B382" s="33" t="s">
        <v>52</v>
      </c>
      <c r="C382" s="55">
        <f>35019+(8*364)</f>
        <v>37931</v>
      </c>
      <c r="D382" s="51">
        <f t="shared" ca="1" si="5"/>
        <v>12</v>
      </c>
      <c r="E382" s="31"/>
      <c r="F382" s="52">
        <v>1</v>
      </c>
      <c r="G382" s="38">
        <v>101760</v>
      </c>
      <c r="H382" s="72"/>
      <c r="I382" s="71"/>
    </row>
    <row r="383" spans="1:9" x14ac:dyDescent="0.25">
      <c r="A383" s="50">
        <v>948480407</v>
      </c>
      <c r="B383" s="33" t="s">
        <v>32</v>
      </c>
      <c r="C383" s="55">
        <f>36324+(8*364)</f>
        <v>39236</v>
      </c>
      <c r="D383" s="51">
        <f t="shared" ca="1" si="5"/>
        <v>8</v>
      </c>
      <c r="E383" s="31"/>
      <c r="F383" s="52">
        <v>3</v>
      </c>
      <c r="G383" s="38">
        <v>41883</v>
      </c>
      <c r="H383" s="72"/>
      <c r="I383" s="71"/>
    </row>
    <row r="384" spans="1:9" x14ac:dyDescent="0.25">
      <c r="A384" s="50">
        <v>953109212</v>
      </c>
      <c r="B384" s="33" t="s">
        <v>44</v>
      </c>
      <c r="C384" s="55">
        <f>39128+(8*364)</f>
        <v>42040</v>
      </c>
      <c r="D384" s="51">
        <f t="shared" ca="1" si="5"/>
        <v>0</v>
      </c>
      <c r="E384" s="31" t="s">
        <v>49</v>
      </c>
      <c r="F384" s="52">
        <v>4</v>
      </c>
      <c r="G384" s="38">
        <v>76215</v>
      </c>
      <c r="H384" s="72"/>
      <c r="I384" s="71"/>
    </row>
    <row r="385" spans="1:9" x14ac:dyDescent="0.25">
      <c r="A385" s="50">
        <v>956291859</v>
      </c>
      <c r="B385" s="33" t="s">
        <v>48</v>
      </c>
      <c r="C385" s="55">
        <f>38949+(8*364)</f>
        <v>41861</v>
      </c>
      <c r="D385" s="51">
        <f t="shared" ca="1" si="5"/>
        <v>1</v>
      </c>
      <c r="E385" s="31"/>
      <c r="F385" s="52">
        <v>3</v>
      </c>
      <c r="G385" s="38">
        <v>87399</v>
      </c>
      <c r="H385" s="72"/>
      <c r="I385" s="71"/>
    </row>
    <row r="386" spans="1:9" x14ac:dyDescent="0.25">
      <c r="A386" s="50">
        <v>959568761</v>
      </c>
      <c r="B386" s="33" t="s">
        <v>52</v>
      </c>
      <c r="C386" s="55">
        <f>32147+(8*364)</f>
        <v>35059</v>
      </c>
      <c r="D386" s="51">
        <f t="shared" ref="D386:D401" ca="1" si="6">DATEDIF(C386,TODAY(),"Y")</f>
        <v>19</v>
      </c>
      <c r="E386" s="31" t="s">
        <v>49</v>
      </c>
      <c r="F386" s="52">
        <v>5</v>
      </c>
      <c r="G386" s="38">
        <v>97757</v>
      </c>
      <c r="H386" s="72"/>
      <c r="I386" s="71"/>
    </row>
    <row r="387" spans="1:9" x14ac:dyDescent="0.25">
      <c r="A387" s="50">
        <v>963000861</v>
      </c>
      <c r="B387" s="33" t="s">
        <v>44</v>
      </c>
      <c r="C387" s="55">
        <f>33836+(8*364)</f>
        <v>36748</v>
      </c>
      <c r="D387" s="51">
        <f t="shared" ca="1" si="6"/>
        <v>15</v>
      </c>
      <c r="E387" s="31"/>
      <c r="F387" s="52">
        <v>1</v>
      </c>
      <c r="G387" s="38">
        <v>113003</v>
      </c>
      <c r="H387" s="72"/>
      <c r="I387" s="71"/>
    </row>
    <row r="388" spans="1:9" x14ac:dyDescent="0.25">
      <c r="A388" s="50">
        <v>967035612</v>
      </c>
      <c r="B388" s="33" t="s">
        <v>44</v>
      </c>
      <c r="C388" s="55">
        <f>32839+(8*364)</f>
        <v>35751</v>
      </c>
      <c r="D388" s="51">
        <f t="shared" ca="1" si="6"/>
        <v>18</v>
      </c>
      <c r="E388" s="31" t="s">
        <v>53</v>
      </c>
      <c r="F388" s="52">
        <v>3</v>
      </c>
      <c r="G388" s="38">
        <v>80574</v>
      </c>
      <c r="H388" s="72"/>
      <c r="I388" s="71"/>
    </row>
    <row r="389" spans="1:9" x14ac:dyDescent="0.25">
      <c r="A389" s="50">
        <v>967826310</v>
      </c>
      <c r="B389" s="33" t="s">
        <v>61</v>
      </c>
      <c r="C389" s="55">
        <f>32010+(8*364)</f>
        <v>34922</v>
      </c>
      <c r="D389" s="51">
        <f t="shared" ca="1" si="6"/>
        <v>20</v>
      </c>
      <c r="E389" s="31" t="s">
        <v>53</v>
      </c>
      <c r="F389" s="52">
        <v>3</v>
      </c>
      <c r="G389" s="38">
        <v>94844</v>
      </c>
      <c r="H389" s="72"/>
      <c r="I389" s="71"/>
    </row>
    <row r="390" spans="1:9" x14ac:dyDescent="0.25">
      <c r="A390" s="50">
        <v>969216994</v>
      </c>
      <c r="B390" s="33" t="s">
        <v>32</v>
      </c>
      <c r="C390" s="55">
        <f>34973+(8*364)</f>
        <v>37885</v>
      </c>
      <c r="D390" s="51">
        <f t="shared" ca="1" si="6"/>
        <v>12</v>
      </c>
      <c r="E390" s="31"/>
      <c r="F390" s="52">
        <v>5</v>
      </c>
      <c r="G390" s="38">
        <v>48263</v>
      </c>
      <c r="H390" s="72"/>
      <c r="I390" s="71"/>
    </row>
    <row r="391" spans="1:9" x14ac:dyDescent="0.25">
      <c r="A391" s="50">
        <v>971128623</v>
      </c>
      <c r="B391" s="33" t="s">
        <v>42</v>
      </c>
      <c r="C391" s="55">
        <f>35831+(8*364)</f>
        <v>38743</v>
      </c>
      <c r="D391" s="51">
        <f t="shared" ca="1" si="6"/>
        <v>9</v>
      </c>
      <c r="E391" s="31"/>
      <c r="F391" s="52">
        <v>3</v>
      </c>
      <c r="G391" s="38">
        <v>82265</v>
      </c>
      <c r="H391" s="72"/>
      <c r="I391" s="71"/>
    </row>
    <row r="392" spans="1:9" x14ac:dyDescent="0.25">
      <c r="A392" s="50">
        <v>975603308</v>
      </c>
      <c r="B392" s="33" t="s">
        <v>68</v>
      </c>
      <c r="C392" s="55">
        <f>36094+(8*364)</f>
        <v>39006</v>
      </c>
      <c r="D392" s="51">
        <f t="shared" ca="1" si="6"/>
        <v>9</v>
      </c>
      <c r="E392" s="31" t="s">
        <v>33</v>
      </c>
      <c r="F392" s="52">
        <v>4</v>
      </c>
      <c r="G392" s="38">
        <v>93995</v>
      </c>
      <c r="H392" s="72"/>
      <c r="I392" s="71"/>
    </row>
    <row r="393" spans="1:9" x14ac:dyDescent="0.25">
      <c r="A393" s="50">
        <v>978154935</v>
      </c>
      <c r="B393" s="33" t="s">
        <v>44</v>
      </c>
      <c r="C393" s="55">
        <f>34885+(8*364)</f>
        <v>37797</v>
      </c>
      <c r="D393" s="51">
        <f t="shared" ca="1" si="6"/>
        <v>12</v>
      </c>
      <c r="E393" s="31" t="s">
        <v>49</v>
      </c>
      <c r="F393" s="52">
        <v>5</v>
      </c>
      <c r="G393" s="38">
        <v>64707</v>
      </c>
      <c r="H393" s="72"/>
      <c r="I393" s="71"/>
    </row>
    <row r="394" spans="1:9" x14ac:dyDescent="0.25">
      <c r="A394" s="50">
        <v>980960186</v>
      </c>
      <c r="B394" s="33" t="s">
        <v>58</v>
      </c>
      <c r="C394" s="55">
        <f>37788+(8*364)</f>
        <v>40700</v>
      </c>
      <c r="D394" s="51">
        <f t="shared" ca="1" si="6"/>
        <v>4</v>
      </c>
      <c r="E394" s="31" t="s">
        <v>46</v>
      </c>
      <c r="F394" s="52">
        <v>5</v>
      </c>
      <c r="G394" s="38">
        <v>53902</v>
      </c>
      <c r="H394" s="72"/>
      <c r="I394" s="71"/>
    </row>
    <row r="395" spans="1:9" x14ac:dyDescent="0.25">
      <c r="A395" s="50">
        <v>981106829</v>
      </c>
      <c r="B395" s="33" t="s">
        <v>59</v>
      </c>
      <c r="C395" s="55">
        <f>34538+(8*364)</f>
        <v>37450</v>
      </c>
      <c r="D395" s="51">
        <f t="shared" ca="1" si="6"/>
        <v>13</v>
      </c>
      <c r="E395" s="31"/>
      <c r="F395" s="52">
        <v>5</v>
      </c>
      <c r="G395" s="38">
        <v>97909</v>
      </c>
      <c r="H395" s="72"/>
      <c r="I395" s="71"/>
    </row>
    <row r="396" spans="1:9" x14ac:dyDescent="0.25">
      <c r="A396" s="50">
        <v>983047016</v>
      </c>
      <c r="B396" s="33" t="s">
        <v>35</v>
      </c>
      <c r="C396" s="55">
        <f>37483+(8*364)</f>
        <v>40395</v>
      </c>
      <c r="D396" s="51">
        <f t="shared" ca="1" si="6"/>
        <v>5</v>
      </c>
      <c r="E396" s="31"/>
      <c r="F396" s="52">
        <v>2</v>
      </c>
      <c r="G396" s="38">
        <v>96690</v>
      </c>
      <c r="H396" s="72"/>
      <c r="I396" s="71"/>
    </row>
    <row r="397" spans="1:9" x14ac:dyDescent="0.25">
      <c r="A397" s="50">
        <v>984881714</v>
      </c>
      <c r="B397" s="33" t="s">
        <v>35</v>
      </c>
      <c r="C397" s="55">
        <f>34098+(8*364)</f>
        <v>37010</v>
      </c>
      <c r="D397" s="51">
        <f t="shared" ca="1" si="6"/>
        <v>14</v>
      </c>
      <c r="E397" s="31" t="s">
        <v>46</v>
      </c>
      <c r="F397" s="52">
        <v>3</v>
      </c>
      <c r="G397" s="38">
        <v>84222</v>
      </c>
      <c r="H397" s="72"/>
      <c r="I397" s="71"/>
    </row>
    <row r="398" spans="1:9" x14ac:dyDescent="0.25">
      <c r="A398" s="50">
        <v>991221095</v>
      </c>
      <c r="B398" s="33" t="s">
        <v>44</v>
      </c>
      <c r="C398" s="55">
        <f>33841+(8*364)</f>
        <v>36753</v>
      </c>
      <c r="D398" s="51">
        <f t="shared" ca="1" si="6"/>
        <v>15</v>
      </c>
      <c r="E398" s="31" t="s">
        <v>53</v>
      </c>
      <c r="F398" s="52">
        <v>2</v>
      </c>
      <c r="G398" s="38">
        <v>105303</v>
      </c>
      <c r="H398" s="72"/>
      <c r="I398" s="71"/>
    </row>
    <row r="399" spans="1:9" x14ac:dyDescent="0.25">
      <c r="A399" s="50">
        <v>991656720</v>
      </c>
      <c r="B399" s="33" t="s">
        <v>72</v>
      </c>
      <c r="C399" s="55">
        <f>38137+(8*364)</f>
        <v>41049</v>
      </c>
      <c r="D399" s="51">
        <f t="shared" ca="1" si="6"/>
        <v>3</v>
      </c>
      <c r="E399" s="31" t="s">
        <v>49</v>
      </c>
      <c r="F399" s="52">
        <v>2</v>
      </c>
      <c r="G399" s="38">
        <v>60512</v>
      </c>
      <c r="H399" s="72"/>
      <c r="I399" s="71"/>
    </row>
    <row r="400" spans="1:9" x14ac:dyDescent="0.25">
      <c r="A400" s="50">
        <v>995590510</v>
      </c>
      <c r="B400" s="33" t="s">
        <v>42</v>
      </c>
      <c r="C400" s="55">
        <f>39328+(8*364)</f>
        <v>42240</v>
      </c>
      <c r="D400" s="51">
        <f t="shared" ca="1" si="6"/>
        <v>0</v>
      </c>
      <c r="E400" s="31"/>
      <c r="F400" s="52">
        <v>4</v>
      </c>
      <c r="G400" s="38">
        <v>103743</v>
      </c>
      <c r="H400" s="72"/>
      <c r="I400" s="71"/>
    </row>
    <row r="401" spans="1:9" x14ac:dyDescent="0.25">
      <c r="A401" s="50">
        <v>999156829</v>
      </c>
      <c r="B401" s="33" t="s">
        <v>58</v>
      </c>
      <c r="C401" s="55">
        <f>39137+(8*364)</f>
        <v>42049</v>
      </c>
      <c r="D401" s="51">
        <f t="shared" ca="1" si="6"/>
        <v>0</v>
      </c>
      <c r="E401" s="31" t="s">
        <v>33</v>
      </c>
      <c r="F401" s="52">
        <v>4</v>
      </c>
      <c r="G401" s="38">
        <v>53894</v>
      </c>
      <c r="H401" s="72"/>
      <c r="I401" s="71"/>
    </row>
    <row r="402" spans="1:9" x14ac:dyDescent="0.25">
      <c r="A402" s="50"/>
      <c r="I402" s="71"/>
    </row>
    <row r="403" spans="1:9" x14ac:dyDescent="0.25">
      <c r="A403" s="50"/>
      <c r="I403" s="71"/>
    </row>
    <row r="404" spans="1:9" x14ac:dyDescent="0.25">
      <c r="A404" s="50"/>
      <c r="I404" s="71"/>
    </row>
    <row r="405" spans="1:9" x14ac:dyDescent="0.25">
      <c r="A405" s="50"/>
      <c r="I405" s="71"/>
    </row>
    <row r="406" spans="1:9" x14ac:dyDescent="0.25">
      <c r="A406" s="50"/>
      <c r="I406" s="71"/>
    </row>
    <row r="407" spans="1:9" x14ac:dyDescent="0.25">
      <c r="A407" s="50"/>
      <c r="I407" s="71"/>
    </row>
    <row r="408" spans="1:9" x14ac:dyDescent="0.25">
      <c r="A408" s="50"/>
      <c r="I408" s="71"/>
    </row>
    <row r="409" spans="1:9" x14ac:dyDescent="0.25">
      <c r="A409" s="50"/>
      <c r="I409" s="71"/>
    </row>
    <row r="410" spans="1:9" x14ac:dyDescent="0.25">
      <c r="A410" s="50"/>
      <c r="I410" s="71"/>
    </row>
    <row r="411" spans="1:9" x14ac:dyDescent="0.25">
      <c r="A411" s="50"/>
      <c r="I411" s="71"/>
    </row>
    <row r="412" spans="1:9" x14ac:dyDescent="0.25">
      <c r="A412" s="50"/>
      <c r="I412" s="71"/>
    </row>
    <row r="413" spans="1:9" x14ac:dyDescent="0.25">
      <c r="A413" s="50"/>
      <c r="I413" s="71"/>
    </row>
    <row r="414" spans="1:9" x14ac:dyDescent="0.25">
      <c r="A414" s="50"/>
      <c r="I414" s="71"/>
    </row>
    <row r="415" spans="1:9" x14ac:dyDescent="0.25">
      <c r="A415" s="50"/>
      <c r="I415" s="71"/>
    </row>
    <row r="416" spans="1:9" x14ac:dyDescent="0.25">
      <c r="A416" s="50"/>
      <c r="I416" s="71"/>
    </row>
    <row r="417" spans="1:9" x14ac:dyDescent="0.25">
      <c r="A417" s="50"/>
      <c r="I417" s="71"/>
    </row>
    <row r="418" spans="1:9" x14ac:dyDescent="0.25">
      <c r="A418" s="50"/>
      <c r="I418" s="71"/>
    </row>
    <row r="419" spans="1:9" x14ac:dyDescent="0.25">
      <c r="A419" s="50"/>
      <c r="I419" s="71"/>
    </row>
    <row r="420" spans="1:9" x14ac:dyDescent="0.25">
      <c r="A420" s="50"/>
      <c r="I420" s="71"/>
    </row>
    <row r="421" spans="1:9" x14ac:dyDescent="0.25">
      <c r="A421" s="50"/>
      <c r="I421" s="71"/>
    </row>
    <row r="422" spans="1:9" x14ac:dyDescent="0.25">
      <c r="A422" s="50"/>
      <c r="I422" s="71"/>
    </row>
    <row r="423" spans="1:9" x14ac:dyDescent="0.25">
      <c r="A423" s="50"/>
      <c r="I423" s="71"/>
    </row>
    <row r="424" spans="1:9" x14ac:dyDescent="0.25">
      <c r="A424" s="50"/>
      <c r="I424" s="71"/>
    </row>
    <row r="425" spans="1:9" x14ac:dyDescent="0.25">
      <c r="A425" s="50"/>
      <c r="I425" s="71"/>
    </row>
    <row r="426" spans="1:9" x14ac:dyDescent="0.25">
      <c r="A426" s="50"/>
      <c r="I426" s="71"/>
    </row>
    <row r="427" spans="1:9" x14ac:dyDescent="0.25">
      <c r="A427" s="50"/>
      <c r="I427" s="71"/>
    </row>
    <row r="428" spans="1:9" x14ac:dyDescent="0.25">
      <c r="A428" s="50"/>
      <c r="I428" s="71"/>
    </row>
    <row r="429" spans="1:9" x14ac:dyDescent="0.25">
      <c r="A429" s="50"/>
      <c r="I429" s="71"/>
    </row>
    <row r="430" spans="1:9" x14ac:dyDescent="0.25">
      <c r="A430" s="50"/>
      <c r="I430" s="71"/>
    </row>
    <row r="431" spans="1:9" x14ac:dyDescent="0.25">
      <c r="A431" s="50"/>
      <c r="I431" s="71"/>
    </row>
    <row r="432" spans="1:9" x14ac:dyDescent="0.25">
      <c r="A432" s="50"/>
      <c r="I432" s="71"/>
    </row>
    <row r="433" spans="1:9" x14ac:dyDescent="0.25">
      <c r="A433" s="50"/>
      <c r="I433" s="71"/>
    </row>
    <row r="434" spans="1:9" x14ac:dyDescent="0.25">
      <c r="A434" s="50"/>
      <c r="I434" s="71"/>
    </row>
    <row r="435" spans="1:9" x14ac:dyDescent="0.25">
      <c r="A435" s="50"/>
      <c r="I435" s="71"/>
    </row>
    <row r="436" spans="1:9" x14ac:dyDescent="0.25">
      <c r="A436" s="50"/>
      <c r="I436" s="71"/>
    </row>
    <row r="437" spans="1:9" x14ac:dyDescent="0.25">
      <c r="A437" s="50"/>
      <c r="I437" s="71"/>
    </row>
    <row r="438" spans="1:9" x14ac:dyDescent="0.25">
      <c r="A438" s="50"/>
      <c r="I438" s="71"/>
    </row>
    <row r="439" spans="1:9" x14ac:dyDescent="0.25">
      <c r="A439" s="50"/>
      <c r="I439" s="71"/>
    </row>
    <row r="440" spans="1:9" x14ac:dyDescent="0.25">
      <c r="A440" s="50"/>
      <c r="I440" s="71"/>
    </row>
    <row r="441" spans="1:9" x14ac:dyDescent="0.25">
      <c r="A441" s="50"/>
      <c r="I441" s="71"/>
    </row>
    <row r="442" spans="1:9" x14ac:dyDescent="0.25">
      <c r="A442" s="50"/>
      <c r="I442" s="71"/>
    </row>
    <row r="443" spans="1:9" x14ac:dyDescent="0.25">
      <c r="A443" s="50"/>
      <c r="I443" s="71"/>
    </row>
    <row r="444" spans="1:9" x14ac:dyDescent="0.25">
      <c r="A444" s="50"/>
      <c r="I444" s="71"/>
    </row>
    <row r="445" spans="1:9" x14ac:dyDescent="0.25">
      <c r="A445" s="50"/>
      <c r="I445" s="71"/>
    </row>
    <row r="446" spans="1:9" x14ac:dyDescent="0.25">
      <c r="A446" s="50"/>
      <c r="I446" s="71"/>
    </row>
    <row r="447" spans="1:9" x14ac:dyDescent="0.25">
      <c r="A447" s="50"/>
      <c r="I447" s="71"/>
    </row>
    <row r="448" spans="1:9" x14ac:dyDescent="0.25">
      <c r="A448" s="50"/>
      <c r="I448" s="71"/>
    </row>
    <row r="449" spans="1:9" x14ac:dyDescent="0.25">
      <c r="A449" s="50"/>
      <c r="I449" s="71"/>
    </row>
    <row r="450" spans="1:9" x14ac:dyDescent="0.25">
      <c r="A450" s="50"/>
      <c r="I450" s="71"/>
    </row>
    <row r="451" spans="1:9" x14ac:dyDescent="0.25">
      <c r="A451" s="50"/>
      <c r="I451" s="71"/>
    </row>
    <row r="452" spans="1:9" x14ac:dyDescent="0.25">
      <c r="A452" s="50"/>
      <c r="I452" s="71"/>
    </row>
    <row r="453" spans="1:9" x14ac:dyDescent="0.25">
      <c r="A453" s="50"/>
      <c r="I453" s="71"/>
    </row>
    <row r="454" spans="1:9" x14ac:dyDescent="0.25">
      <c r="A454" s="50"/>
      <c r="I454" s="71"/>
    </row>
    <row r="455" spans="1:9" x14ac:dyDescent="0.25">
      <c r="A455" s="50"/>
      <c r="I455" s="71"/>
    </row>
    <row r="456" spans="1:9" x14ac:dyDescent="0.25">
      <c r="A456" s="50"/>
      <c r="I456" s="71"/>
    </row>
    <row r="457" spans="1:9" x14ac:dyDescent="0.25">
      <c r="A457" s="50"/>
      <c r="I457" s="71"/>
    </row>
    <row r="458" spans="1:9" x14ac:dyDescent="0.25">
      <c r="A458" s="50"/>
      <c r="I458" s="71"/>
    </row>
    <row r="459" spans="1:9" x14ac:dyDescent="0.25">
      <c r="A459" s="50"/>
      <c r="I459" s="71"/>
    </row>
    <row r="460" spans="1:9" x14ac:dyDescent="0.25">
      <c r="A460" s="50"/>
      <c r="I460" s="71"/>
    </row>
    <row r="461" spans="1:9" x14ac:dyDescent="0.25">
      <c r="A461" s="50"/>
      <c r="I461" s="71"/>
    </row>
    <row r="462" spans="1:9" x14ac:dyDescent="0.25">
      <c r="A462" s="50"/>
      <c r="I462" s="71"/>
    </row>
    <row r="463" spans="1:9" x14ac:dyDescent="0.25">
      <c r="A463" s="50"/>
      <c r="I463" s="71"/>
    </row>
    <row r="464" spans="1:9" x14ac:dyDescent="0.25">
      <c r="A464" s="50"/>
      <c r="I464" s="71"/>
    </row>
    <row r="465" spans="1:9" x14ac:dyDescent="0.25">
      <c r="A465" s="50"/>
      <c r="I465" s="71"/>
    </row>
    <row r="466" spans="1:9" x14ac:dyDescent="0.25">
      <c r="A466" s="50"/>
      <c r="I466" s="71"/>
    </row>
    <row r="467" spans="1:9" x14ac:dyDescent="0.25">
      <c r="A467" s="50"/>
      <c r="I467" s="71"/>
    </row>
    <row r="468" spans="1:9" x14ac:dyDescent="0.25">
      <c r="A468" s="50"/>
      <c r="I468" s="71"/>
    </row>
    <row r="469" spans="1:9" x14ac:dyDescent="0.25">
      <c r="A469" s="50"/>
      <c r="I469" s="71"/>
    </row>
    <row r="470" spans="1:9" x14ac:dyDescent="0.25">
      <c r="A470" s="50"/>
      <c r="I470" s="71"/>
    </row>
    <row r="471" spans="1:9" x14ac:dyDescent="0.25">
      <c r="A471" s="50"/>
      <c r="I471" s="71"/>
    </row>
    <row r="472" spans="1:9" x14ac:dyDescent="0.25">
      <c r="A472" s="50"/>
      <c r="I472" s="71"/>
    </row>
    <row r="473" spans="1:9" x14ac:dyDescent="0.25">
      <c r="A473" s="50"/>
      <c r="I473" s="71"/>
    </row>
    <row r="474" spans="1:9" x14ac:dyDescent="0.25">
      <c r="A474" s="50"/>
      <c r="I474" s="71"/>
    </row>
    <row r="475" spans="1:9" x14ac:dyDescent="0.25">
      <c r="A475" s="50"/>
      <c r="I475" s="71"/>
    </row>
    <row r="476" spans="1:9" x14ac:dyDescent="0.25">
      <c r="A476" s="50"/>
      <c r="I476" s="71"/>
    </row>
    <row r="477" spans="1:9" x14ac:dyDescent="0.25">
      <c r="A477" s="50"/>
      <c r="I477" s="71"/>
    </row>
    <row r="478" spans="1:9" x14ac:dyDescent="0.25">
      <c r="A478" s="50"/>
      <c r="I478" s="71"/>
    </row>
    <row r="479" spans="1:9" x14ac:dyDescent="0.25">
      <c r="A479" s="50"/>
      <c r="I479" s="71"/>
    </row>
    <row r="480" spans="1:9" x14ac:dyDescent="0.25">
      <c r="A480" s="50"/>
      <c r="I480" s="71"/>
    </row>
    <row r="481" spans="1:9" x14ac:dyDescent="0.25">
      <c r="A481" s="50"/>
      <c r="I481" s="71"/>
    </row>
    <row r="482" spans="1:9" x14ac:dyDescent="0.25">
      <c r="A482" s="50"/>
      <c r="I482" s="71"/>
    </row>
    <row r="483" spans="1:9" x14ac:dyDescent="0.25">
      <c r="A483" s="50"/>
      <c r="I483" s="71"/>
    </row>
    <row r="484" spans="1:9" x14ac:dyDescent="0.25">
      <c r="A484" s="50"/>
      <c r="I484" s="71"/>
    </row>
    <row r="485" spans="1:9" x14ac:dyDescent="0.25">
      <c r="A485" s="50"/>
      <c r="I485" s="71"/>
    </row>
    <row r="486" spans="1:9" x14ac:dyDescent="0.25">
      <c r="A486" s="50"/>
      <c r="I486" s="71"/>
    </row>
    <row r="487" spans="1:9" x14ac:dyDescent="0.25">
      <c r="A487" s="50"/>
      <c r="I487" s="71"/>
    </row>
    <row r="488" spans="1:9" x14ac:dyDescent="0.25">
      <c r="A488" s="50"/>
      <c r="I488" s="71"/>
    </row>
    <row r="489" spans="1:9" x14ac:dyDescent="0.25">
      <c r="A489" s="50"/>
      <c r="I489" s="71"/>
    </row>
    <row r="490" spans="1:9" x14ac:dyDescent="0.25">
      <c r="A490" s="50"/>
      <c r="I490" s="71"/>
    </row>
    <row r="491" spans="1:9" x14ac:dyDescent="0.25">
      <c r="A491" s="50"/>
      <c r="I491" s="71"/>
    </row>
    <row r="492" spans="1:9" x14ac:dyDescent="0.25">
      <c r="A492" s="50"/>
      <c r="I492" s="71"/>
    </row>
    <row r="493" spans="1:9" x14ac:dyDescent="0.25">
      <c r="A493" s="50"/>
      <c r="I493" s="71"/>
    </row>
    <row r="494" spans="1:9" x14ac:dyDescent="0.25">
      <c r="A494" s="50"/>
      <c r="I494" s="71"/>
    </row>
    <row r="495" spans="1:9" x14ac:dyDescent="0.25">
      <c r="A495" s="50"/>
      <c r="I495" s="71"/>
    </row>
    <row r="496" spans="1:9" x14ac:dyDescent="0.25">
      <c r="A496" s="50"/>
      <c r="I496" s="71"/>
    </row>
    <row r="497" spans="1:9" x14ac:dyDescent="0.25">
      <c r="A497" s="50"/>
      <c r="I497" s="71"/>
    </row>
    <row r="498" spans="1:9" x14ac:dyDescent="0.25">
      <c r="A498" s="50"/>
      <c r="I498" s="71"/>
    </row>
    <row r="499" spans="1:9" x14ac:dyDescent="0.25">
      <c r="A499" s="50"/>
      <c r="I499" s="71"/>
    </row>
    <row r="500" spans="1:9" x14ac:dyDescent="0.25">
      <c r="A500" s="50"/>
      <c r="I500" s="71"/>
    </row>
    <row r="501" spans="1:9" x14ac:dyDescent="0.25">
      <c r="A501" s="50"/>
      <c r="I501" s="71"/>
    </row>
    <row r="502" spans="1:9" x14ac:dyDescent="0.25">
      <c r="A502" s="50"/>
      <c r="I502" s="71"/>
    </row>
    <row r="503" spans="1:9" x14ac:dyDescent="0.25">
      <c r="A503" s="50"/>
      <c r="I503" s="71"/>
    </row>
    <row r="504" spans="1:9" x14ac:dyDescent="0.25">
      <c r="A504" s="50"/>
      <c r="I504" s="71"/>
    </row>
    <row r="505" spans="1:9" x14ac:dyDescent="0.25">
      <c r="A505" s="50"/>
      <c r="I505" s="71"/>
    </row>
    <row r="506" spans="1:9" x14ac:dyDescent="0.25">
      <c r="A506" s="50"/>
      <c r="I506" s="71"/>
    </row>
    <row r="507" spans="1:9" x14ac:dyDescent="0.25">
      <c r="A507" s="50"/>
      <c r="I507" s="71"/>
    </row>
    <row r="508" spans="1:9" x14ac:dyDescent="0.25">
      <c r="A508" s="50"/>
      <c r="I508" s="71"/>
    </row>
    <row r="509" spans="1:9" x14ac:dyDescent="0.25">
      <c r="A509" s="50"/>
      <c r="I509" s="71"/>
    </row>
    <row r="510" spans="1:9" x14ac:dyDescent="0.25">
      <c r="A510" s="50"/>
      <c r="I510" s="71"/>
    </row>
    <row r="511" spans="1:9" x14ac:dyDescent="0.25">
      <c r="A511" s="50"/>
      <c r="I511" s="71"/>
    </row>
    <row r="512" spans="1:9" x14ac:dyDescent="0.25">
      <c r="A512" s="50"/>
      <c r="I512" s="71"/>
    </row>
    <row r="513" spans="1:9" x14ac:dyDescent="0.25">
      <c r="A513" s="50"/>
      <c r="I513" s="71"/>
    </row>
    <row r="514" spans="1:9" x14ac:dyDescent="0.25">
      <c r="A514" s="50"/>
      <c r="I514" s="71"/>
    </row>
    <row r="515" spans="1:9" x14ac:dyDescent="0.25">
      <c r="A515" s="50"/>
      <c r="I515" s="71"/>
    </row>
    <row r="516" spans="1:9" x14ac:dyDescent="0.25">
      <c r="A516" s="50"/>
      <c r="I516" s="71"/>
    </row>
    <row r="517" spans="1:9" x14ac:dyDescent="0.25">
      <c r="A517" s="50"/>
      <c r="I517" s="71"/>
    </row>
    <row r="518" spans="1:9" x14ac:dyDescent="0.25">
      <c r="A518" s="50"/>
      <c r="I518" s="71"/>
    </row>
    <row r="519" spans="1:9" x14ac:dyDescent="0.25">
      <c r="A519" s="50"/>
      <c r="I519" s="71"/>
    </row>
    <row r="520" spans="1:9" x14ac:dyDescent="0.25">
      <c r="A520" s="50"/>
      <c r="I520" s="71"/>
    </row>
    <row r="521" spans="1:9" x14ac:dyDescent="0.25">
      <c r="A521" s="50"/>
      <c r="I521" s="71"/>
    </row>
    <row r="522" spans="1:9" x14ac:dyDescent="0.25">
      <c r="A522" s="50"/>
      <c r="I522" s="71"/>
    </row>
    <row r="523" spans="1:9" x14ac:dyDescent="0.25">
      <c r="A523" s="50"/>
      <c r="I523" s="71"/>
    </row>
    <row r="524" spans="1:9" x14ac:dyDescent="0.25">
      <c r="A524" s="50"/>
      <c r="I524" s="71"/>
    </row>
    <row r="525" spans="1:9" x14ac:dyDescent="0.25">
      <c r="A525" s="50"/>
      <c r="I525" s="71"/>
    </row>
    <row r="526" spans="1:9" x14ac:dyDescent="0.25">
      <c r="A526" s="50"/>
      <c r="I526" s="71"/>
    </row>
    <row r="527" spans="1:9" x14ac:dyDescent="0.25">
      <c r="A527" s="50"/>
      <c r="I527" s="71"/>
    </row>
    <row r="528" spans="1:9" x14ac:dyDescent="0.25">
      <c r="A528" s="50"/>
      <c r="I528" s="71"/>
    </row>
    <row r="529" spans="1:9" x14ac:dyDescent="0.25">
      <c r="A529" s="50"/>
      <c r="I529" s="71"/>
    </row>
    <row r="530" spans="1:9" x14ac:dyDescent="0.25">
      <c r="A530" s="50"/>
      <c r="I530" s="71"/>
    </row>
    <row r="531" spans="1:9" x14ac:dyDescent="0.25">
      <c r="A531" s="50"/>
      <c r="I531" s="71"/>
    </row>
    <row r="532" spans="1:9" x14ac:dyDescent="0.25">
      <c r="A532" s="50"/>
      <c r="I532" s="71"/>
    </row>
    <row r="533" spans="1:9" x14ac:dyDescent="0.25">
      <c r="A533" s="50"/>
      <c r="I533" s="71"/>
    </row>
    <row r="534" spans="1:9" x14ac:dyDescent="0.25">
      <c r="A534" s="50"/>
      <c r="I534" s="71"/>
    </row>
    <row r="535" spans="1:9" x14ac:dyDescent="0.25">
      <c r="A535" s="50"/>
      <c r="I535" s="71"/>
    </row>
    <row r="536" spans="1:9" x14ac:dyDescent="0.25">
      <c r="A536" s="50"/>
      <c r="I536" s="71"/>
    </row>
    <row r="537" spans="1:9" x14ac:dyDescent="0.25">
      <c r="A537" s="50"/>
      <c r="I537" s="71"/>
    </row>
    <row r="538" spans="1:9" x14ac:dyDescent="0.25">
      <c r="A538" s="50"/>
      <c r="I538" s="71"/>
    </row>
    <row r="539" spans="1:9" x14ac:dyDescent="0.25">
      <c r="A539" s="50"/>
      <c r="I539" s="71"/>
    </row>
    <row r="540" spans="1:9" x14ac:dyDescent="0.25">
      <c r="A540" s="50"/>
      <c r="I540" s="71"/>
    </row>
    <row r="541" spans="1:9" x14ac:dyDescent="0.25">
      <c r="A541" s="50"/>
      <c r="I541" s="71"/>
    </row>
    <row r="542" spans="1:9" x14ac:dyDescent="0.25">
      <c r="A542" s="50"/>
      <c r="I542" s="71"/>
    </row>
    <row r="543" spans="1:9" x14ac:dyDescent="0.25">
      <c r="A543" s="50"/>
      <c r="I543" s="71"/>
    </row>
    <row r="544" spans="1:9" x14ac:dyDescent="0.25">
      <c r="A544" s="50"/>
      <c r="I544" s="71"/>
    </row>
    <row r="545" spans="1:9" x14ac:dyDescent="0.25">
      <c r="A545" s="50"/>
      <c r="I545" s="71"/>
    </row>
    <row r="546" spans="1:9" x14ac:dyDescent="0.25">
      <c r="A546" s="50"/>
      <c r="I546" s="71"/>
    </row>
    <row r="547" spans="1:9" x14ac:dyDescent="0.25">
      <c r="A547" s="50"/>
      <c r="I547" s="71"/>
    </row>
    <row r="548" spans="1:9" x14ac:dyDescent="0.25">
      <c r="A548" s="50"/>
      <c r="I548" s="71"/>
    </row>
    <row r="549" spans="1:9" x14ac:dyDescent="0.25">
      <c r="A549" s="50"/>
      <c r="I549" s="71"/>
    </row>
    <row r="550" spans="1:9" x14ac:dyDescent="0.25">
      <c r="A550" s="50"/>
      <c r="I550" s="71"/>
    </row>
    <row r="551" spans="1:9" x14ac:dyDescent="0.25">
      <c r="A551" s="50"/>
      <c r="I551" s="71"/>
    </row>
    <row r="552" spans="1:9" x14ac:dyDescent="0.25">
      <c r="A552" s="50"/>
      <c r="I552" s="71"/>
    </row>
    <row r="553" spans="1:9" x14ac:dyDescent="0.25">
      <c r="A553" s="50"/>
      <c r="I553" s="71"/>
    </row>
    <row r="554" spans="1:9" x14ac:dyDescent="0.25">
      <c r="A554" s="50"/>
      <c r="I554" s="71"/>
    </row>
    <row r="555" spans="1:9" x14ac:dyDescent="0.25">
      <c r="A555" s="50"/>
      <c r="I555" s="71"/>
    </row>
    <row r="556" spans="1:9" x14ac:dyDescent="0.25">
      <c r="A556" s="50"/>
      <c r="I556" s="71"/>
    </row>
    <row r="557" spans="1:9" x14ac:dyDescent="0.25">
      <c r="A557" s="50"/>
      <c r="I557" s="71"/>
    </row>
    <row r="558" spans="1:9" x14ac:dyDescent="0.25">
      <c r="A558" s="50"/>
      <c r="I558" s="71"/>
    </row>
    <row r="559" spans="1:9" x14ac:dyDescent="0.25">
      <c r="A559" s="50"/>
      <c r="I559" s="71"/>
    </row>
    <row r="560" spans="1:9" x14ac:dyDescent="0.25">
      <c r="A560" s="50"/>
      <c r="I560" s="71"/>
    </row>
    <row r="561" spans="1:9" x14ac:dyDescent="0.25">
      <c r="A561" s="50"/>
      <c r="I561" s="71"/>
    </row>
    <row r="562" spans="1:9" x14ac:dyDescent="0.25">
      <c r="A562" s="50"/>
      <c r="I562" s="71"/>
    </row>
    <row r="563" spans="1:9" x14ac:dyDescent="0.25">
      <c r="A563" s="50"/>
      <c r="I563" s="71"/>
    </row>
    <row r="564" spans="1:9" x14ac:dyDescent="0.25">
      <c r="A564" s="50"/>
      <c r="I564" s="71"/>
    </row>
    <row r="565" spans="1:9" x14ac:dyDescent="0.25">
      <c r="A565" s="50"/>
      <c r="I565" s="71"/>
    </row>
    <row r="566" spans="1:9" x14ac:dyDescent="0.25">
      <c r="A566" s="50"/>
      <c r="I566" s="71"/>
    </row>
    <row r="567" spans="1:9" x14ac:dyDescent="0.25">
      <c r="A567" s="50"/>
      <c r="I567" s="71"/>
    </row>
    <row r="568" spans="1:9" x14ac:dyDescent="0.25">
      <c r="A568" s="50"/>
      <c r="I568" s="71"/>
    </row>
    <row r="569" spans="1:9" x14ac:dyDescent="0.25">
      <c r="A569" s="50"/>
      <c r="I569" s="71"/>
    </row>
    <row r="570" spans="1:9" x14ac:dyDescent="0.25">
      <c r="A570" s="50"/>
      <c r="I570" s="71"/>
    </row>
    <row r="571" spans="1:9" x14ac:dyDescent="0.25">
      <c r="A571" s="50"/>
      <c r="I571" s="71"/>
    </row>
    <row r="572" spans="1:9" x14ac:dyDescent="0.25">
      <c r="A572" s="50"/>
      <c r="I572" s="71"/>
    </row>
    <row r="573" spans="1:9" x14ac:dyDescent="0.25">
      <c r="A573" s="50"/>
      <c r="I573" s="71"/>
    </row>
    <row r="574" spans="1:9" x14ac:dyDescent="0.25">
      <c r="A574" s="50"/>
      <c r="I574" s="71"/>
    </row>
    <row r="575" spans="1:9" x14ac:dyDescent="0.25">
      <c r="A575" s="50"/>
      <c r="I575" s="71"/>
    </row>
    <row r="576" spans="1:9" x14ac:dyDescent="0.25">
      <c r="A576" s="50"/>
      <c r="I576" s="71"/>
    </row>
    <row r="577" spans="1:9" x14ac:dyDescent="0.25">
      <c r="A577" s="50"/>
      <c r="I577" s="71"/>
    </row>
    <row r="578" spans="1:9" x14ac:dyDescent="0.25">
      <c r="A578" s="50"/>
      <c r="I578" s="71"/>
    </row>
    <row r="579" spans="1:9" x14ac:dyDescent="0.25">
      <c r="A579" s="50"/>
      <c r="I579" s="71"/>
    </row>
    <row r="580" spans="1:9" x14ac:dyDescent="0.25">
      <c r="A580" s="50"/>
      <c r="I580" s="71"/>
    </row>
    <row r="581" spans="1:9" x14ac:dyDescent="0.25">
      <c r="A581" s="50"/>
      <c r="I581" s="71"/>
    </row>
    <row r="582" spans="1:9" x14ac:dyDescent="0.25">
      <c r="A582" s="50"/>
      <c r="I582" s="71"/>
    </row>
    <row r="583" spans="1:9" x14ac:dyDescent="0.25">
      <c r="A583" s="50"/>
      <c r="I583" s="71"/>
    </row>
    <row r="584" spans="1:9" x14ac:dyDescent="0.25">
      <c r="A584" s="50"/>
      <c r="I584" s="71"/>
    </row>
    <row r="585" spans="1:9" x14ac:dyDescent="0.25">
      <c r="A585" s="50"/>
      <c r="I585" s="71"/>
    </row>
    <row r="586" spans="1:9" x14ac:dyDescent="0.25">
      <c r="A586" s="50"/>
      <c r="I586" s="71"/>
    </row>
    <row r="587" spans="1:9" x14ac:dyDescent="0.25">
      <c r="A587" s="50"/>
      <c r="I587" s="71"/>
    </row>
    <row r="588" spans="1:9" x14ac:dyDescent="0.25">
      <c r="A588" s="50"/>
      <c r="I588" s="71"/>
    </row>
    <row r="589" spans="1:9" x14ac:dyDescent="0.25">
      <c r="A589" s="50"/>
      <c r="I589" s="71"/>
    </row>
    <row r="590" spans="1:9" x14ac:dyDescent="0.25">
      <c r="A590" s="50"/>
      <c r="I590" s="71"/>
    </row>
    <row r="591" spans="1:9" x14ac:dyDescent="0.25">
      <c r="A591" s="50"/>
      <c r="I591" s="71"/>
    </row>
    <row r="592" spans="1:9" x14ac:dyDescent="0.25">
      <c r="A592" s="50"/>
      <c r="I592" s="71"/>
    </row>
    <row r="593" spans="1:9" x14ac:dyDescent="0.25">
      <c r="A593" s="50"/>
      <c r="I593" s="71"/>
    </row>
    <row r="594" spans="1:9" x14ac:dyDescent="0.25">
      <c r="A594" s="50"/>
      <c r="I594" s="71"/>
    </row>
    <row r="595" spans="1:9" x14ac:dyDescent="0.25">
      <c r="A595" s="50"/>
      <c r="I595" s="71"/>
    </row>
    <row r="596" spans="1:9" x14ac:dyDescent="0.25">
      <c r="A596" s="50"/>
      <c r="I596" s="71"/>
    </row>
    <row r="597" spans="1:9" x14ac:dyDescent="0.25">
      <c r="A597" s="50"/>
      <c r="I597" s="71"/>
    </row>
    <row r="598" spans="1:9" x14ac:dyDescent="0.25">
      <c r="A598" s="50"/>
      <c r="I598" s="71"/>
    </row>
    <row r="599" spans="1:9" x14ac:dyDescent="0.25">
      <c r="A599" s="50"/>
      <c r="I599" s="71"/>
    </row>
    <row r="600" spans="1:9" x14ac:dyDescent="0.25">
      <c r="A600" s="50"/>
      <c r="I600" s="71"/>
    </row>
    <row r="601" spans="1:9" x14ac:dyDescent="0.25">
      <c r="A601" s="50"/>
      <c r="I601" s="71"/>
    </row>
    <row r="602" spans="1:9" x14ac:dyDescent="0.25">
      <c r="A602" s="50"/>
      <c r="I602" s="71"/>
    </row>
    <row r="603" spans="1:9" x14ac:dyDescent="0.25">
      <c r="A603" s="50"/>
      <c r="I603" s="71"/>
    </row>
    <row r="604" spans="1:9" x14ac:dyDescent="0.25">
      <c r="A604" s="50"/>
      <c r="I604" s="71"/>
    </row>
    <row r="605" spans="1:9" x14ac:dyDescent="0.25">
      <c r="A605" s="50"/>
      <c r="I605" s="71"/>
    </row>
    <row r="606" spans="1:9" x14ac:dyDescent="0.25">
      <c r="A606" s="50"/>
      <c r="I606" s="71"/>
    </row>
    <row r="607" spans="1:9" x14ac:dyDescent="0.25">
      <c r="A607" s="50"/>
      <c r="I607" s="71"/>
    </row>
    <row r="608" spans="1:9" x14ac:dyDescent="0.25">
      <c r="A608" s="50"/>
      <c r="I608" s="71"/>
    </row>
    <row r="609" spans="1:9" x14ac:dyDescent="0.25">
      <c r="A609" s="50"/>
      <c r="I609" s="71"/>
    </row>
    <row r="610" spans="1:9" x14ac:dyDescent="0.25">
      <c r="A610" s="50"/>
      <c r="I610" s="71"/>
    </row>
    <row r="611" spans="1:9" x14ac:dyDescent="0.25">
      <c r="A611" s="50"/>
      <c r="I611" s="71"/>
    </row>
    <row r="612" spans="1:9" x14ac:dyDescent="0.25">
      <c r="A612" s="50"/>
      <c r="I612" s="71"/>
    </row>
    <row r="613" spans="1:9" x14ac:dyDescent="0.25">
      <c r="A613" s="50"/>
      <c r="I613" s="71"/>
    </row>
    <row r="614" spans="1:9" x14ac:dyDescent="0.25">
      <c r="A614" s="50"/>
      <c r="I614" s="71"/>
    </row>
    <row r="615" spans="1:9" x14ac:dyDescent="0.25">
      <c r="A615" s="50"/>
      <c r="I615" s="71"/>
    </row>
    <row r="616" spans="1:9" x14ac:dyDescent="0.25">
      <c r="A616" s="50"/>
      <c r="I616" s="71"/>
    </row>
    <row r="617" spans="1:9" x14ac:dyDescent="0.25">
      <c r="A617" s="50"/>
      <c r="I617" s="71"/>
    </row>
    <row r="618" spans="1:9" x14ac:dyDescent="0.25">
      <c r="A618" s="50"/>
      <c r="I618" s="71"/>
    </row>
    <row r="619" spans="1:9" x14ac:dyDescent="0.25">
      <c r="A619" s="50"/>
      <c r="I619" s="71"/>
    </row>
    <row r="620" spans="1:9" x14ac:dyDescent="0.25">
      <c r="A620" s="50"/>
      <c r="I620" s="71"/>
    </row>
    <row r="621" spans="1:9" x14ac:dyDescent="0.25">
      <c r="A621" s="50"/>
      <c r="I621" s="71"/>
    </row>
    <row r="622" spans="1:9" x14ac:dyDescent="0.25">
      <c r="A622" s="50"/>
      <c r="I622" s="71"/>
    </row>
    <row r="623" spans="1:9" x14ac:dyDescent="0.25">
      <c r="A623" s="50"/>
      <c r="I623" s="71"/>
    </row>
    <row r="624" spans="1:9" x14ac:dyDescent="0.25">
      <c r="A624" s="50"/>
      <c r="I624" s="71"/>
    </row>
    <row r="625" spans="1:9" x14ac:dyDescent="0.25">
      <c r="A625" s="50"/>
      <c r="I625" s="71"/>
    </row>
    <row r="626" spans="1:9" x14ac:dyDescent="0.25">
      <c r="A626" s="50"/>
      <c r="I626" s="71"/>
    </row>
    <row r="627" spans="1:9" x14ac:dyDescent="0.25">
      <c r="A627" s="50"/>
      <c r="I627" s="71"/>
    </row>
    <row r="628" spans="1:9" x14ac:dyDescent="0.25">
      <c r="A628" s="50"/>
      <c r="I628" s="71"/>
    </row>
    <row r="629" spans="1:9" x14ac:dyDescent="0.25">
      <c r="A629" s="50"/>
      <c r="I629" s="71"/>
    </row>
    <row r="630" spans="1:9" x14ac:dyDescent="0.25">
      <c r="A630" s="50"/>
      <c r="I630" s="71"/>
    </row>
    <row r="631" spans="1:9" x14ac:dyDescent="0.25">
      <c r="A631" s="50"/>
      <c r="I631" s="71"/>
    </row>
    <row r="632" spans="1:9" x14ac:dyDescent="0.25">
      <c r="A632" s="50"/>
      <c r="I632" s="71"/>
    </row>
    <row r="633" spans="1:9" x14ac:dyDescent="0.25">
      <c r="A633" s="50"/>
      <c r="I633" s="71"/>
    </row>
    <row r="634" spans="1:9" x14ac:dyDescent="0.25">
      <c r="A634" s="50"/>
      <c r="I634" s="71"/>
    </row>
    <row r="635" spans="1:9" x14ac:dyDescent="0.25">
      <c r="A635" s="50"/>
      <c r="I635" s="71"/>
    </row>
    <row r="636" spans="1:9" x14ac:dyDescent="0.25">
      <c r="A636" s="50"/>
      <c r="I636" s="71"/>
    </row>
    <row r="637" spans="1:9" x14ac:dyDescent="0.25">
      <c r="A637" s="50"/>
      <c r="I637" s="71"/>
    </row>
    <row r="638" spans="1:9" x14ac:dyDescent="0.25">
      <c r="A638" s="50"/>
      <c r="I638" s="71"/>
    </row>
    <row r="639" spans="1:9" x14ac:dyDescent="0.25">
      <c r="A639" s="50"/>
      <c r="I639" s="71"/>
    </row>
    <row r="640" spans="1:9" x14ac:dyDescent="0.25">
      <c r="A640" s="50"/>
      <c r="I640" s="71"/>
    </row>
    <row r="641" spans="1:9" x14ac:dyDescent="0.25">
      <c r="A641" s="50"/>
      <c r="I641" s="71"/>
    </row>
    <row r="642" spans="1:9" x14ac:dyDescent="0.25">
      <c r="A642" s="50"/>
      <c r="I642" s="71"/>
    </row>
    <row r="643" spans="1:9" x14ac:dyDescent="0.25">
      <c r="A643" s="50"/>
      <c r="I643" s="71"/>
    </row>
    <row r="644" spans="1:9" x14ac:dyDescent="0.25">
      <c r="A644" s="50"/>
      <c r="I644" s="71"/>
    </row>
    <row r="645" spans="1:9" x14ac:dyDescent="0.25">
      <c r="A645" s="50"/>
      <c r="I645" s="71"/>
    </row>
    <row r="646" spans="1:9" x14ac:dyDescent="0.25">
      <c r="A646" s="50"/>
      <c r="I646" s="71"/>
    </row>
    <row r="647" spans="1:9" x14ac:dyDescent="0.25">
      <c r="A647" s="50"/>
      <c r="I647" s="71"/>
    </row>
    <row r="648" spans="1:9" x14ac:dyDescent="0.25">
      <c r="A648" s="50"/>
      <c r="I648" s="71"/>
    </row>
    <row r="649" spans="1:9" x14ac:dyDescent="0.25">
      <c r="A649" s="50"/>
      <c r="I649" s="71"/>
    </row>
    <row r="650" spans="1:9" x14ac:dyDescent="0.25">
      <c r="A650" s="50"/>
      <c r="I650" s="71"/>
    </row>
    <row r="651" spans="1:9" x14ac:dyDescent="0.25">
      <c r="A651" s="50"/>
      <c r="I651" s="71"/>
    </row>
    <row r="652" spans="1:9" x14ac:dyDescent="0.25">
      <c r="A652" s="50"/>
      <c r="I652" s="71"/>
    </row>
    <row r="653" spans="1:9" x14ac:dyDescent="0.25">
      <c r="A653" s="50"/>
      <c r="I653" s="71"/>
    </row>
    <row r="654" spans="1:9" x14ac:dyDescent="0.25">
      <c r="A654" s="50"/>
      <c r="I654" s="71"/>
    </row>
    <row r="655" spans="1:9" x14ac:dyDescent="0.25">
      <c r="A655" s="50"/>
      <c r="I655" s="71"/>
    </row>
    <row r="656" spans="1:9" x14ac:dyDescent="0.25">
      <c r="A656" s="50"/>
      <c r="I656" s="71"/>
    </row>
    <row r="657" spans="1:9" x14ac:dyDescent="0.25">
      <c r="A657" s="50"/>
      <c r="I657" s="71"/>
    </row>
    <row r="658" spans="1:9" x14ac:dyDescent="0.25">
      <c r="A658" s="50"/>
      <c r="I658" s="71"/>
    </row>
    <row r="659" spans="1:9" x14ac:dyDescent="0.25">
      <c r="A659" s="50"/>
      <c r="I659" s="71"/>
    </row>
    <row r="660" spans="1:9" x14ac:dyDescent="0.25">
      <c r="A660" s="50"/>
      <c r="I660" s="71"/>
    </row>
    <row r="661" spans="1:9" x14ac:dyDescent="0.25">
      <c r="A661" s="50"/>
      <c r="I661" s="71"/>
    </row>
    <row r="662" spans="1:9" x14ac:dyDescent="0.25">
      <c r="A662" s="50"/>
      <c r="I662" s="71"/>
    </row>
    <row r="663" spans="1:9" x14ac:dyDescent="0.25">
      <c r="A663" s="50"/>
      <c r="I663" s="71"/>
    </row>
    <row r="664" spans="1:9" x14ac:dyDescent="0.25">
      <c r="A664" s="50"/>
      <c r="I664" s="71"/>
    </row>
    <row r="665" spans="1:9" x14ac:dyDescent="0.25">
      <c r="A665" s="50"/>
      <c r="I665" s="71"/>
    </row>
    <row r="666" spans="1:9" x14ac:dyDescent="0.25">
      <c r="A666" s="50"/>
      <c r="I666" s="71"/>
    </row>
    <row r="667" spans="1:9" x14ac:dyDescent="0.25">
      <c r="A667" s="50"/>
      <c r="I667" s="71"/>
    </row>
    <row r="668" spans="1:9" x14ac:dyDescent="0.25">
      <c r="A668" s="50"/>
      <c r="I668" s="71"/>
    </row>
    <row r="669" spans="1:9" x14ac:dyDescent="0.25">
      <c r="A669" s="50"/>
      <c r="I669" s="71"/>
    </row>
    <row r="670" spans="1:9" x14ac:dyDescent="0.25">
      <c r="A670" s="50"/>
      <c r="I670" s="71"/>
    </row>
    <row r="671" spans="1:9" x14ac:dyDescent="0.25">
      <c r="A671" s="50"/>
      <c r="I671" s="71"/>
    </row>
    <row r="672" spans="1:9" x14ac:dyDescent="0.25">
      <c r="A672" s="50"/>
      <c r="I672" s="71"/>
    </row>
    <row r="673" spans="1:9" x14ac:dyDescent="0.25">
      <c r="A673" s="50"/>
      <c r="I673" s="71"/>
    </row>
    <row r="674" spans="1:9" x14ac:dyDescent="0.25">
      <c r="A674" s="50"/>
      <c r="I674" s="71"/>
    </row>
    <row r="675" spans="1:9" x14ac:dyDescent="0.25">
      <c r="A675" s="50"/>
      <c r="I675" s="71"/>
    </row>
    <row r="676" spans="1:9" x14ac:dyDescent="0.25">
      <c r="A676" s="50"/>
      <c r="I676" s="71"/>
    </row>
    <row r="677" spans="1:9" x14ac:dyDescent="0.25">
      <c r="A677" s="50"/>
      <c r="I677" s="71"/>
    </row>
    <row r="678" spans="1:9" x14ac:dyDescent="0.25">
      <c r="A678" s="50"/>
      <c r="I678" s="71"/>
    </row>
    <row r="679" spans="1:9" x14ac:dyDescent="0.25">
      <c r="A679" s="50"/>
      <c r="I679" s="71"/>
    </row>
    <row r="680" spans="1:9" x14ac:dyDescent="0.25">
      <c r="A680" s="50"/>
      <c r="I680" s="71"/>
    </row>
    <row r="681" spans="1:9" x14ac:dyDescent="0.25">
      <c r="A681" s="50"/>
      <c r="I681" s="71"/>
    </row>
    <row r="682" spans="1:9" x14ac:dyDescent="0.25">
      <c r="A682" s="50"/>
      <c r="I682" s="71"/>
    </row>
    <row r="683" spans="1:9" x14ac:dyDescent="0.25">
      <c r="A683" s="50"/>
      <c r="I683" s="71"/>
    </row>
    <row r="684" spans="1:9" x14ac:dyDescent="0.25">
      <c r="A684" s="50"/>
      <c r="I684" s="71"/>
    </row>
    <row r="685" spans="1:9" x14ac:dyDescent="0.25">
      <c r="A685" s="50"/>
      <c r="I685" s="71"/>
    </row>
    <row r="686" spans="1:9" x14ac:dyDescent="0.25">
      <c r="A686" s="50"/>
      <c r="I686" s="71"/>
    </row>
    <row r="687" spans="1:9" x14ac:dyDescent="0.25">
      <c r="A687" s="50"/>
      <c r="I687" s="71"/>
    </row>
    <row r="688" spans="1:9" x14ac:dyDescent="0.25">
      <c r="A688" s="50"/>
      <c r="I688" s="71"/>
    </row>
    <row r="689" spans="1:9" x14ac:dyDescent="0.25">
      <c r="A689" s="50"/>
      <c r="I689" s="71"/>
    </row>
    <row r="690" spans="1:9" x14ac:dyDescent="0.25">
      <c r="A690" s="50"/>
      <c r="I690" s="71"/>
    </row>
    <row r="691" spans="1:9" x14ac:dyDescent="0.25">
      <c r="A691" s="50"/>
      <c r="I691" s="71"/>
    </row>
    <row r="692" spans="1:9" x14ac:dyDescent="0.25">
      <c r="A692" s="50"/>
      <c r="I692" s="71"/>
    </row>
    <row r="693" spans="1:9" x14ac:dyDescent="0.25">
      <c r="A693" s="50"/>
      <c r="I693" s="71"/>
    </row>
    <row r="694" spans="1:9" x14ac:dyDescent="0.25">
      <c r="A694" s="50"/>
      <c r="I694" s="71"/>
    </row>
    <row r="695" spans="1:9" x14ac:dyDescent="0.25">
      <c r="A695" s="50"/>
      <c r="I695" s="71"/>
    </row>
    <row r="696" spans="1:9" x14ac:dyDescent="0.25">
      <c r="A696" s="50"/>
      <c r="I696" s="71"/>
    </row>
    <row r="697" spans="1:9" x14ac:dyDescent="0.25">
      <c r="A697" s="50"/>
      <c r="I697" s="71"/>
    </row>
    <row r="698" spans="1:9" x14ac:dyDescent="0.25">
      <c r="A698" s="50"/>
      <c r="I698" s="71"/>
    </row>
    <row r="699" spans="1:9" x14ac:dyDescent="0.25">
      <c r="A699" s="50"/>
      <c r="I699" s="71"/>
    </row>
    <row r="700" spans="1:9" x14ac:dyDescent="0.25">
      <c r="A700" s="50"/>
      <c r="I700" s="71"/>
    </row>
    <row r="701" spans="1:9" x14ac:dyDescent="0.25">
      <c r="A701" s="50"/>
      <c r="I701" s="71"/>
    </row>
    <row r="702" spans="1:9" x14ac:dyDescent="0.25">
      <c r="A702" s="50"/>
      <c r="I702" s="71"/>
    </row>
    <row r="703" spans="1:9" x14ac:dyDescent="0.25">
      <c r="A703" s="50"/>
      <c r="I703" s="71"/>
    </row>
    <row r="704" spans="1:9" x14ac:dyDescent="0.25">
      <c r="A704" s="50"/>
      <c r="I704" s="71"/>
    </row>
    <row r="705" spans="1:9" x14ac:dyDescent="0.25">
      <c r="A705" s="50"/>
      <c r="I705" s="71"/>
    </row>
    <row r="706" spans="1:9" x14ac:dyDescent="0.25">
      <c r="A706" s="50"/>
      <c r="I706" s="71"/>
    </row>
    <row r="707" spans="1:9" x14ac:dyDescent="0.25">
      <c r="A707" s="50"/>
      <c r="I707" s="71"/>
    </row>
    <row r="708" spans="1:9" x14ac:dyDescent="0.25">
      <c r="A708" s="50"/>
      <c r="I708" s="71"/>
    </row>
    <row r="709" spans="1:9" x14ac:dyDescent="0.25">
      <c r="A709" s="50"/>
      <c r="I709" s="71"/>
    </row>
    <row r="710" spans="1:9" x14ac:dyDescent="0.25">
      <c r="A710" s="50"/>
      <c r="I710" s="71"/>
    </row>
    <row r="711" spans="1:9" x14ac:dyDescent="0.25">
      <c r="A711" s="50"/>
      <c r="I711" s="71"/>
    </row>
    <row r="712" spans="1:9" x14ac:dyDescent="0.25">
      <c r="A712" s="50"/>
      <c r="I712" s="71"/>
    </row>
    <row r="713" spans="1:9" x14ac:dyDescent="0.25">
      <c r="A713" s="50"/>
      <c r="I713" s="71"/>
    </row>
    <row r="714" spans="1:9" x14ac:dyDescent="0.25">
      <c r="A714" s="50"/>
      <c r="I714" s="71"/>
    </row>
    <row r="715" spans="1:9" x14ac:dyDescent="0.25">
      <c r="A715" s="50"/>
      <c r="I715" s="71"/>
    </row>
    <row r="716" spans="1:9" x14ac:dyDescent="0.25">
      <c r="A716" s="50"/>
      <c r="I716" s="71"/>
    </row>
    <row r="717" spans="1:9" x14ac:dyDescent="0.25">
      <c r="A717" s="50"/>
      <c r="I717" s="71"/>
    </row>
    <row r="718" spans="1:9" x14ac:dyDescent="0.25">
      <c r="A718" s="50"/>
      <c r="I718" s="71"/>
    </row>
    <row r="719" spans="1:9" x14ac:dyDescent="0.25">
      <c r="A719" s="50"/>
      <c r="I719" s="71"/>
    </row>
    <row r="720" spans="1:9" x14ac:dyDescent="0.25">
      <c r="A720" s="50"/>
      <c r="I720" s="71"/>
    </row>
    <row r="721" spans="1:9" x14ac:dyDescent="0.25">
      <c r="A721" s="50"/>
      <c r="I721" s="71"/>
    </row>
    <row r="722" spans="1:9" x14ac:dyDescent="0.25">
      <c r="A722" s="50"/>
      <c r="I722" s="71"/>
    </row>
    <row r="723" spans="1:9" x14ac:dyDescent="0.25">
      <c r="A723" s="50"/>
      <c r="I723" s="71"/>
    </row>
    <row r="724" spans="1:9" x14ac:dyDescent="0.25">
      <c r="A724" s="50"/>
      <c r="I724" s="71"/>
    </row>
    <row r="725" spans="1:9" x14ac:dyDescent="0.25">
      <c r="A725" s="50"/>
      <c r="I725" s="71"/>
    </row>
    <row r="726" spans="1:9" x14ac:dyDescent="0.25">
      <c r="A726" s="50"/>
      <c r="I726" s="71"/>
    </row>
    <row r="727" spans="1:9" x14ac:dyDescent="0.25">
      <c r="A727" s="50"/>
      <c r="I727" s="71"/>
    </row>
    <row r="728" spans="1:9" x14ac:dyDescent="0.25">
      <c r="A728" s="50"/>
      <c r="I728" s="71"/>
    </row>
    <row r="729" spans="1:9" x14ac:dyDescent="0.25">
      <c r="A729" s="50"/>
      <c r="I729" s="71"/>
    </row>
    <row r="730" spans="1:9" x14ac:dyDescent="0.25">
      <c r="A730" s="50"/>
      <c r="I730" s="71"/>
    </row>
    <row r="731" spans="1:9" x14ac:dyDescent="0.25">
      <c r="A731" s="50"/>
      <c r="I731" s="71"/>
    </row>
    <row r="732" spans="1:9" x14ac:dyDescent="0.25">
      <c r="A732" s="50"/>
      <c r="I732" s="71"/>
    </row>
    <row r="733" spans="1:9" x14ac:dyDescent="0.25">
      <c r="A733" s="50"/>
      <c r="I733" s="71"/>
    </row>
    <row r="734" spans="1:9" x14ac:dyDescent="0.25">
      <c r="A734" s="50"/>
      <c r="I734" s="71"/>
    </row>
    <row r="735" spans="1:9" x14ac:dyDescent="0.25">
      <c r="A735" s="50"/>
      <c r="I735" s="71"/>
    </row>
    <row r="736" spans="1:9" x14ac:dyDescent="0.25">
      <c r="A736" s="50"/>
      <c r="I736" s="71"/>
    </row>
    <row r="737" spans="1:9" x14ac:dyDescent="0.25">
      <c r="A737" s="50"/>
      <c r="I737" s="71"/>
    </row>
    <row r="738" spans="1:9" x14ac:dyDescent="0.25">
      <c r="A738" s="50"/>
      <c r="I738" s="71"/>
    </row>
    <row r="739" spans="1:9" x14ac:dyDescent="0.25">
      <c r="A739" s="50"/>
      <c r="I739" s="71"/>
    </row>
    <row r="740" spans="1:9" x14ac:dyDescent="0.25">
      <c r="A740" s="50"/>
      <c r="I740" s="71"/>
    </row>
    <row r="741" spans="1:9" x14ac:dyDescent="0.25">
      <c r="A741" s="50"/>
      <c r="I741" s="71"/>
    </row>
    <row r="742" spans="1:9" x14ac:dyDescent="0.25">
      <c r="A742" s="50"/>
      <c r="I742" s="7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50"/>
  <sheetViews>
    <sheetView zoomScale="130" zoomScaleNormal="130" workbookViewId="0">
      <selection activeCell="A10" sqref="A10"/>
    </sheetView>
  </sheetViews>
  <sheetFormatPr defaultColWidth="9.140625" defaultRowHeight="15" x14ac:dyDescent="0.25"/>
  <cols>
    <col min="1" max="1" width="10.7109375" style="2" bestFit="1" customWidth="1"/>
    <col min="2" max="2" width="4.42578125" style="2" customWidth="1"/>
    <col min="3" max="3" width="22.85546875" style="2" customWidth="1"/>
    <col min="4" max="4" width="7.28515625" style="2" bestFit="1" customWidth="1"/>
    <col min="5" max="5" width="10.7109375" style="2" bestFit="1" customWidth="1"/>
    <col min="6" max="6" width="4" style="2" customWidth="1"/>
    <col min="7" max="7" width="27" style="12" bestFit="1" customWidth="1"/>
    <col min="8" max="8" width="19.5703125" style="12" bestFit="1" customWidth="1"/>
    <col min="9" max="9" width="3.5703125" style="13" customWidth="1"/>
    <col min="10" max="10" width="12.5703125" style="2" bestFit="1" customWidth="1"/>
    <col min="11" max="11" width="6.42578125" style="2" bestFit="1" customWidth="1"/>
    <col min="12" max="12" width="10" style="2" customWidth="1"/>
    <col min="13" max="16384" width="9.140625" style="2"/>
  </cols>
  <sheetData>
    <row r="1" spans="1:12" x14ac:dyDescent="0.25">
      <c r="A1" s="1" t="s">
        <v>73</v>
      </c>
      <c r="C1" s="1" t="s">
        <v>74</v>
      </c>
      <c r="E1" s="2">
        <v>102</v>
      </c>
      <c r="G1" s="3" t="s">
        <v>77</v>
      </c>
      <c r="H1" s="3" t="s">
        <v>76</v>
      </c>
      <c r="I1" s="4"/>
      <c r="J1" s="3" t="s">
        <v>260</v>
      </c>
      <c r="K1" s="79" t="s">
        <v>258</v>
      </c>
      <c r="L1" s="79" t="s">
        <v>259</v>
      </c>
    </row>
    <row r="2" spans="1:12" x14ac:dyDescent="0.25">
      <c r="A2" s="2">
        <v>190</v>
      </c>
      <c r="C2" s="2">
        <v>37</v>
      </c>
      <c r="G2" s="5" t="s">
        <v>80</v>
      </c>
      <c r="H2" s="5" t="s">
        <v>81</v>
      </c>
      <c r="I2" s="6"/>
      <c r="J2" s="78" t="s">
        <v>262</v>
      </c>
      <c r="K2" s="80" t="s">
        <v>261</v>
      </c>
      <c r="L2" s="81">
        <v>9.9999999999999998E+23</v>
      </c>
    </row>
    <row r="3" spans="1:12" x14ac:dyDescent="0.25">
      <c r="A3" s="7"/>
      <c r="D3" s="7"/>
      <c r="G3" s="5" t="s">
        <v>84</v>
      </c>
      <c r="H3" s="5" t="s">
        <v>85</v>
      </c>
      <c r="I3" s="6"/>
      <c r="J3" s="78" t="s">
        <v>264</v>
      </c>
      <c r="K3" s="80" t="s">
        <v>263</v>
      </c>
      <c r="L3" s="81">
        <v>1E+21</v>
      </c>
    </row>
    <row r="4" spans="1:12" x14ac:dyDescent="0.25">
      <c r="G4" s="5" t="s">
        <v>88</v>
      </c>
      <c r="H4" s="5" t="s">
        <v>89</v>
      </c>
      <c r="I4" s="6"/>
      <c r="J4" s="78" t="s">
        <v>266</v>
      </c>
      <c r="K4" s="80" t="s">
        <v>265</v>
      </c>
      <c r="L4" s="81">
        <v>1E+18</v>
      </c>
    </row>
    <row r="5" spans="1:12" x14ac:dyDescent="0.25">
      <c r="A5" s="1" t="s">
        <v>90</v>
      </c>
      <c r="C5" s="1" t="s">
        <v>91</v>
      </c>
      <c r="G5" s="3" t="s">
        <v>94</v>
      </c>
      <c r="H5" s="3" t="s">
        <v>76</v>
      </c>
      <c r="I5" s="6"/>
      <c r="J5" s="78" t="s">
        <v>268</v>
      </c>
      <c r="K5" s="80" t="s">
        <v>267</v>
      </c>
      <c r="L5" s="81">
        <v>1000000000000000</v>
      </c>
    </row>
    <row r="6" spans="1:12" x14ac:dyDescent="0.25">
      <c r="A6" s="7">
        <v>234</v>
      </c>
      <c r="C6" s="2">
        <v>90</v>
      </c>
      <c r="G6" s="5" t="s">
        <v>97</v>
      </c>
      <c r="H6" s="5" t="s">
        <v>98</v>
      </c>
      <c r="I6" s="6"/>
      <c r="J6" s="78" t="s">
        <v>270</v>
      </c>
      <c r="K6" s="80" t="s">
        <v>269</v>
      </c>
      <c r="L6" s="81">
        <v>1000000000000</v>
      </c>
    </row>
    <row r="7" spans="1:12" x14ac:dyDescent="0.25">
      <c r="A7" s="7"/>
      <c r="E7" s="8"/>
      <c r="G7" s="5" t="s">
        <v>101</v>
      </c>
      <c r="H7" s="5" t="s">
        <v>102</v>
      </c>
      <c r="I7" s="6"/>
      <c r="J7" s="78" t="s">
        <v>272</v>
      </c>
      <c r="K7" s="80" t="s">
        <v>271</v>
      </c>
      <c r="L7" s="81">
        <v>1000000000</v>
      </c>
    </row>
    <row r="8" spans="1:12" x14ac:dyDescent="0.25">
      <c r="D8" s="9"/>
      <c r="G8" s="5" t="s">
        <v>105</v>
      </c>
      <c r="H8" s="5" t="s">
        <v>106</v>
      </c>
      <c r="I8" s="6"/>
      <c r="J8" s="78" t="s">
        <v>274</v>
      </c>
      <c r="K8" s="80" t="s">
        <v>273</v>
      </c>
      <c r="L8" s="81">
        <v>1000000</v>
      </c>
    </row>
    <row r="9" spans="1:12" x14ac:dyDescent="0.25">
      <c r="C9" s="1" t="s">
        <v>107</v>
      </c>
      <c r="G9" s="5" t="s">
        <v>110</v>
      </c>
      <c r="H9" s="5" t="s">
        <v>111</v>
      </c>
      <c r="I9" s="6"/>
      <c r="J9" s="78" t="s">
        <v>276</v>
      </c>
      <c r="K9" s="80" t="s">
        <v>275</v>
      </c>
      <c r="L9" s="81">
        <v>1000</v>
      </c>
    </row>
    <row r="10" spans="1:12" x14ac:dyDescent="0.25">
      <c r="C10" s="2">
        <v>150</v>
      </c>
      <c r="G10" s="5" t="s">
        <v>113</v>
      </c>
      <c r="H10" s="5" t="s">
        <v>114</v>
      </c>
      <c r="I10" s="4"/>
      <c r="J10" s="78" t="s">
        <v>278</v>
      </c>
      <c r="K10" s="80" t="s">
        <v>277</v>
      </c>
      <c r="L10" s="81">
        <v>100</v>
      </c>
    </row>
    <row r="11" spans="1:12" x14ac:dyDescent="0.25">
      <c r="G11" s="5" t="s">
        <v>117</v>
      </c>
      <c r="H11" s="5" t="s">
        <v>118</v>
      </c>
      <c r="I11" s="10"/>
      <c r="J11" s="78" t="s">
        <v>280</v>
      </c>
      <c r="K11" s="80" t="s">
        <v>279</v>
      </c>
      <c r="L11" s="81">
        <v>10</v>
      </c>
    </row>
    <row r="12" spans="1:12" x14ac:dyDescent="0.25">
      <c r="G12" s="3" t="s">
        <v>75</v>
      </c>
      <c r="H12" s="3" t="s">
        <v>76</v>
      </c>
      <c r="I12" s="10"/>
      <c r="J12" s="78" t="s">
        <v>282</v>
      </c>
      <c r="K12" s="80" t="s">
        <v>281</v>
      </c>
      <c r="L12" s="81">
        <v>0.1</v>
      </c>
    </row>
    <row r="13" spans="1:12" x14ac:dyDescent="0.25">
      <c r="C13" s="1" t="s">
        <v>121</v>
      </c>
      <c r="G13" s="5" t="s">
        <v>78</v>
      </c>
      <c r="H13" s="5" t="s">
        <v>79</v>
      </c>
      <c r="I13" s="11"/>
      <c r="J13" s="78" t="s">
        <v>284</v>
      </c>
      <c r="K13" s="80" t="s">
        <v>283</v>
      </c>
      <c r="L13" s="81">
        <v>0.01</v>
      </c>
    </row>
    <row r="14" spans="1:12" x14ac:dyDescent="0.25">
      <c r="C14" s="2">
        <v>5280</v>
      </c>
      <c r="G14" s="5" t="s">
        <v>82</v>
      </c>
      <c r="H14" s="5" t="s">
        <v>83</v>
      </c>
      <c r="I14" s="11"/>
      <c r="J14" s="78" t="s">
        <v>98</v>
      </c>
      <c r="K14" s="80" t="s">
        <v>285</v>
      </c>
      <c r="L14" s="81">
        <v>1E-3</v>
      </c>
    </row>
    <row r="15" spans="1:12" x14ac:dyDescent="0.25">
      <c r="G15" s="5" t="s">
        <v>86</v>
      </c>
      <c r="H15" s="5" t="s">
        <v>87</v>
      </c>
      <c r="I15" s="11"/>
      <c r="J15" s="78" t="s">
        <v>287</v>
      </c>
      <c r="K15" s="80" t="s">
        <v>286</v>
      </c>
      <c r="L15" s="81">
        <v>9.9999999999999995E-7</v>
      </c>
    </row>
    <row r="16" spans="1:12" x14ac:dyDescent="0.25">
      <c r="G16" s="5" t="s">
        <v>92</v>
      </c>
      <c r="H16" s="5" t="s">
        <v>93</v>
      </c>
      <c r="I16" s="11"/>
      <c r="J16" s="78" t="s">
        <v>289</v>
      </c>
      <c r="K16" s="80" t="s">
        <v>288</v>
      </c>
      <c r="L16" s="81">
        <v>1.0000000000000001E-9</v>
      </c>
    </row>
    <row r="17" spans="7:12" x14ac:dyDescent="0.25">
      <c r="G17" s="5" t="s">
        <v>95</v>
      </c>
      <c r="H17" s="5" t="s">
        <v>96</v>
      </c>
      <c r="J17" s="78" t="s">
        <v>291</v>
      </c>
      <c r="K17" s="80" t="s">
        <v>290</v>
      </c>
      <c r="L17" s="81">
        <v>9.9999999999999998E-13</v>
      </c>
    </row>
    <row r="18" spans="7:12" x14ac:dyDescent="0.25">
      <c r="G18" s="5" t="s">
        <v>99</v>
      </c>
      <c r="H18" s="5" t="s">
        <v>100</v>
      </c>
      <c r="J18" s="78" t="s">
        <v>293</v>
      </c>
      <c r="K18" s="80" t="s">
        <v>292</v>
      </c>
      <c r="L18" s="81">
        <v>1.0000000000000001E-15</v>
      </c>
    </row>
    <row r="19" spans="7:12" x14ac:dyDescent="0.25">
      <c r="G19" s="5" t="s">
        <v>103</v>
      </c>
      <c r="H19" s="5" t="s">
        <v>104</v>
      </c>
      <c r="J19" s="78" t="s">
        <v>295</v>
      </c>
      <c r="K19" s="80" t="s">
        <v>294</v>
      </c>
      <c r="L19" s="81">
        <v>1.0000000000000001E-18</v>
      </c>
    </row>
    <row r="20" spans="7:12" x14ac:dyDescent="0.25">
      <c r="G20" s="5" t="s">
        <v>108</v>
      </c>
      <c r="H20" s="5" t="s">
        <v>109</v>
      </c>
      <c r="J20" s="78" t="s">
        <v>297</v>
      </c>
      <c r="K20" s="80" t="s">
        <v>296</v>
      </c>
      <c r="L20" s="81">
        <v>9.9999999999999991E-22</v>
      </c>
    </row>
    <row r="21" spans="7:12" x14ac:dyDescent="0.25">
      <c r="G21" s="3" t="s">
        <v>112</v>
      </c>
      <c r="H21" s="3" t="s">
        <v>76</v>
      </c>
      <c r="J21" s="78" t="s">
        <v>299</v>
      </c>
      <c r="K21" s="80" t="s">
        <v>298</v>
      </c>
      <c r="L21" s="81">
        <v>9.9999999999999992E-25</v>
      </c>
    </row>
    <row r="22" spans="7:12" x14ac:dyDescent="0.25">
      <c r="G22" s="5" t="s">
        <v>115</v>
      </c>
      <c r="H22" s="5" t="s">
        <v>116</v>
      </c>
    </row>
    <row r="23" spans="7:12" x14ac:dyDescent="0.25">
      <c r="G23" s="5" t="s">
        <v>119</v>
      </c>
      <c r="H23" s="5" t="s">
        <v>120</v>
      </c>
    </row>
    <row r="38" spans="8:9" x14ac:dyDescent="0.25">
      <c r="H38" s="2"/>
      <c r="I38" s="11"/>
    </row>
    <row r="39" spans="8:9" x14ac:dyDescent="0.25">
      <c r="H39" s="2"/>
      <c r="I39" s="11"/>
    </row>
    <row r="40" spans="8:9" x14ac:dyDescent="0.25">
      <c r="H40" s="2"/>
      <c r="I40" s="11"/>
    </row>
    <row r="41" spans="8:9" x14ac:dyDescent="0.25">
      <c r="H41" s="2"/>
      <c r="I41" s="11"/>
    </row>
    <row r="42" spans="8:9" x14ac:dyDescent="0.25">
      <c r="H42" s="2"/>
      <c r="I42" s="11"/>
    </row>
    <row r="43" spans="8:9" x14ac:dyDescent="0.25">
      <c r="H43" s="2"/>
      <c r="I43" s="11"/>
    </row>
    <row r="44" spans="8:9" x14ac:dyDescent="0.25">
      <c r="H44" s="2"/>
      <c r="I44" s="11"/>
    </row>
    <row r="45" spans="8:9" x14ac:dyDescent="0.25">
      <c r="H45" s="2"/>
      <c r="I45" s="11"/>
    </row>
    <row r="46" spans="8:9" x14ac:dyDescent="0.25">
      <c r="H46" s="2"/>
      <c r="I46" s="11"/>
    </row>
    <row r="47" spans="8:9" x14ac:dyDescent="0.25">
      <c r="H47" s="2"/>
      <c r="I47" s="11"/>
    </row>
    <row r="48" spans="8:9" x14ac:dyDescent="0.25">
      <c r="H48" s="2"/>
      <c r="I48" s="11"/>
    </row>
    <row r="49" spans="7:9" s="14" customFormat="1" x14ac:dyDescent="0.25">
      <c r="G49" s="12"/>
      <c r="H49" s="2"/>
      <c r="I49" s="11"/>
    </row>
    <row r="50" spans="7:9" s="14" customFormat="1" x14ac:dyDescent="0.25">
      <c r="G50" s="12"/>
      <c r="H50" s="2"/>
      <c r="I50" s="11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0"/>
  <sheetViews>
    <sheetView zoomScale="160" zoomScaleNormal="160" workbookViewId="0"/>
  </sheetViews>
  <sheetFormatPr defaultRowHeight="15" x14ac:dyDescent="0.25"/>
  <cols>
    <col min="1" max="1" width="19.7109375" style="15" bestFit="1" customWidth="1"/>
    <col min="2" max="3" width="13.140625" style="19" bestFit="1" customWidth="1"/>
    <col min="4" max="4" width="10.28515625" style="15" bestFit="1" customWidth="1"/>
    <col min="5" max="5" width="9.140625" style="15"/>
    <col min="6" max="6" width="14" style="15" customWidth="1"/>
    <col min="7" max="7" width="14.5703125" style="15" customWidth="1"/>
    <col min="8" max="9" width="3.7109375" style="15" customWidth="1"/>
    <col min="10" max="10" width="17.140625" style="15" customWidth="1"/>
    <col min="11" max="11" width="10.140625" style="15" customWidth="1"/>
    <col min="12" max="13" width="9.140625" style="15"/>
    <col min="14" max="14" width="14.28515625" style="15" customWidth="1"/>
    <col min="15" max="16384" width="9.140625" style="15"/>
  </cols>
  <sheetData>
    <row r="1" spans="1:16" x14ac:dyDescent="0.25">
      <c r="A1" s="35" t="s">
        <v>122</v>
      </c>
      <c r="B1" s="75" t="s">
        <v>230</v>
      </c>
      <c r="C1" s="36" t="s">
        <v>231</v>
      </c>
      <c r="D1" s="36" t="s">
        <v>123</v>
      </c>
      <c r="J1" s="35" t="s">
        <v>122</v>
      </c>
      <c r="K1" s="37" t="s">
        <v>3</v>
      </c>
      <c r="M1" s="15" t="s">
        <v>154</v>
      </c>
      <c r="N1" s="18">
        <f>SUM(K2:K15)</f>
        <v>1154000</v>
      </c>
    </row>
    <row r="2" spans="1:16" x14ac:dyDescent="0.25">
      <c r="A2" s="33" t="s">
        <v>124</v>
      </c>
      <c r="B2" s="41">
        <v>135810</v>
      </c>
      <c r="C2" s="34">
        <v>151889</v>
      </c>
      <c r="D2" s="39">
        <f>C2-B2</f>
        <v>16079</v>
      </c>
      <c r="F2" s="18"/>
      <c r="G2" s="18"/>
      <c r="H2" s="18"/>
      <c r="I2" s="18"/>
      <c r="J2" s="33" t="s">
        <v>125</v>
      </c>
      <c r="K2" s="38">
        <v>90300</v>
      </c>
      <c r="L2" s="34"/>
      <c r="M2" s="15" t="s">
        <v>156</v>
      </c>
      <c r="N2" s="18">
        <f>AVERAGE(K2:K15)</f>
        <v>82428.571428571435</v>
      </c>
      <c r="P2" s="18"/>
    </row>
    <row r="3" spans="1:16" x14ac:dyDescent="0.25">
      <c r="A3" s="33" t="s">
        <v>126</v>
      </c>
      <c r="B3" s="41">
        <v>106606</v>
      </c>
      <c r="C3" s="34">
        <v>144250</v>
      </c>
      <c r="D3" s="39">
        <f t="shared" ref="D3:D66" si="0">C3-B3</f>
        <v>37644</v>
      </c>
      <c r="J3" s="33" t="s">
        <v>127</v>
      </c>
      <c r="K3" s="38">
        <v>90100</v>
      </c>
      <c r="L3" s="34"/>
      <c r="M3" s="40"/>
      <c r="P3" s="18"/>
    </row>
    <row r="4" spans="1:16" x14ac:dyDescent="0.25">
      <c r="A4" s="33" t="s">
        <v>128</v>
      </c>
      <c r="B4" s="41">
        <v>130867</v>
      </c>
      <c r="C4" s="34">
        <v>146435</v>
      </c>
      <c r="D4" s="39">
        <f t="shared" si="0"/>
        <v>15568</v>
      </c>
      <c r="J4" s="33" t="s">
        <v>129</v>
      </c>
      <c r="K4" s="38">
        <v>89840</v>
      </c>
      <c r="L4" s="34"/>
      <c r="M4" s="40"/>
      <c r="P4" s="18"/>
    </row>
    <row r="5" spans="1:16" x14ac:dyDescent="0.25">
      <c r="A5" s="33" t="s">
        <v>130</v>
      </c>
      <c r="B5" s="41">
        <v>97801</v>
      </c>
      <c r="C5" s="34">
        <v>112074</v>
      </c>
      <c r="D5" s="39">
        <f t="shared" si="0"/>
        <v>14273</v>
      </c>
      <c r="J5" s="33" t="s">
        <v>234</v>
      </c>
      <c r="K5" s="38">
        <v>88520</v>
      </c>
      <c r="L5" s="34"/>
      <c r="M5" s="40"/>
      <c r="P5" s="18"/>
    </row>
    <row r="6" spans="1:16" x14ac:dyDescent="0.25">
      <c r="A6" s="33" t="s">
        <v>132</v>
      </c>
      <c r="B6" s="41">
        <v>123037</v>
      </c>
      <c r="C6" s="34">
        <v>137864</v>
      </c>
      <c r="D6" s="39">
        <f t="shared" si="0"/>
        <v>14827</v>
      </c>
      <c r="J6" s="33" t="s">
        <v>133</v>
      </c>
      <c r="K6" s="38">
        <v>85880</v>
      </c>
      <c r="L6" s="34"/>
      <c r="M6" s="40"/>
      <c r="P6" s="18"/>
    </row>
    <row r="7" spans="1:16" x14ac:dyDescent="0.25">
      <c r="A7" s="33" t="s">
        <v>134</v>
      </c>
      <c r="B7" s="41">
        <v>130554</v>
      </c>
      <c r="C7" s="34">
        <v>134237</v>
      </c>
      <c r="D7" s="39">
        <f t="shared" si="0"/>
        <v>3683</v>
      </c>
      <c r="J7" s="33" t="s">
        <v>135</v>
      </c>
      <c r="K7" s="38">
        <v>85770</v>
      </c>
      <c r="L7" s="34"/>
      <c r="M7" s="40"/>
      <c r="P7" s="18"/>
    </row>
    <row r="8" spans="1:16" x14ac:dyDescent="0.25">
      <c r="A8" s="33" t="s">
        <v>136</v>
      </c>
      <c r="B8" s="41">
        <v>126783</v>
      </c>
      <c r="C8" s="34">
        <v>137805</v>
      </c>
      <c r="D8" s="39">
        <f t="shared" si="0"/>
        <v>11022</v>
      </c>
      <c r="J8" s="33" t="s">
        <v>137</v>
      </c>
      <c r="K8" s="38">
        <v>83230</v>
      </c>
      <c r="L8" s="34"/>
      <c r="M8" s="40"/>
      <c r="P8" s="18"/>
    </row>
    <row r="9" spans="1:16" x14ac:dyDescent="0.25">
      <c r="A9" s="33" t="s">
        <v>138</v>
      </c>
      <c r="B9" s="41">
        <v>104082</v>
      </c>
      <c r="C9" s="34">
        <v>142683</v>
      </c>
      <c r="D9" s="39">
        <f t="shared" si="0"/>
        <v>38601</v>
      </c>
      <c r="J9" s="33" t="s">
        <v>139</v>
      </c>
      <c r="K9" s="38">
        <v>79480</v>
      </c>
      <c r="L9" s="34"/>
      <c r="M9" s="40"/>
      <c r="P9" s="18"/>
    </row>
    <row r="10" spans="1:16" x14ac:dyDescent="0.25">
      <c r="A10" s="33" t="s">
        <v>140</v>
      </c>
      <c r="B10" s="41">
        <v>121553</v>
      </c>
      <c r="C10" s="34">
        <v>126757</v>
      </c>
      <c r="D10" s="39">
        <f t="shared" si="0"/>
        <v>5204</v>
      </c>
      <c r="J10" s="33" t="s">
        <v>141</v>
      </c>
      <c r="K10" s="38">
        <v>79360</v>
      </c>
      <c r="L10" s="34"/>
      <c r="M10" s="40"/>
      <c r="P10" s="18"/>
    </row>
    <row r="11" spans="1:16" x14ac:dyDescent="0.25">
      <c r="A11" s="33" t="s">
        <v>142</v>
      </c>
      <c r="B11" s="41">
        <v>110586</v>
      </c>
      <c r="C11" s="74">
        <v>106236</v>
      </c>
      <c r="D11" s="39">
        <f t="shared" si="0"/>
        <v>-4350</v>
      </c>
      <c r="J11" s="33" t="s">
        <v>235</v>
      </c>
      <c r="K11" s="38">
        <v>89840</v>
      </c>
      <c r="L11" s="34"/>
      <c r="M11" s="40"/>
      <c r="P11" s="18"/>
    </row>
    <row r="12" spans="1:16" x14ac:dyDescent="0.25">
      <c r="A12" s="33" t="s">
        <v>144</v>
      </c>
      <c r="B12" s="41">
        <v>120025</v>
      </c>
      <c r="C12" s="34">
        <v>107829</v>
      </c>
      <c r="D12" s="39">
        <f t="shared" si="0"/>
        <v>-12196</v>
      </c>
      <c r="J12" s="33" t="s">
        <v>145</v>
      </c>
      <c r="K12" s="38">
        <v>75680</v>
      </c>
      <c r="L12" s="34"/>
      <c r="M12" s="40"/>
      <c r="P12" s="18"/>
    </row>
    <row r="13" spans="1:16" x14ac:dyDescent="0.25">
      <c r="A13" s="33" t="s">
        <v>146</v>
      </c>
      <c r="B13" s="41">
        <v>102591</v>
      </c>
      <c r="C13" s="34">
        <v>119644</v>
      </c>
      <c r="D13" s="39">
        <f t="shared" si="0"/>
        <v>17053</v>
      </c>
      <c r="J13" s="33" t="s">
        <v>147</v>
      </c>
      <c r="K13" s="38">
        <v>90100</v>
      </c>
      <c r="L13" s="34"/>
      <c r="M13" s="40"/>
      <c r="P13" s="18"/>
    </row>
    <row r="14" spans="1:16" x14ac:dyDescent="0.25">
      <c r="A14" s="33" t="s">
        <v>148</v>
      </c>
      <c r="B14" s="41">
        <v>94237</v>
      </c>
      <c r="C14" s="34">
        <v>146226</v>
      </c>
      <c r="D14" s="39">
        <f t="shared" si="0"/>
        <v>51989</v>
      </c>
      <c r="J14" s="33" t="s">
        <v>149</v>
      </c>
      <c r="K14" s="38">
        <v>63680</v>
      </c>
      <c r="L14" s="34"/>
      <c r="M14" s="40"/>
      <c r="P14" s="18"/>
    </row>
    <row r="15" spans="1:16" x14ac:dyDescent="0.25">
      <c r="A15" s="33" t="s">
        <v>150</v>
      </c>
      <c r="B15" s="41">
        <v>109165</v>
      </c>
      <c r="C15" s="34">
        <v>112532</v>
      </c>
      <c r="D15" s="39">
        <f t="shared" si="0"/>
        <v>3367</v>
      </c>
      <c r="J15" s="33" t="s">
        <v>151</v>
      </c>
      <c r="K15" s="38">
        <v>62220</v>
      </c>
      <c r="L15" s="34"/>
      <c r="M15" s="40"/>
      <c r="P15" s="18"/>
    </row>
    <row r="16" spans="1:16" x14ac:dyDescent="0.25">
      <c r="A16" s="33" t="s">
        <v>152</v>
      </c>
      <c r="B16" s="41">
        <v>111925</v>
      </c>
      <c r="C16" s="34">
        <v>136432</v>
      </c>
      <c r="D16" s="39">
        <f t="shared" si="0"/>
        <v>24507</v>
      </c>
    </row>
    <row r="17" spans="1:4" x14ac:dyDescent="0.25">
      <c r="A17" s="33" t="s">
        <v>153</v>
      </c>
      <c r="B17" s="41">
        <v>115825</v>
      </c>
      <c r="C17" s="34">
        <v>103418</v>
      </c>
      <c r="D17" s="39">
        <f t="shared" si="0"/>
        <v>-12407</v>
      </c>
    </row>
    <row r="18" spans="1:4" x14ac:dyDescent="0.25">
      <c r="A18" s="33" t="s">
        <v>155</v>
      </c>
      <c r="B18" s="41">
        <v>121041</v>
      </c>
      <c r="C18" s="34">
        <v>140440</v>
      </c>
      <c r="D18" s="39">
        <f t="shared" si="0"/>
        <v>19399</v>
      </c>
    </row>
    <row r="19" spans="1:4" x14ac:dyDescent="0.25">
      <c r="A19" s="33" t="s">
        <v>157</v>
      </c>
      <c r="B19" s="41">
        <v>126573</v>
      </c>
      <c r="C19" s="34">
        <v>108144</v>
      </c>
      <c r="D19" s="39">
        <f t="shared" si="0"/>
        <v>-18429</v>
      </c>
    </row>
    <row r="20" spans="1:4" x14ac:dyDescent="0.25">
      <c r="A20" s="33" t="s">
        <v>158</v>
      </c>
      <c r="B20" s="41">
        <v>104702</v>
      </c>
      <c r="C20" s="34">
        <v>108688</v>
      </c>
      <c r="D20" s="39">
        <f t="shared" si="0"/>
        <v>3986</v>
      </c>
    </row>
    <row r="21" spans="1:4" x14ac:dyDescent="0.25">
      <c r="A21" s="33" t="s">
        <v>159</v>
      </c>
      <c r="B21" s="41">
        <v>106155</v>
      </c>
      <c r="C21" s="34">
        <v>114736</v>
      </c>
      <c r="D21" s="39">
        <f t="shared" si="0"/>
        <v>8581</v>
      </c>
    </row>
    <row r="22" spans="1:4" x14ac:dyDescent="0.25">
      <c r="A22" s="33" t="s">
        <v>160</v>
      </c>
      <c r="B22" s="41">
        <v>123903</v>
      </c>
      <c r="C22" s="34">
        <v>115226</v>
      </c>
      <c r="D22" s="39">
        <f t="shared" si="0"/>
        <v>-8677</v>
      </c>
    </row>
    <row r="23" spans="1:4" x14ac:dyDescent="0.25">
      <c r="A23" s="33" t="s">
        <v>161</v>
      </c>
      <c r="B23" s="41">
        <v>123479</v>
      </c>
      <c r="C23" s="34">
        <v>108678</v>
      </c>
      <c r="D23" s="39">
        <f t="shared" si="0"/>
        <v>-14801</v>
      </c>
    </row>
    <row r="24" spans="1:4" x14ac:dyDescent="0.25">
      <c r="A24" s="33" t="s">
        <v>162</v>
      </c>
      <c r="B24" s="41">
        <v>114794</v>
      </c>
      <c r="C24" s="34">
        <v>121495</v>
      </c>
      <c r="D24" s="39">
        <f t="shared" si="0"/>
        <v>6701</v>
      </c>
    </row>
    <row r="25" spans="1:4" x14ac:dyDescent="0.25">
      <c r="A25" s="33" t="s">
        <v>163</v>
      </c>
      <c r="B25" s="41">
        <v>107533</v>
      </c>
      <c r="C25" s="34">
        <v>129280</v>
      </c>
      <c r="D25" s="39">
        <f t="shared" si="0"/>
        <v>21747</v>
      </c>
    </row>
    <row r="26" spans="1:4" x14ac:dyDescent="0.25">
      <c r="A26" s="33" t="s">
        <v>164</v>
      </c>
      <c r="B26" s="41">
        <v>109881</v>
      </c>
      <c r="C26" s="34">
        <v>107840</v>
      </c>
      <c r="D26" s="39">
        <f t="shared" si="0"/>
        <v>-2041</v>
      </c>
    </row>
    <row r="27" spans="1:4" x14ac:dyDescent="0.25">
      <c r="A27" s="33" t="s">
        <v>165</v>
      </c>
      <c r="B27" s="41">
        <v>108035</v>
      </c>
      <c r="C27" s="34">
        <v>123021</v>
      </c>
      <c r="D27" s="39">
        <f t="shared" si="0"/>
        <v>14986</v>
      </c>
    </row>
    <row r="28" spans="1:4" x14ac:dyDescent="0.25">
      <c r="A28" s="33" t="s">
        <v>166</v>
      </c>
      <c r="B28" s="41">
        <v>83124</v>
      </c>
      <c r="C28" s="34">
        <v>97950</v>
      </c>
      <c r="D28" s="39">
        <f t="shared" si="0"/>
        <v>14826</v>
      </c>
    </row>
    <row r="29" spans="1:4" x14ac:dyDescent="0.25">
      <c r="A29" s="33" t="s">
        <v>167</v>
      </c>
      <c r="B29" s="41">
        <v>95877</v>
      </c>
      <c r="C29" s="34">
        <v>98891</v>
      </c>
      <c r="D29" s="39">
        <f t="shared" si="0"/>
        <v>3014</v>
      </c>
    </row>
    <row r="30" spans="1:4" x14ac:dyDescent="0.25">
      <c r="A30" s="33" t="s">
        <v>168</v>
      </c>
      <c r="B30" s="41">
        <v>101421</v>
      </c>
      <c r="C30" s="34">
        <v>129681</v>
      </c>
      <c r="D30" s="39">
        <f t="shared" si="0"/>
        <v>28260</v>
      </c>
    </row>
    <row r="31" spans="1:4" x14ac:dyDescent="0.25">
      <c r="A31" s="33" t="s">
        <v>169</v>
      </c>
      <c r="B31" s="41">
        <v>94787</v>
      </c>
      <c r="C31" s="34">
        <v>122452</v>
      </c>
      <c r="D31" s="39">
        <f t="shared" si="0"/>
        <v>27665</v>
      </c>
    </row>
    <row r="32" spans="1:4" x14ac:dyDescent="0.25">
      <c r="A32" s="33" t="s">
        <v>170</v>
      </c>
      <c r="B32" s="41">
        <v>107717</v>
      </c>
      <c r="C32" s="34">
        <v>134295</v>
      </c>
      <c r="D32" s="39">
        <f t="shared" si="0"/>
        <v>26578</v>
      </c>
    </row>
    <row r="33" spans="1:4" x14ac:dyDescent="0.25">
      <c r="A33" s="33" t="s">
        <v>171</v>
      </c>
      <c r="B33" s="41">
        <v>83020</v>
      </c>
      <c r="C33" s="34">
        <v>112373</v>
      </c>
      <c r="D33" s="39">
        <f t="shared" si="0"/>
        <v>29353</v>
      </c>
    </row>
    <row r="34" spans="1:4" x14ac:dyDescent="0.25">
      <c r="A34" s="33" t="s">
        <v>172</v>
      </c>
      <c r="B34" s="41">
        <v>112655</v>
      </c>
      <c r="C34" s="34">
        <v>88868</v>
      </c>
      <c r="D34" s="39">
        <f t="shared" si="0"/>
        <v>-23787</v>
      </c>
    </row>
    <row r="35" spans="1:4" x14ac:dyDescent="0.25">
      <c r="A35" s="33" t="s">
        <v>173</v>
      </c>
      <c r="B35" s="41">
        <v>88584</v>
      </c>
      <c r="C35" s="34">
        <v>108073</v>
      </c>
      <c r="D35" s="39">
        <f t="shared" si="0"/>
        <v>19489</v>
      </c>
    </row>
    <row r="36" spans="1:4" x14ac:dyDescent="0.25">
      <c r="A36" s="33" t="s">
        <v>174</v>
      </c>
      <c r="B36" s="41">
        <v>109467</v>
      </c>
      <c r="C36" s="34">
        <v>130236</v>
      </c>
      <c r="D36" s="39">
        <f t="shared" si="0"/>
        <v>20769</v>
      </c>
    </row>
    <row r="37" spans="1:4" x14ac:dyDescent="0.25">
      <c r="A37" s="33" t="s">
        <v>175</v>
      </c>
      <c r="B37" s="41">
        <v>104821</v>
      </c>
      <c r="C37" s="34">
        <v>114770</v>
      </c>
      <c r="D37" s="39">
        <f t="shared" si="0"/>
        <v>9949</v>
      </c>
    </row>
    <row r="38" spans="1:4" x14ac:dyDescent="0.25">
      <c r="A38" s="33" t="s">
        <v>176</v>
      </c>
      <c r="B38" s="41">
        <v>110349</v>
      </c>
      <c r="C38" s="34">
        <v>110283</v>
      </c>
      <c r="D38" s="39">
        <f t="shared" si="0"/>
        <v>-66</v>
      </c>
    </row>
    <row r="39" spans="1:4" x14ac:dyDescent="0.25">
      <c r="A39" s="33" t="s">
        <v>177</v>
      </c>
      <c r="B39" s="41">
        <v>109346</v>
      </c>
      <c r="C39" s="34">
        <v>106245</v>
      </c>
      <c r="D39" s="39">
        <f t="shared" si="0"/>
        <v>-3101</v>
      </c>
    </row>
    <row r="40" spans="1:4" x14ac:dyDescent="0.25">
      <c r="A40" s="33" t="s">
        <v>178</v>
      </c>
      <c r="B40" s="41">
        <v>77599</v>
      </c>
      <c r="C40" s="34">
        <v>125105</v>
      </c>
      <c r="D40" s="39">
        <f t="shared" si="0"/>
        <v>47506</v>
      </c>
    </row>
    <row r="41" spans="1:4" x14ac:dyDescent="0.25">
      <c r="A41" s="33" t="s">
        <v>179</v>
      </c>
      <c r="B41" s="41">
        <v>84093</v>
      </c>
      <c r="C41" s="41">
        <v>92803</v>
      </c>
      <c r="D41" s="39">
        <f t="shared" si="0"/>
        <v>8710</v>
      </c>
    </row>
    <row r="42" spans="1:4" x14ac:dyDescent="0.25">
      <c r="A42" s="33" t="s">
        <v>180</v>
      </c>
      <c r="B42" s="41">
        <v>110420</v>
      </c>
      <c r="C42" s="34">
        <v>123033</v>
      </c>
      <c r="D42" s="39">
        <f t="shared" si="0"/>
        <v>12613</v>
      </c>
    </row>
    <row r="43" spans="1:4" x14ac:dyDescent="0.25">
      <c r="A43" s="33" t="s">
        <v>181</v>
      </c>
      <c r="B43" s="41">
        <v>82956</v>
      </c>
      <c r="C43" s="34">
        <v>119804</v>
      </c>
      <c r="D43" s="39">
        <f t="shared" si="0"/>
        <v>36848</v>
      </c>
    </row>
    <row r="44" spans="1:4" x14ac:dyDescent="0.25">
      <c r="A44" s="33" t="s">
        <v>182</v>
      </c>
      <c r="B44" s="41">
        <v>80564</v>
      </c>
      <c r="C44" s="34">
        <v>93584</v>
      </c>
      <c r="D44" s="39">
        <f t="shared" si="0"/>
        <v>13020</v>
      </c>
    </row>
    <row r="45" spans="1:4" x14ac:dyDescent="0.25">
      <c r="A45" s="33" t="s">
        <v>183</v>
      </c>
      <c r="B45" s="41">
        <v>95620</v>
      </c>
      <c r="C45" s="34">
        <v>112004</v>
      </c>
      <c r="D45" s="39">
        <f t="shared" si="0"/>
        <v>16384</v>
      </c>
    </row>
    <row r="46" spans="1:4" x14ac:dyDescent="0.25">
      <c r="A46" s="33" t="s">
        <v>184</v>
      </c>
      <c r="B46" s="41">
        <v>106263</v>
      </c>
      <c r="C46" s="34">
        <v>121259</v>
      </c>
      <c r="D46" s="39">
        <f t="shared" si="0"/>
        <v>14996</v>
      </c>
    </row>
    <row r="47" spans="1:4" x14ac:dyDescent="0.25">
      <c r="A47" s="33" t="s">
        <v>185</v>
      </c>
      <c r="B47" s="41">
        <v>109892</v>
      </c>
      <c r="C47" s="34">
        <v>105584</v>
      </c>
      <c r="D47" s="39">
        <f t="shared" si="0"/>
        <v>-4308</v>
      </c>
    </row>
    <row r="48" spans="1:4" x14ac:dyDescent="0.25">
      <c r="A48" s="33" t="s">
        <v>186</v>
      </c>
      <c r="B48" s="41">
        <v>82860</v>
      </c>
      <c r="C48" s="34">
        <v>88141</v>
      </c>
      <c r="D48" s="39">
        <f t="shared" si="0"/>
        <v>5281</v>
      </c>
    </row>
    <row r="49" spans="1:4" x14ac:dyDescent="0.25">
      <c r="A49" s="33" t="s">
        <v>187</v>
      </c>
      <c r="B49" s="41">
        <v>93221</v>
      </c>
      <c r="C49" s="34">
        <v>93716</v>
      </c>
      <c r="D49" s="39">
        <f t="shared" si="0"/>
        <v>495</v>
      </c>
    </row>
    <row r="50" spans="1:4" x14ac:dyDescent="0.25">
      <c r="A50" s="33" t="s">
        <v>188</v>
      </c>
      <c r="B50" s="41">
        <v>94976</v>
      </c>
      <c r="C50" s="34">
        <v>86055</v>
      </c>
      <c r="D50" s="39">
        <f t="shared" si="0"/>
        <v>-8921</v>
      </c>
    </row>
    <row r="51" spans="1:4" x14ac:dyDescent="0.25">
      <c r="A51" s="33" t="s">
        <v>189</v>
      </c>
      <c r="B51" s="41">
        <v>76500</v>
      </c>
      <c r="C51" s="34">
        <v>87678</v>
      </c>
      <c r="D51" s="39">
        <f t="shared" si="0"/>
        <v>11178</v>
      </c>
    </row>
    <row r="52" spans="1:4" x14ac:dyDescent="0.25">
      <c r="A52" s="33" t="s">
        <v>190</v>
      </c>
      <c r="B52" s="41">
        <v>97641</v>
      </c>
      <c r="C52" s="34">
        <v>92387</v>
      </c>
      <c r="D52" s="39">
        <f t="shared" si="0"/>
        <v>-5254</v>
      </c>
    </row>
    <row r="53" spans="1:4" x14ac:dyDescent="0.25">
      <c r="A53" s="33" t="s">
        <v>191</v>
      </c>
      <c r="B53" s="41">
        <v>109279</v>
      </c>
      <c r="C53" s="34">
        <v>99417</v>
      </c>
      <c r="D53" s="39">
        <f t="shared" si="0"/>
        <v>-9862</v>
      </c>
    </row>
    <row r="54" spans="1:4" x14ac:dyDescent="0.25">
      <c r="A54" s="33" t="s">
        <v>192</v>
      </c>
      <c r="B54" s="41">
        <v>102131</v>
      </c>
      <c r="C54" s="34">
        <v>86288</v>
      </c>
      <c r="D54" s="39">
        <f t="shared" si="0"/>
        <v>-15843</v>
      </c>
    </row>
    <row r="55" spans="1:4" x14ac:dyDescent="0.25">
      <c r="A55" s="33" t="s">
        <v>193</v>
      </c>
      <c r="B55" s="41">
        <v>94983</v>
      </c>
      <c r="C55" s="34">
        <v>112580</v>
      </c>
      <c r="D55" s="39">
        <f t="shared" si="0"/>
        <v>17597</v>
      </c>
    </row>
    <row r="56" spans="1:4" x14ac:dyDescent="0.25">
      <c r="A56" s="33" t="s">
        <v>194</v>
      </c>
      <c r="B56" s="41">
        <v>88438</v>
      </c>
      <c r="C56" s="34">
        <v>83160</v>
      </c>
      <c r="D56" s="39">
        <f t="shared" si="0"/>
        <v>-5278</v>
      </c>
    </row>
    <row r="57" spans="1:4" x14ac:dyDescent="0.25">
      <c r="A57" s="33" t="s">
        <v>195</v>
      </c>
      <c r="B57" s="41">
        <v>97027</v>
      </c>
      <c r="C57" s="34">
        <v>99812</v>
      </c>
      <c r="D57" s="39">
        <f t="shared" si="0"/>
        <v>2785</v>
      </c>
    </row>
    <row r="58" spans="1:4" x14ac:dyDescent="0.25">
      <c r="A58" s="33" t="s">
        <v>196</v>
      </c>
      <c r="B58" s="41">
        <v>89867</v>
      </c>
      <c r="C58" s="34">
        <v>77287</v>
      </c>
      <c r="D58" s="39">
        <f t="shared" si="0"/>
        <v>-12580</v>
      </c>
    </row>
    <row r="59" spans="1:4" x14ac:dyDescent="0.25">
      <c r="A59" s="33" t="s">
        <v>197</v>
      </c>
      <c r="B59" s="41">
        <v>102276</v>
      </c>
      <c r="C59" s="34" t="e">
        <v>#VALUE!</v>
      </c>
      <c r="D59" s="39" t="e">
        <f t="shared" si="0"/>
        <v>#VALUE!</v>
      </c>
    </row>
    <row r="60" spans="1:4" x14ac:dyDescent="0.25">
      <c r="A60" s="33" t="s">
        <v>198</v>
      </c>
      <c r="B60" s="41">
        <v>91256</v>
      </c>
      <c r="C60" s="34">
        <v>94287</v>
      </c>
      <c r="D60" s="39">
        <f t="shared" si="0"/>
        <v>3031</v>
      </c>
    </row>
    <row r="61" spans="1:4" x14ac:dyDescent="0.25">
      <c r="A61" s="33" t="s">
        <v>199</v>
      </c>
      <c r="B61" s="41">
        <v>93965</v>
      </c>
      <c r="C61" s="34">
        <v>118025</v>
      </c>
      <c r="D61" s="39">
        <f t="shared" si="0"/>
        <v>24060</v>
      </c>
    </row>
    <row r="62" spans="1:4" x14ac:dyDescent="0.25">
      <c r="A62" s="33" t="s">
        <v>200</v>
      </c>
      <c r="B62" s="41">
        <v>96308</v>
      </c>
      <c r="C62" s="34">
        <v>105537</v>
      </c>
      <c r="D62" s="39">
        <f t="shared" si="0"/>
        <v>9229</v>
      </c>
    </row>
    <row r="63" spans="1:4" x14ac:dyDescent="0.25">
      <c r="A63" s="33" t="s">
        <v>201</v>
      </c>
      <c r="B63" s="41">
        <v>77010</v>
      </c>
      <c r="C63" s="34">
        <v>106536</v>
      </c>
      <c r="D63" s="39">
        <f t="shared" si="0"/>
        <v>29526</v>
      </c>
    </row>
    <row r="64" spans="1:4" x14ac:dyDescent="0.25">
      <c r="A64" s="33" t="s">
        <v>202</v>
      </c>
      <c r="B64" s="41">
        <v>96472</v>
      </c>
      <c r="C64" s="34">
        <v>101474</v>
      </c>
      <c r="D64" s="39">
        <f t="shared" si="0"/>
        <v>5002</v>
      </c>
    </row>
    <row r="65" spans="1:4" x14ac:dyDescent="0.25">
      <c r="A65" s="33" t="s">
        <v>203</v>
      </c>
      <c r="B65" s="41">
        <v>70405</v>
      </c>
      <c r="C65" s="34">
        <v>79411</v>
      </c>
      <c r="D65" s="39">
        <f t="shared" si="0"/>
        <v>9006</v>
      </c>
    </row>
    <row r="66" spans="1:4" x14ac:dyDescent="0.25">
      <c r="A66" s="33" t="s">
        <v>204</v>
      </c>
      <c r="B66" s="41">
        <v>67763</v>
      </c>
      <c r="C66" s="34">
        <v>85646</v>
      </c>
      <c r="D66" s="39">
        <f t="shared" si="0"/>
        <v>17883</v>
      </c>
    </row>
    <row r="67" spans="1:4" x14ac:dyDescent="0.25">
      <c r="A67" s="33" t="s">
        <v>205</v>
      </c>
      <c r="B67" s="41">
        <v>65575</v>
      </c>
      <c r="C67" s="34">
        <v>104583</v>
      </c>
      <c r="D67" s="39">
        <f t="shared" ref="D67:D100" si="1">C67-B67</f>
        <v>39008</v>
      </c>
    </row>
    <row r="68" spans="1:4" x14ac:dyDescent="0.25">
      <c r="A68" s="33" t="s">
        <v>206</v>
      </c>
      <c r="B68" s="41">
        <v>84181</v>
      </c>
      <c r="C68" s="34">
        <v>84744</v>
      </c>
      <c r="D68" s="39">
        <f t="shared" si="1"/>
        <v>563</v>
      </c>
    </row>
    <row r="69" spans="1:4" x14ac:dyDescent="0.25">
      <c r="A69" s="33" t="s">
        <v>207</v>
      </c>
      <c r="B69" s="41">
        <v>88176</v>
      </c>
      <c r="C69" s="34">
        <v>104441</v>
      </c>
      <c r="D69" s="39">
        <f t="shared" si="1"/>
        <v>16265</v>
      </c>
    </row>
    <row r="70" spans="1:4" x14ac:dyDescent="0.25">
      <c r="A70" s="33" t="s">
        <v>208</v>
      </c>
      <c r="B70" s="41">
        <v>66674</v>
      </c>
      <c r="C70" s="34">
        <v>101122</v>
      </c>
      <c r="D70" s="39">
        <f t="shared" si="1"/>
        <v>34448</v>
      </c>
    </row>
    <row r="71" spans="1:4" x14ac:dyDescent="0.25">
      <c r="A71" s="33" t="s">
        <v>125</v>
      </c>
      <c r="B71" s="41">
        <v>84027</v>
      </c>
      <c r="C71" s="34">
        <v>70371</v>
      </c>
      <c r="D71" s="39">
        <f t="shared" si="1"/>
        <v>-13656</v>
      </c>
    </row>
    <row r="72" spans="1:4" x14ac:dyDescent="0.25">
      <c r="A72" s="33" t="s">
        <v>127</v>
      </c>
      <c r="B72" s="41">
        <v>82182</v>
      </c>
      <c r="C72" s="34">
        <v>79987</v>
      </c>
      <c r="D72" s="39">
        <f t="shared" si="1"/>
        <v>-2195</v>
      </c>
    </row>
    <row r="73" spans="1:4" x14ac:dyDescent="0.25">
      <c r="A73" s="33" t="s">
        <v>129</v>
      </c>
      <c r="B73" s="41">
        <v>94633</v>
      </c>
      <c r="C73" s="34">
        <v>71316</v>
      </c>
      <c r="D73" s="39">
        <f t="shared" si="1"/>
        <v>-23317</v>
      </c>
    </row>
    <row r="74" spans="1:4" x14ac:dyDescent="0.25">
      <c r="A74" s="33" t="s">
        <v>131</v>
      </c>
      <c r="B74" s="41">
        <v>72456</v>
      </c>
      <c r="C74" s="34">
        <v>61328</v>
      </c>
      <c r="D74" s="39">
        <f t="shared" si="1"/>
        <v>-11128</v>
      </c>
    </row>
    <row r="75" spans="1:4" x14ac:dyDescent="0.25">
      <c r="A75" s="33" t="s">
        <v>133</v>
      </c>
      <c r="B75" s="41">
        <v>68591</v>
      </c>
      <c r="C75" s="34">
        <v>95576</v>
      </c>
      <c r="D75" s="39">
        <f t="shared" si="1"/>
        <v>26985</v>
      </c>
    </row>
    <row r="76" spans="1:4" x14ac:dyDescent="0.25">
      <c r="A76" s="33" t="s">
        <v>135</v>
      </c>
      <c r="B76" s="41">
        <v>67813</v>
      </c>
      <c r="C76" s="34">
        <v>88350</v>
      </c>
      <c r="D76" s="39">
        <f t="shared" si="1"/>
        <v>20537</v>
      </c>
    </row>
    <row r="77" spans="1:4" x14ac:dyDescent="0.25">
      <c r="A77" s="33" t="s">
        <v>137</v>
      </c>
      <c r="B77" s="41">
        <v>70418</v>
      </c>
      <c r="C77" s="34">
        <v>94030</v>
      </c>
      <c r="D77" s="39">
        <f t="shared" si="1"/>
        <v>23612</v>
      </c>
    </row>
    <row r="78" spans="1:4" x14ac:dyDescent="0.25">
      <c r="A78" s="33" t="s">
        <v>139</v>
      </c>
      <c r="B78" s="41">
        <v>76731</v>
      </c>
      <c r="C78" s="34">
        <v>92629</v>
      </c>
      <c r="D78" s="39">
        <f t="shared" si="1"/>
        <v>15898</v>
      </c>
    </row>
    <row r="79" spans="1:4" x14ac:dyDescent="0.25">
      <c r="A79" s="33" t="s">
        <v>141</v>
      </c>
      <c r="B79" s="41">
        <v>59565</v>
      </c>
      <c r="C79" s="34">
        <v>71234</v>
      </c>
      <c r="D79" s="39">
        <f t="shared" si="1"/>
        <v>11669</v>
      </c>
    </row>
    <row r="80" spans="1:4" x14ac:dyDescent="0.25">
      <c r="A80" s="33" t="s">
        <v>143</v>
      </c>
      <c r="B80" s="41">
        <v>78023</v>
      </c>
      <c r="C80" s="34">
        <v>67364</v>
      </c>
      <c r="D80" s="39">
        <f t="shared" si="1"/>
        <v>-10659</v>
      </c>
    </row>
    <row r="81" spans="1:4" x14ac:dyDescent="0.25">
      <c r="A81" s="33" t="s">
        <v>145</v>
      </c>
      <c r="B81" s="41">
        <v>86365</v>
      </c>
      <c r="C81" s="34">
        <v>94420</v>
      </c>
      <c r="D81" s="39">
        <f t="shared" si="1"/>
        <v>8055</v>
      </c>
    </row>
    <row r="82" spans="1:4" x14ac:dyDescent="0.25">
      <c r="A82" s="33" t="s">
        <v>147</v>
      </c>
      <c r="B82" s="41">
        <v>62165</v>
      </c>
      <c r="C82" s="34">
        <v>62369</v>
      </c>
      <c r="D82" s="39">
        <f t="shared" si="1"/>
        <v>204</v>
      </c>
    </row>
    <row r="83" spans="1:4" x14ac:dyDescent="0.25">
      <c r="A83" s="33" t="s">
        <v>149</v>
      </c>
      <c r="B83" s="41">
        <v>79127</v>
      </c>
      <c r="C83" s="34">
        <v>92902</v>
      </c>
      <c r="D83" s="39">
        <f t="shared" si="1"/>
        <v>13775</v>
      </c>
    </row>
    <row r="84" spans="1:4" x14ac:dyDescent="0.25">
      <c r="A84" s="33" t="s">
        <v>151</v>
      </c>
      <c r="B84" s="41">
        <v>79753</v>
      </c>
      <c r="C84" s="34">
        <v>57886</v>
      </c>
      <c r="D84" s="39">
        <f t="shared" si="1"/>
        <v>-21867</v>
      </c>
    </row>
    <row r="85" spans="1:4" x14ac:dyDescent="0.25">
      <c r="A85" s="33" t="s">
        <v>209</v>
      </c>
      <c r="B85" s="41">
        <v>46024</v>
      </c>
      <c r="C85" s="34">
        <v>75251</v>
      </c>
      <c r="D85" s="39">
        <f t="shared" si="1"/>
        <v>29227</v>
      </c>
    </row>
    <row r="86" spans="1:4" x14ac:dyDescent="0.25">
      <c r="A86" s="33" t="s">
        <v>210</v>
      </c>
      <c r="B86" s="41">
        <v>67927</v>
      </c>
      <c r="C86" s="42">
        <v>51710</v>
      </c>
      <c r="D86" s="39">
        <f t="shared" si="1"/>
        <v>-16217</v>
      </c>
    </row>
    <row r="87" spans="1:4" x14ac:dyDescent="0.25">
      <c r="A87" s="33" t="s">
        <v>211</v>
      </c>
      <c r="B87" s="41">
        <v>69541</v>
      </c>
      <c r="C87" s="34">
        <v>58542</v>
      </c>
      <c r="D87" s="39">
        <f t="shared" si="1"/>
        <v>-10999</v>
      </c>
    </row>
    <row r="88" spans="1:4" x14ac:dyDescent="0.25">
      <c r="A88" s="33" t="s">
        <v>212</v>
      </c>
      <c r="B88" s="41">
        <v>56157</v>
      </c>
      <c r="C88" s="34">
        <v>66386</v>
      </c>
      <c r="D88" s="39">
        <f t="shared" si="1"/>
        <v>10229</v>
      </c>
    </row>
    <row r="89" spans="1:4" x14ac:dyDescent="0.25">
      <c r="A89" s="33" t="s">
        <v>213</v>
      </c>
      <c r="B89" s="41">
        <v>68158</v>
      </c>
      <c r="C89" s="34">
        <v>56324</v>
      </c>
      <c r="D89" s="39">
        <f t="shared" si="1"/>
        <v>-11834</v>
      </c>
    </row>
    <row r="90" spans="1:4" x14ac:dyDescent="0.25">
      <c r="A90" s="33" t="s">
        <v>214</v>
      </c>
      <c r="B90" s="41">
        <v>47163</v>
      </c>
      <c r="C90" s="34">
        <v>67497</v>
      </c>
      <c r="D90" s="39">
        <f t="shared" si="1"/>
        <v>20334</v>
      </c>
    </row>
    <row r="91" spans="1:4" x14ac:dyDescent="0.25">
      <c r="A91" s="33" t="s">
        <v>215</v>
      </c>
      <c r="B91" s="41">
        <v>49205</v>
      </c>
      <c r="C91" s="34">
        <v>73800</v>
      </c>
      <c r="D91" s="39">
        <f t="shared" si="1"/>
        <v>24595</v>
      </c>
    </row>
    <row r="92" spans="1:4" x14ac:dyDescent="0.25">
      <c r="A92" s="33" t="s">
        <v>216</v>
      </c>
      <c r="B92" s="41">
        <v>60575</v>
      </c>
      <c r="C92" s="34">
        <v>43949</v>
      </c>
      <c r="D92" s="39">
        <f t="shared" si="1"/>
        <v>-16626</v>
      </c>
    </row>
    <row r="93" spans="1:4" x14ac:dyDescent="0.25">
      <c r="A93" s="33" t="s">
        <v>217</v>
      </c>
      <c r="B93" s="41">
        <v>38664</v>
      </c>
      <c r="C93" s="34">
        <v>67848</v>
      </c>
      <c r="D93" s="39">
        <f t="shared" si="1"/>
        <v>29184</v>
      </c>
    </row>
    <row r="94" spans="1:4" x14ac:dyDescent="0.25">
      <c r="A94" s="33" t="s">
        <v>218</v>
      </c>
      <c r="B94" s="41">
        <v>44498</v>
      </c>
      <c r="C94" s="34">
        <v>62637</v>
      </c>
      <c r="D94" s="39">
        <f t="shared" si="1"/>
        <v>18139</v>
      </c>
    </row>
    <row r="95" spans="1:4" x14ac:dyDescent="0.25">
      <c r="A95" s="33" t="s">
        <v>219</v>
      </c>
      <c r="B95" s="41">
        <v>53659</v>
      </c>
      <c r="C95" s="34">
        <v>60575</v>
      </c>
      <c r="D95" s="39">
        <f t="shared" si="1"/>
        <v>6916</v>
      </c>
    </row>
    <row r="96" spans="1:4" x14ac:dyDescent="0.25">
      <c r="A96" s="33" t="s">
        <v>220</v>
      </c>
      <c r="B96" s="41">
        <v>49644</v>
      </c>
      <c r="C96" s="34">
        <v>62970</v>
      </c>
      <c r="D96" s="39">
        <f t="shared" si="1"/>
        <v>13326</v>
      </c>
    </row>
    <row r="97" spans="1:4" x14ac:dyDescent="0.25">
      <c r="A97" s="33" t="s">
        <v>221</v>
      </c>
      <c r="B97" s="41">
        <v>47276</v>
      </c>
      <c r="C97" s="34">
        <v>44162</v>
      </c>
      <c r="D97" s="39">
        <f t="shared" si="1"/>
        <v>-3114</v>
      </c>
    </row>
    <row r="98" spans="1:4" x14ac:dyDescent="0.25">
      <c r="A98" s="33" t="s">
        <v>222</v>
      </c>
      <c r="B98" s="41">
        <v>50776</v>
      </c>
      <c r="C98" s="34">
        <v>42518</v>
      </c>
      <c r="D98" s="39">
        <f t="shared" si="1"/>
        <v>-8258</v>
      </c>
    </row>
    <row r="99" spans="1:4" x14ac:dyDescent="0.25">
      <c r="A99" s="33" t="s">
        <v>223</v>
      </c>
      <c r="B99" s="41">
        <v>62641</v>
      </c>
      <c r="C99" s="34">
        <v>60502</v>
      </c>
      <c r="D99" s="39">
        <f t="shared" si="1"/>
        <v>-2139</v>
      </c>
    </row>
    <row r="100" spans="1:4" x14ac:dyDescent="0.25">
      <c r="A100" s="33" t="s">
        <v>224</v>
      </c>
      <c r="B100" s="41">
        <v>43841</v>
      </c>
      <c r="C100" s="34">
        <v>77694</v>
      </c>
      <c r="D100" s="39">
        <f t="shared" si="1"/>
        <v>33853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3"/>
  <sheetViews>
    <sheetView zoomScale="205" zoomScaleNormal="205" workbookViewId="0">
      <selection activeCell="B2" sqref="B2"/>
    </sheetView>
  </sheetViews>
  <sheetFormatPr defaultRowHeight="15" x14ac:dyDescent="0.25"/>
  <cols>
    <col min="1" max="1" width="7" style="15" bestFit="1" customWidth="1"/>
    <col min="2" max="2" width="16.5703125" style="15" bestFit="1" customWidth="1"/>
    <col min="3" max="3" width="9.140625" style="15"/>
    <col min="4" max="4" width="17.7109375" style="15" customWidth="1"/>
    <col min="5" max="5" width="4.140625" style="15" customWidth="1"/>
    <col min="6" max="6" width="15.7109375" style="16" customWidth="1"/>
    <col min="7" max="7" width="19.28515625" style="15" customWidth="1"/>
    <col min="8" max="8" width="17.85546875" style="15" customWidth="1"/>
    <col min="9" max="16384" width="9.140625" style="15"/>
  </cols>
  <sheetData>
    <row r="1" spans="1:8" x14ac:dyDescent="0.25">
      <c r="A1" s="16" t="s">
        <v>225</v>
      </c>
      <c r="B1" s="16" t="s">
        <v>226</v>
      </c>
      <c r="C1" s="17" t="s">
        <v>225</v>
      </c>
      <c r="D1" s="16" t="s">
        <v>226</v>
      </c>
      <c r="E1" s="16"/>
      <c r="F1" s="16" t="s">
        <v>226</v>
      </c>
      <c r="G1" s="17" t="s">
        <v>225</v>
      </c>
      <c r="H1" s="16" t="s">
        <v>232</v>
      </c>
    </row>
    <row r="2" spans="1:8" x14ac:dyDescent="0.25">
      <c r="A2" s="34">
        <v>1</v>
      </c>
      <c r="B2" s="16" t="str">
        <f>ROMAN(A2)</f>
        <v>I</v>
      </c>
      <c r="C2" s="15">
        <v>1624</v>
      </c>
      <c r="D2" s="16" t="str">
        <f>ROMAN(C2)</f>
        <v>MDCXXIV</v>
      </c>
      <c r="E2" s="16"/>
      <c r="F2" s="16" t="s">
        <v>227</v>
      </c>
      <c r="G2" s="16">
        <f t="shared" ref="G2:G5" si="0">_xlfn.ARABIC(F2)</f>
        <v>46</v>
      </c>
      <c r="H2" s="16"/>
    </row>
    <row r="3" spans="1:8" x14ac:dyDescent="0.25">
      <c r="A3" s="34">
        <v>2</v>
      </c>
      <c r="B3" s="16" t="str">
        <f t="shared" ref="B3:B22" si="1">ROMAN(A3)</f>
        <v>II</v>
      </c>
      <c r="C3" s="15">
        <v>3043</v>
      </c>
      <c r="D3" s="16" t="str">
        <f t="shared" ref="D3:D16" si="2">ROMAN(C3)</f>
        <v>MMMXLIII</v>
      </c>
      <c r="E3" s="16"/>
      <c r="F3" s="16" t="s">
        <v>228</v>
      </c>
      <c r="G3" s="16">
        <f t="shared" si="0"/>
        <v>432</v>
      </c>
      <c r="H3" s="16"/>
    </row>
    <row r="4" spans="1:8" x14ac:dyDescent="0.25">
      <c r="A4" s="34">
        <v>3</v>
      </c>
      <c r="B4" s="16" t="str">
        <f t="shared" si="1"/>
        <v>III</v>
      </c>
      <c r="C4" s="15">
        <v>3736</v>
      </c>
      <c r="D4" s="16" t="str">
        <f t="shared" si="2"/>
        <v>MMMDCCXXXVI</v>
      </c>
      <c r="E4" s="16"/>
      <c r="F4" s="16" t="s">
        <v>229</v>
      </c>
      <c r="G4" s="16">
        <f t="shared" si="0"/>
        <v>437</v>
      </c>
      <c r="H4" s="16"/>
    </row>
    <row r="5" spans="1:8" x14ac:dyDescent="0.25">
      <c r="A5" s="34">
        <v>4</v>
      </c>
      <c r="B5" s="16" t="str">
        <f t="shared" si="1"/>
        <v>IV</v>
      </c>
      <c r="C5" s="15">
        <v>252</v>
      </c>
      <c r="D5" s="16" t="str">
        <f t="shared" si="2"/>
        <v>CCLII</v>
      </c>
      <c r="E5" s="16"/>
      <c r="F5" s="16" t="s">
        <v>236</v>
      </c>
      <c r="G5" s="16">
        <f t="shared" si="0"/>
        <v>5000</v>
      </c>
      <c r="H5" s="16"/>
    </row>
    <row r="6" spans="1:8" x14ac:dyDescent="0.25">
      <c r="A6" s="34">
        <v>5</v>
      </c>
      <c r="B6" s="16" t="str">
        <f t="shared" si="1"/>
        <v>V</v>
      </c>
      <c r="C6" s="15">
        <v>916</v>
      </c>
      <c r="D6" s="16" t="str">
        <f t="shared" si="2"/>
        <v>CMXVI</v>
      </c>
      <c r="E6" s="16"/>
    </row>
    <row r="7" spans="1:8" x14ac:dyDescent="0.25">
      <c r="A7" s="34">
        <v>6</v>
      </c>
      <c r="B7" s="16" t="str">
        <f t="shared" si="1"/>
        <v>VI</v>
      </c>
      <c r="C7" s="15">
        <v>2484</v>
      </c>
      <c r="D7" s="16" t="str">
        <f t="shared" si="2"/>
        <v>MMCDLXXXIV</v>
      </c>
      <c r="E7" s="16"/>
    </row>
    <row r="8" spans="1:8" x14ac:dyDescent="0.25">
      <c r="A8" s="34">
        <v>8</v>
      </c>
      <c r="B8" s="16" t="str">
        <f t="shared" si="1"/>
        <v>VIII</v>
      </c>
      <c r="C8" s="15">
        <v>1741</v>
      </c>
      <c r="D8" s="16" t="str">
        <f t="shared" si="2"/>
        <v>MDCCXLI</v>
      </c>
      <c r="E8" s="16"/>
    </row>
    <row r="9" spans="1:8" x14ac:dyDescent="0.25">
      <c r="A9" s="34">
        <v>9</v>
      </c>
      <c r="B9" s="16" t="str">
        <f t="shared" si="1"/>
        <v>IX</v>
      </c>
      <c r="C9" s="15">
        <v>3773</v>
      </c>
      <c r="D9" s="16" t="str">
        <f t="shared" si="2"/>
        <v>MMMDCCLXXIII</v>
      </c>
      <c r="E9" s="16"/>
    </row>
    <row r="10" spans="1:8" x14ac:dyDescent="0.25">
      <c r="A10" s="34">
        <v>10</v>
      </c>
      <c r="B10" s="16" t="str">
        <f t="shared" si="1"/>
        <v>X</v>
      </c>
      <c r="C10" s="15">
        <v>3003</v>
      </c>
      <c r="D10" s="16" t="str">
        <f t="shared" si="2"/>
        <v>MMMIII</v>
      </c>
      <c r="E10" s="16"/>
    </row>
    <row r="11" spans="1:8" x14ac:dyDescent="0.25">
      <c r="A11" s="34">
        <v>15</v>
      </c>
      <c r="B11" s="16" t="str">
        <f t="shared" si="1"/>
        <v>XV</v>
      </c>
      <c r="C11" s="15">
        <v>2647</v>
      </c>
      <c r="D11" s="16" t="str">
        <f t="shared" si="2"/>
        <v>MMDCXLVII</v>
      </c>
      <c r="E11" s="16"/>
    </row>
    <row r="12" spans="1:8" x14ac:dyDescent="0.25">
      <c r="A12" s="34">
        <v>20</v>
      </c>
      <c r="B12" s="16" t="str">
        <f t="shared" si="1"/>
        <v>XX</v>
      </c>
      <c r="C12" s="15">
        <v>2662</v>
      </c>
      <c r="D12" s="16" t="str">
        <f t="shared" si="2"/>
        <v>MMDCLXII</v>
      </c>
      <c r="E12" s="16"/>
    </row>
    <row r="13" spans="1:8" x14ac:dyDescent="0.25">
      <c r="A13" s="34">
        <v>25</v>
      </c>
      <c r="B13" s="16" t="str">
        <f t="shared" si="1"/>
        <v>XXV</v>
      </c>
      <c r="C13" s="15">
        <v>2073</v>
      </c>
      <c r="D13" s="16" t="str">
        <f t="shared" si="2"/>
        <v>MMLXXIII</v>
      </c>
      <c r="E13" s="16"/>
    </row>
    <row r="14" spans="1:8" x14ac:dyDescent="0.25">
      <c r="A14" s="34">
        <v>40</v>
      </c>
      <c r="B14" s="16" t="str">
        <f t="shared" si="1"/>
        <v>XL</v>
      </c>
      <c r="C14" s="15">
        <v>482</v>
      </c>
      <c r="D14" s="16" t="str">
        <f t="shared" si="2"/>
        <v>CDLXXXII</v>
      </c>
      <c r="E14" s="16"/>
    </row>
    <row r="15" spans="1:8" x14ac:dyDescent="0.25">
      <c r="A15" s="34">
        <v>50</v>
      </c>
      <c r="B15" s="16" t="str">
        <f t="shared" si="1"/>
        <v>L</v>
      </c>
      <c r="C15" s="15">
        <v>3894</v>
      </c>
      <c r="D15" s="16" t="str">
        <f t="shared" si="2"/>
        <v>MMMDCCCXCIV</v>
      </c>
      <c r="E15" s="16"/>
    </row>
    <row r="16" spans="1:8" x14ac:dyDescent="0.25">
      <c r="A16" s="34">
        <v>70</v>
      </c>
      <c r="B16" s="16" t="str">
        <f t="shared" si="1"/>
        <v>LXX</v>
      </c>
      <c r="C16" s="15">
        <v>350</v>
      </c>
      <c r="D16" s="16" t="str">
        <f t="shared" si="2"/>
        <v>CCCL</v>
      </c>
      <c r="E16" s="16"/>
    </row>
    <row r="17" spans="1:4" x14ac:dyDescent="0.25">
      <c r="A17" s="34">
        <v>100</v>
      </c>
      <c r="B17" s="16" t="str">
        <f t="shared" si="1"/>
        <v>C</v>
      </c>
      <c r="C17" s="34">
        <v>3997</v>
      </c>
      <c r="D17" s="16" t="str">
        <f>ROMAN(C17)</f>
        <v>MMMCMXCVII</v>
      </c>
    </row>
    <row r="18" spans="1:4" x14ac:dyDescent="0.25">
      <c r="A18" s="34">
        <v>500</v>
      </c>
      <c r="B18" s="16" t="str">
        <f t="shared" si="1"/>
        <v>D</v>
      </c>
      <c r="C18" s="34">
        <v>3998</v>
      </c>
      <c r="D18" s="16" t="str">
        <f>ROMAN(C18)</f>
        <v>MMMCMXCVIII</v>
      </c>
    </row>
    <row r="19" spans="1:4" x14ac:dyDescent="0.25">
      <c r="A19" s="34">
        <v>900</v>
      </c>
      <c r="B19" s="16" t="str">
        <f t="shared" si="1"/>
        <v>CM</v>
      </c>
      <c r="C19" s="34">
        <v>3999</v>
      </c>
      <c r="D19" s="16" t="str">
        <f>ROMAN(C19)</f>
        <v>MMMCMXCIX</v>
      </c>
    </row>
    <row r="20" spans="1:4" x14ac:dyDescent="0.25">
      <c r="A20" s="34">
        <v>1000</v>
      </c>
      <c r="B20" s="16" t="str">
        <f t="shared" si="1"/>
        <v>M</v>
      </c>
      <c r="C20" s="34">
        <v>4000</v>
      </c>
      <c r="D20" s="16" t="e">
        <f t="shared" ref="D20:D21" si="3">ROMAN(C20)</f>
        <v>#VALUE!</v>
      </c>
    </row>
    <row r="21" spans="1:4" x14ac:dyDescent="0.25">
      <c r="A21" s="34">
        <v>3000</v>
      </c>
      <c r="B21" s="16" t="str">
        <f t="shared" si="1"/>
        <v>MMM</v>
      </c>
      <c r="C21" s="34">
        <v>4001</v>
      </c>
      <c r="D21" s="16" t="e">
        <f t="shared" si="3"/>
        <v>#VALUE!</v>
      </c>
    </row>
    <row r="22" spans="1:4" x14ac:dyDescent="0.25">
      <c r="A22" s="34">
        <v>3500</v>
      </c>
      <c r="B22" s="16" t="str">
        <f t="shared" si="1"/>
        <v>MMMD</v>
      </c>
    </row>
    <row r="23" spans="1:4" x14ac:dyDescent="0.25">
      <c r="A23" s="34"/>
      <c r="B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BasicRounding</vt:lpstr>
      <vt:lpstr>SpecializedRounding</vt:lpstr>
      <vt:lpstr>TRUNC INT ODD EVEN</vt:lpstr>
      <vt:lpstr>MOD</vt:lpstr>
      <vt:lpstr>RAND</vt:lpstr>
      <vt:lpstr>CONVERT</vt:lpstr>
      <vt:lpstr>Aggregate</vt:lpstr>
      <vt:lpstr>RomanArabic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2015-12-07T00:06:11Z</dcterms:created>
  <dcterms:modified xsi:type="dcterms:W3CDTF">2015-12-09T22:17:28Z</dcterms:modified>
</cp:coreProperties>
</file>