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ijn documenten\"/>
    </mc:Choice>
  </mc:AlternateContent>
  <xr:revisionPtr revIDLastSave="0" documentId="8_{F2D85EDE-0CC5-48DF-9134-68F7F3EC76CB}" xr6:coauthVersionLast="47" xr6:coauthVersionMax="47" xr10:uidLastSave="{00000000-0000-0000-0000-000000000000}"/>
  <bookViews>
    <workbookView xWindow="-120" yWindow="450" windowWidth="22920" windowHeight="14400" tabRatio="500" xr2:uid="{00000000-000D-0000-FFFF-FFFF00000000}"/>
  </bookViews>
  <sheets>
    <sheet name="Bron" sheetId="28" r:id="rId1"/>
    <sheet name="Onderhoud" sheetId="27" r:id="rId2"/>
    <sheet name="Verdeelsleutel" sheetId="30" r:id="rId3"/>
    <sheet name="Vervanging" sheetId="26" r:id="rId4"/>
    <sheet name="TOTEX" sheetId="29" r:id="rId5"/>
  </sheets>
  <calcPr calcId="191028"/>
  <customWorkbookViews>
    <customWorkbookView name="grafiek" guid="{B7D61FEC-6CE2-4A18-A38A-8D595343956B}" maximized="1" xWindow="-11" yWindow="-11" windowWidth="1942" windowHeight="1242" tabRatio="500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9" l="1" a="1"/>
  <c r="J14" i="29"/>
  <c r="D46" i="28"/>
  <c r="V92" i="27"/>
  <c r="D12" i="30" a="1"/>
  <c r="D12" i="30" s="1"/>
  <c r="E12" i="30" a="1"/>
  <c r="E12" i="30" s="1"/>
  <c r="F12" i="30" a="1"/>
  <c r="F12" i="30" s="1"/>
  <c r="G12" i="30" a="1"/>
  <c r="G12" i="30" s="1"/>
  <c r="H12" i="30" a="1"/>
  <c r="H12" i="30" s="1"/>
  <c r="E11" i="30" a="1"/>
  <c r="E11" i="30" s="1"/>
  <c r="F11" i="30" a="1"/>
  <c r="F11" i="30" s="1"/>
  <c r="G11" i="30" a="1"/>
  <c r="G11" i="30" s="1"/>
  <c r="H11" i="30" a="1"/>
  <c r="H11" i="30"/>
  <c r="D11" i="30" a="1"/>
  <c r="D11" i="30"/>
  <c r="E10" i="30" a="1"/>
  <c r="E10" i="30" s="1"/>
  <c r="F10" i="30" a="1"/>
  <c r="F10" i="30" s="1"/>
  <c r="G10" i="30" a="1"/>
  <c r="G10" i="30" s="1"/>
  <c r="H10" i="30" a="1"/>
  <c r="H10" i="30"/>
  <c r="D10" i="30" a="1"/>
  <c r="D10" i="30" s="1"/>
  <c r="E9" i="30" a="1"/>
  <c r="E9" i="30"/>
  <c r="F9" i="30" a="1"/>
  <c r="F9" i="30" s="1"/>
  <c r="G9" i="30" a="1"/>
  <c r="G9" i="30" s="1"/>
  <c r="H9" i="30" a="1"/>
  <c r="H9" i="30" s="1"/>
  <c r="D9" i="30" a="1"/>
  <c r="D9" i="30" s="1"/>
  <c r="D8" i="30" a="1"/>
  <c r="D8" i="30" s="1"/>
  <c r="E8" i="30" a="1"/>
  <c r="E8" i="30"/>
  <c r="F8" i="30" a="1"/>
  <c r="F8" i="30" s="1"/>
  <c r="G8" i="30" a="1"/>
  <c r="G8" i="30" s="1"/>
  <c r="H8" i="30" a="1"/>
  <c r="H8" i="30" s="1"/>
  <c r="T135" i="27"/>
  <c r="R135" i="27"/>
  <c r="AG70" i="29"/>
  <c r="AE70" i="29"/>
  <c r="AA70" i="29"/>
  <c r="I23" i="27"/>
  <c r="I24" i="27"/>
  <c r="I25" i="27"/>
  <c r="I26" i="27"/>
  <c r="I27" i="27"/>
  <c r="I22" i="27"/>
  <c r="G23" i="27"/>
  <c r="G24" i="27"/>
  <c r="G25" i="27"/>
  <c r="G26" i="27"/>
  <c r="G27" i="27"/>
  <c r="G22" i="27"/>
  <c r="F26" i="27"/>
  <c r="H26" i="27"/>
  <c r="W22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3" i="27"/>
  <c r="W25" i="27"/>
  <c r="W26" i="27"/>
  <c r="W8" i="27"/>
  <c r="E126" i="27"/>
  <c r="E125" i="27"/>
  <c r="E124" i="27"/>
  <c r="E123" i="27"/>
  <c r="E122" i="27"/>
  <c r="E121" i="27"/>
  <c r="E120" i="27"/>
  <c r="E119" i="27"/>
  <c r="E118" i="27"/>
  <c r="E117" i="27"/>
  <c r="E116" i="27"/>
  <c r="E115" i="27"/>
  <c r="E114" i="27"/>
  <c r="E113" i="27"/>
  <c r="E112" i="27"/>
  <c r="E111" i="27"/>
  <c r="E110" i="27"/>
  <c r="E109" i="27"/>
  <c r="E108" i="27"/>
  <c r="E107" i="27"/>
  <c r="E106" i="27"/>
  <c r="E105" i="27"/>
  <c r="E104" i="27"/>
  <c r="E128" i="27"/>
  <c r="E129" i="27"/>
  <c r="E103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E5" i="27"/>
  <c r="E4" i="27"/>
  <c r="Y69" i="29"/>
  <c r="V5" i="29"/>
  <c r="V6" i="29"/>
  <c r="V7" i="29"/>
  <c r="V8" i="29"/>
  <c r="V9" i="29"/>
  <c r="V10" i="29"/>
  <c r="V11" i="29"/>
  <c r="V12" i="29"/>
  <c r="V13" i="29"/>
  <c r="V14" i="29"/>
  <c r="V15" i="29"/>
  <c r="V16" i="29"/>
  <c r="V17" i="29"/>
  <c r="V18" i="29"/>
  <c r="V19" i="29"/>
  <c r="V20" i="29"/>
  <c r="V21" i="29"/>
  <c r="V22" i="29"/>
  <c r="V23" i="29"/>
  <c r="V24" i="29"/>
  <c r="V25" i="29"/>
  <c r="V26" i="29"/>
  <c r="V27" i="29"/>
  <c r="V28" i="29"/>
  <c r="V29" i="29"/>
  <c r="V30" i="29"/>
  <c r="V31" i="29"/>
  <c r="V32" i="29"/>
  <c r="V33" i="29"/>
  <c r="V34" i="29"/>
  <c r="V35" i="29"/>
  <c r="V36" i="29"/>
  <c r="V37" i="29"/>
  <c r="V38" i="29"/>
  <c r="V39" i="29"/>
  <c r="V40" i="29"/>
  <c r="V41" i="29"/>
  <c r="V42" i="29"/>
  <c r="V43" i="29"/>
  <c r="V44" i="29"/>
  <c r="V45" i="29"/>
  <c r="V46" i="29"/>
  <c r="V47" i="29"/>
  <c r="V48" i="29"/>
  <c r="V49" i="29"/>
  <c r="V50" i="29"/>
  <c r="V51" i="29"/>
  <c r="V52" i="29"/>
  <c r="V53" i="29"/>
  <c r="V54" i="29"/>
  <c r="V55" i="29"/>
  <c r="V56" i="29"/>
  <c r="V57" i="29"/>
  <c r="V58" i="29"/>
  <c r="V59" i="29"/>
  <c r="V60" i="29"/>
  <c r="V61" i="29"/>
  <c r="V62" i="29"/>
  <c r="V63" i="29"/>
  <c r="V64" i="29"/>
  <c r="V65" i="29"/>
  <c r="V4" i="29"/>
  <c r="F128" i="27"/>
  <c r="F129" i="27"/>
  <c r="F127" i="27"/>
  <c r="V26" i="27"/>
  <c r="F125" i="27" s="1"/>
  <c r="T136" i="27"/>
  <c r="R136" i="27"/>
  <c r="P136" i="27"/>
  <c r="N136" i="27"/>
  <c r="S64" i="28"/>
  <c r="S58" i="28" s="1"/>
  <c r="R64" i="28"/>
  <c r="R57" i="28" s="1"/>
  <c r="F35" i="28" s="1"/>
  <c r="S63" i="28"/>
  <c r="S57" i="28" s="1"/>
  <c r="R63" i="28"/>
  <c r="Q63" i="28"/>
  <c r="Q64" i="28" s="1"/>
  <c r="P63" i="28"/>
  <c r="P64" i="28" s="1"/>
  <c r="R55" i="28"/>
  <c r="T52" i="28"/>
  <c r="S59" i="28" s="1"/>
  <c r="S52" i="28"/>
  <c r="H43" i="28"/>
  <c r="F34" i="28"/>
  <c r="F22" i="28"/>
  <c r="I21" i="28"/>
  <c r="G21" i="28"/>
  <c r="G20" i="28"/>
  <c r="I20" i="28" s="1"/>
  <c r="G19" i="28"/>
  <c r="I19" i="28" s="1"/>
  <c r="G18" i="28"/>
  <c r="I18" i="28" s="1"/>
  <c r="I17" i="28"/>
  <c r="G17" i="28"/>
  <c r="G16" i="28"/>
  <c r="I16" i="28" s="1"/>
  <c r="G15" i="28"/>
  <c r="I15" i="28" s="1"/>
  <c r="G14" i="28"/>
  <c r="G22" i="28" s="1"/>
  <c r="I22" i="28" s="1"/>
  <c r="D13" i="28"/>
  <c r="G12" i="28" s="1"/>
  <c r="I12" i="28" s="1"/>
  <c r="I8" i="28"/>
  <c r="A6" i="30"/>
  <c r="A7" i="30"/>
  <c r="A8" i="30"/>
  <c r="A9" i="30"/>
  <c r="A10" i="30"/>
  <c r="A11" i="30"/>
  <c r="A12" i="30"/>
  <c r="A5" i="30"/>
  <c r="W27" i="27" l="1"/>
  <c r="W24" i="27"/>
  <c r="P58" i="28"/>
  <c r="P55" i="28"/>
  <c r="P56" i="28"/>
  <c r="F24" i="28" s="1"/>
  <c r="P59" i="28"/>
  <c r="Q55" i="28"/>
  <c r="Q57" i="28"/>
  <c r="Q56" i="28"/>
  <c r="Q59" i="28"/>
  <c r="S61" i="28"/>
  <c r="G10" i="28"/>
  <c r="I10" i="28" s="1"/>
  <c r="R56" i="28"/>
  <c r="F33" i="28" s="1"/>
  <c r="G7" i="28"/>
  <c r="I7" i="28" s="1"/>
  <c r="P57" i="28"/>
  <c r="F26" i="28" s="1"/>
  <c r="R59" i="28"/>
  <c r="G6" i="28"/>
  <c r="I6" i="28" s="1"/>
  <c r="G11" i="28"/>
  <c r="I11" i="28" s="1"/>
  <c r="F8" i="28"/>
  <c r="I14" i="28"/>
  <c r="A2" i="29"/>
  <c r="AH5" i="29"/>
  <c r="AH6" i="29"/>
  <c r="AH7" i="29"/>
  <c r="AH8" i="29"/>
  <c r="AH9" i="29"/>
  <c r="AH10" i="29"/>
  <c r="AH11" i="29"/>
  <c r="AH12" i="29"/>
  <c r="AH13" i="29"/>
  <c r="AH14" i="29"/>
  <c r="AH15" i="29"/>
  <c r="AH16" i="29"/>
  <c r="AH17" i="29"/>
  <c r="AH18" i="29"/>
  <c r="AH19" i="29"/>
  <c r="AH20" i="29"/>
  <c r="AH21" i="29"/>
  <c r="AH22" i="29"/>
  <c r="AH23" i="29"/>
  <c r="AH24" i="29"/>
  <c r="AH25" i="29"/>
  <c r="AH26" i="29"/>
  <c r="AH27" i="29"/>
  <c r="AH28" i="29"/>
  <c r="AH29" i="29"/>
  <c r="AH30" i="29"/>
  <c r="AH31" i="29"/>
  <c r="AH32" i="29"/>
  <c r="AH33" i="29"/>
  <c r="AH34" i="29"/>
  <c r="AH35" i="29"/>
  <c r="AH36" i="29"/>
  <c r="AH37" i="29"/>
  <c r="AH38" i="29"/>
  <c r="AH39" i="29"/>
  <c r="AH40" i="29"/>
  <c r="AH41" i="29"/>
  <c r="AH42" i="29"/>
  <c r="AH43" i="29"/>
  <c r="AH44" i="29"/>
  <c r="AH45" i="29"/>
  <c r="AH46" i="29"/>
  <c r="AH47" i="29"/>
  <c r="AH48" i="29"/>
  <c r="AH49" i="29"/>
  <c r="AH50" i="29"/>
  <c r="AH51" i="29"/>
  <c r="AH52" i="29"/>
  <c r="AH53" i="29"/>
  <c r="AH54" i="29"/>
  <c r="AH55" i="29"/>
  <c r="AH56" i="29"/>
  <c r="AH57" i="29"/>
  <c r="AH58" i="29"/>
  <c r="AH59" i="29"/>
  <c r="AH60" i="29"/>
  <c r="AH61" i="29"/>
  <c r="AH62" i="29"/>
  <c r="AH63" i="29"/>
  <c r="AH64" i="29"/>
  <c r="AH65" i="29"/>
  <c r="AH4" i="29"/>
  <c r="AL1" i="29"/>
  <c r="AK1" i="29"/>
  <c r="AJ1" i="29"/>
  <c r="AI1" i="29"/>
  <c r="AH1" i="29"/>
  <c r="AG83" i="27"/>
  <c r="D133" i="27"/>
  <c r="D132" i="27"/>
  <c r="D131" i="27"/>
  <c r="D129" i="27"/>
  <c r="D128" i="27"/>
  <c r="D127" i="27"/>
  <c r="D126" i="27"/>
  <c r="D124" i="27"/>
  <c r="D123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4" i="29"/>
  <c r="M1" i="27"/>
  <c r="K19" i="27" s="1"/>
  <c r="M19" i="27" s="1"/>
  <c r="Q1" i="27"/>
  <c r="U1" i="27"/>
  <c r="F31" i="27"/>
  <c r="F90" i="27" s="1"/>
  <c r="F32" i="27"/>
  <c r="F91" i="27" s="1"/>
  <c r="F30" i="27"/>
  <c r="F89" i="27" s="1"/>
  <c r="H89" i="27" s="1"/>
  <c r="E91" i="27"/>
  <c r="E90" i="27"/>
  <c r="H31" i="27"/>
  <c r="H32" i="27"/>
  <c r="H30" i="27"/>
  <c r="D26" i="27"/>
  <c r="D32" i="27"/>
  <c r="D31" i="27"/>
  <c r="D30" i="27"/>
  <c r="D29" i="27"/>
  <c r="D28" i="27"/>
  <c r="D27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X25" i="27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4" i="29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Z65" i="27"/>
  <c r="AB139" i="27"/>
  <c r="AB151" i="27"/>
  <c r="AB147" i="27"/>
  <c r="E130" i="27"/>
  <c r="C125" i="27"/>
  <c r="B125" i="27"/>
  <c r="AD81" i="27"/>
  <c r="Z81" i="27"/>
  <c r="G81" i="27"/>
  <c r="E63" i="27"/>
  <c r="S63" i="27" s="1"/>
  <c r="U63" i="27" s="1"/>
  <c r="AD59" i="27"/>
  <c r="Z90" i="27"/>
  <c r="AE90" i="27" s="1"/>
  <c r="Z89" i="27"/>
  <c r="AE89" i="27" s="1"/>
  <c r="N127" i="27" s="1"/>
  <c r="AD60" i="27"/>
  <c r="AD61" i="27"/>
  <c r="AD62" i="27"/>
  <c r="AD64" i="27"/>
  <c r="AD65" i="27"/>
  <c r="AD66" i="27"/>
  <c r="AD67" i="27"/>
  <c r="AD68" i="27"/>
  <c r="AD69" i="27"/>
  <c r="AD70" i="27"/>
  <c r="AD71" i="27"/>
  <c r="AD72" i="27"/>
  <c r="AD73" i="27"/>
  <c r="AD74" i="27"/>
  <c r="AD75" i="27"/>
  <c r="AD76" i="27"/>
  <c r="AD77" i="27"/>
  <c r="AD78" i="27"/>
  <c r="AD79" i="27"/>
  <c r="AD80" i="27"/>
  <c r="AD82" i="27"/>
  <c r="AB60" i="27"/>
  <c r="AB59" i="27"/>
  <c r="AE83" i="27"/>
  <c r="AE84" i="27"/>
  <c r="AE85" i="27"/>
  <c r="AE86" i="27"/>
  <c r="AE87" i="27"/>
  <c r="AE88" i="27"/>
  <c r="AE91" i="27"/>
  <c r="AA72" i="27"/>
  <c r="AA71" i="27"/>
  <c r="AA63" i="27"/>
  <c r="AA60" i="27"/>
  <c r="AA59" i="27"/>
  <c r="Z60" i="27"/>
  <c r="Z61" i="27"/>
  <c r="Z62" i="27"/>
  <c r="Z64" i="27"/>
  <c r="Z66" i="27"/>
  <c r="AE66" i="27" s="1"/>
  <c r="Z67" i="27"/>
  <c r="Z68" i="27"/>
  <c r="Z69" i="27"/>
  <c r="AE69" i="27" s="1"/>
  <c r="Z70" i="27"/>
  <c r="Z71" i="27"/>
  <c r="Z72" i="27"/>
  <c r="Z73" i="27"/>
  <c r="Z74" i="27"/>
  <c r="AE74" i="27" s="1"/>
  <c r="Z75" i="27"/>
  <c r="Z76" i="27"/>
  <c r="Z77" i="27"/>
  <c r="AE77" i="27" s="1"/>
  <c r="Z78" i="27"/>
  <c r="Z79" i="27"/>
  <c r="Z80" i="27"/>
  <c r="Z82" i="27"/>
  <c r="Z59" i="27"/>
  <c r="G78" i="27"/>
  <c r="I78" i="27" s="1"/>
  <c r="V78" i="27" s="1"/>
  <c r="G79" i="27"/>
  <c r="I79" i="27" s="1"/>
  <c r="V79" i="27" s="1"/>
  <c r="G80" i="27"/>
  <c r="G77" i="27"/>
  <c r="I77" i="27" s="1"/>
  <c r="V77" i="27" s="1"/>
  <c r="G82" i="27"/>
  <c r="I82" i="27" s="1"/>
  <c r="V82" i="27" s="1"/>
  <c r="T126" i="27" s="1"/>
  <c r="S64" i="27"/>
  <c r="U64" i="27" s="1"/>
  <c r="S65" i="27"/>
  <c r="U65" i="27" s="1"/>
  <c r="S66" i="27"/>
  <c r="U66" i="27" s="1"/>
  <c r="S67" i="27"/>
  <c r="U67" i="27" s="1"/>
  <c r="S68" i="27"/>
  <c r="U68" i="27" s="1"/>
  <c r="S69" i="27"/>
  <c r="S70" i="27"/>
  <c r="S71" i="27"/>
  <c r="S72" i="27"/>
  <c r="U72" i="27" s="1"/>
  <c r="S73" i="27"/>
  <c r="U73" i="27" s="1"/>
  <c r="S74" i="27"/>
  <c r="U74" i="27" s="1"/>
  <c r="S75" i="27"/>
  <c r="S76" i="27"/>
  <c r="U76" i="27" s="1"/>
  <c r="O64" i="27"/>
  <c r="O65" i="27"/>
  <c r="O66" i="27"/>
  <c r="O67" i="27"/>
  <c r="Q67" i="27" s="1"/>
  <c r="O68" i="27"/>
  <c r="Q68" i="27" s="1"/>
  <c r="O69" i="27"/>
  <c r="O70" i="27"/>
  <c r="O71" i="27"/>
  <c r="Q71" i="27" s="1"/>
  <c r="O72" i="27"/>
  <c r="Q72" i="27" s="1"/>
  <c r="O73" i="27"/>
  <c r="O74" i="27"/>
  <c r="O75" i="27"/>
  <c r="O76" i="27"/>
  <c r="Q76" i="27" s="1"/>
  <c r="K73" i="27"/>
  <c r="M73" i="27" s="1"/>
  <c r="K64" i="27"/>
  <c r="M64" i="27" s="1"/>
  <c r="K65" i="27"/>
  <c r="M65" i="27" s="1"/>
  <c r="K66" i="27"/>
  <c r="K67" i="27"/>
  <c r="K68" i="27"/>
  <c r="M68" i="27" s="1"/>
  <c r="K69" i="27"/>
  <c r="K70" i="27"/>
  <c r="K71" i="27"/>
  <c r="K72" i="27"/>
  <c r="M72" i="27" s="1"/>
  <c r="K74" i="27"/>
  <c r="M74" i="27" s="1"/>
  <c r="K75" i="27"/>
  <c r="M75" i="27" s="1"/>
  <c r="K76" i="27"/>
  <c r="M76" i="27" s="1"/>
  <c r="V91" i="27"/>
  <c r="V90" i="27"/>
  <c r="V89" i="27"/>
  <c r="Q75" i="27"/>
  <c r="Q73" i="27"/>
  <c r="U71" i="27"/>
  <c r="M71" i="27"/>
  <c r="M67" i="27"/>
  <c r="Q66" i="27"/>
  <c r="T70" i="27"/>
  <c r="P70" i="27"/>
  <c r="Q64" i="27"/>
  <c r="L70" i="27"/>
  <c r="T69" i="27"/>
  <c r="G62" i="27"/>
  <c r="G61" i="27"/>
  <c r="G60" i="27"/>
  <c r="G59" i="27"/>
  <c r="E87" i="27"/>
  <c r="E133" i="27" s="1"/>
  <c r="E86" i="27"/>
  <c r="AE41" i="27"/>
  <c r="AD41" i="27"/>
  <c r="AC41" i="27"/>
  <c r="AA41" i="27"/>
  <c r="Z41" i="27"/>
  <c r="V32" i="27"/>
  <c r="V31" i="27"/>
  <c r="V30" i="27"/>
  <c r="E28" i="27"/>
  <c r="K20" i="27"/>
  <c r="M20" i="27" s="1"/>
  <c r="S19" i="27"/>
  <c r="U19" i="27" s="1"/>
  <c r="O19" i="27"/>
  <c r="S18" i="27"/>
  <c r="O17" i="27"/>
  <c r="Q17" i="27" s="1"/>
  <c r="K15" i="27"/>
  <c r="S14" i="27"/>
  <c r="U14" i="27" s="1"/>
  <c r="O14" i="27"/>
  <c r="Q14" i="27" s="1"/>
  <c r="S13" i="27"/>
  <c r="U13" i="27" s="1"/>
  <c r="O12" i="27"/>
  <c r="Q12" i="27" s="1"/>
  <c r="K10" i="27"/>
  <c r="S9" i="27"/>
  <c r="P45" i="27"/>
  <c r="O9" i="27"/>
  <c r="Q9" i="27" s="1"/>
  <c r="G7" i="27"/>
  <c r="I7" i="27" s="1"/>
  <c r="V7" i="27" s="1"/>
  <c r="F106" i="27" s="1"/>
  <c r="G6" i="27"/>
  <c r="G5" i="27"/>
  <c r="I5" i="27" s="1"/>
  <c r="V5" i="27" s="1"/>
  <c r="F104" i="27" s="1"/>
  <c r="G4" i="27"/>
  <c r="AE59" i="27" l="1"/>
  <c r="S10" i="27"/>
  <c r="U10" i="27" s="1"/>
  <c r="S15" i="27"/>
  <c r="U15" i="27" s="1"/>
  <c r="S20" i="27"/>
  <c r="U20" i="27" s="1"/>
  <c r="U69" i="27"/>
  <c r="S11" i="27"/>
  <c r="U11" i="27" s="1"/>
  <c r="S16" i="27"/>
  <c r="S21" i="27"/>
  <c r="U21" i="27" s="1"/>
  <c r="AE78" i="27"/>
  <c r="AE70" i="27"/>
  <c r="S8" i="27"/>
  <c r="U8" i="27" s="1"/>
  <c r="S12" i="27"/>
  <c r="S17" i="27"/>
  <c r="AE76" i="27"/>
  <c r="N120" i="27" s="1"/>
  <c r="AE68" i="27"/>
  <c r="AE81" i="27"/>
  <c r="AE79" i="27"/>
  <c r="AE71" i="27"/>
  <c r="AE61" i="27"/>
  <c r="G83" i="27"/>
  <c r="AE62" i="27"/>
  <c r="AE65" i="27"/>
  <c r="V73" i="27"/>
  <c r="V76" i="27"/>
  <c r="V68" i="27"/>
  <c r="V67" i="27"/>
  <c r="AE60" i="27"/>
  <c r="K12" i="27"/>
  <c r="K17" i="27"/>
  <c r="M17" i="27" s="1"/>
  <c r="V72" i="27"/>
  <c r="O63" i="27"/>
  <c r="AE75" i="27"/>
  <c r="AE67" i="27"/>
  <c r="AB63" i="27"/>
  <c r="AE82" i="27"/>
  <c r="N126" i="27" s="1"/>
  <c r="K8" i="27"/>
  <c r="M8" i="27" s="1"/>
  <c r="O10" i="27"/>
  <c r="Q10" i="27" s="1"/>
  <c r="K13" i="27"/>
  <c r="M13" i="27" s="1"/>
  <c r="K18" i="27"/>
  <c r="M18" i="27" s="1"/>
  <c r="AE80" i="27"/>
  <c r="AE72" i="27"/>
  <c r="AE64" i="27"/>
  <c r="N108" i="27" s="1"/>
  <c r="AD63" i="27"/>
  <c r="O8" i="27"/>
  <c r="Q8" i="27" s="1"/>
  <c r="O13" i="27"/>
  <c r="Q13" i="27" s="1"/>
  <c r="O18" i="27"/>
  <c r="Q18" i="27" s="1"/>
  <c r="K21" i="27"/>
  <c r="M21" i="27" s="1"/>
  <c r="Z63" i="27"/>
  <c r="O15" i="27"/>
  <c r="Q15" i="27" s="1"/>
  <c r="K11" i="27"/>
  <c r="K16" i="27"/>
  <c r="O21" i="27"/>
  <c r="V64" i="27"/>
  <c r="V71" i="27"/>
  <c r="E83" i="27"/>
  <c r="O20" i="27"/>
  <c r="AE73" i="27"/>
  <c r="K9" i="27"/>
  <c r="M9" i="27" s="1"/>
  <c r="O11" i="27"/>
  <c r="K14" i="27"/>
  <c r="O16" i="27"/>
  <c r="Q16" i="27" s="1"/>
  <c r="K63" i="27"/>
  <c r="D125" i="27"/>
  <c r="Q61" i="28"/>
  <c r="F32" i="28"/>
  <c r="F5" i="28"/>
  <c r="F9" i="28"/>
  <c r="G9" i="28" s="1"/>
  <c r="H9" i="28" s="1"/>
  <c r="F25" i="28"/>
  <c r="P61" i="28"/>
  <c r="I13" i="28"/>
  <c r="R61" i="28"/>
  <c r="G86" i="27"/>
  <c r="E132" i="27"/>
  <c r="N124" i="27"/>
  <c r="N123" i="27"/>
  <c r="AF79" i="27"/>
  <c r="AG79" i="27" s="1"/>
  <c r="N122" i="27"/>
  <c r="AF78" i="27"/>
  <c r="AG78" i="27" s="1"/>
  <c r="N121" i="27"/>
  <c r="AF77" i="27"/>
  <c r="AG77" i="27" s="1"/>
  <c r="N119" i="27"/>
  <c r="N118" i="27"/>
  <c r="N116" i="27"/>
  <c r="AF72" i="27"/>
  <c r="AG72" i="27" s="1"/>
  <c r="N115" i="27"/>
  <c r="AF71" i="27"/>
  <c r="AG71" i="27" s="1"/>
  <c r="N114" i="27"/>
  <c r="N113" i="27"/>
  <c r="N112" i="27"/>
  <c r="AF68" i="27"/>
  <c r="AG68" i="27" s="1"/>
  <c r="N111" i="27"/>
  <c r="AF67" i="27"/>
  <c r="AG67" i="27" s="1"/>
  <c r="N110" i="27"/>
  <c r="N109" i="27"/>
  <c r="N106" i="27"/>
  <c r="N105" i="27"/>
  <c r="N104" i="27"/>
  <c r="N129" i="27"/>
  <c r="AF91" i="27"/>
  <c r="AG91" i="27" s="1"/>
  <c r="AF90" i="27"/>
  <c r="AG90" i="27" s="1"/>
  <c r="N132" i="27"/>
  <c r="N125" i="27"/>
  <c r="G90" i="27"/>
  <c r="H90" i="27" s="1"/>
  <c r="G91" i="27"/>
  <c r="H91" i="27" s="1"/>
  <c r="AI63" i="29"/>
  <c r="AF89" i="27"/>
  <c r="AG89" i="27" s="1"/>
  <c r="AF4" i="29"/>
  <c r="AD4" i="29"/>
  <c r="AF65" i="29"/>
  <c r="AD65" i="29"/>
  <c r="AF64" i="29"/>
  <c r="AD64" i="29"/>
  <c r="AF63" i="29"/>
  <c r="AD63" i="29"/>
  <c r="AF62" i="29"/>
  <c r="AD62" i="29"/>
  <c r="AF61" i="29"/>
  <c r="AD61" i="29"/>
  <c r="AF60" i="29"/>
  <c r="AD60" i="29"/>
  <c r="AF59" i="29"/>
  <c r="AD59" i="29"/>
  <c r="AF58" i="29"/>
  <c r="AD58" i="29"/>
  <c r="AF57" i="29"/>
  <c r="AD57" i="29"/>
  <c r="AF56" i="29"/>
  <c r="AD56" i="29"/>
  <c r="AF55" i="29"/>
  <c r="AD55" i="29"/>
  <c r="AF54" i="29"/>
  <c r="AD54" i="29"/>
  <c r="AF53" i="29"/>
  <c r="AD53" i="29"/>
  <c r="AF52" i="29"/>
  <c r="AD52" i="29"/>
  <c r="AF51" i="29"/>
  <c r="AD51" i="29"/>
  <c r="AF50" i="29"/>
  <c r="AD50" i="29"/>
  <c r="AF49" i="29"/>
  <c r="AD49" i="29"/>
  <c r="AF48" i="29"/>
  <c r="AD48" i="29"/>
  <c r="AF47" i="29"/>
  <c r="AD47" i="29"/>
  <c r="AF46" i="29"/>
  <c r="AD46" i="29"/>
  <c r="AF45" i="29"/>
  <c r="AD45" i="29"/>
  <c r="AF44" i="29"/>
  <c r="AD44" i="29"/>
  <c r="AF43" i="29"/>
  <c r="AD43" i="29"/>
  <c r="AF42" i="29"/>
  <c r="AD42" i="29"/>
  <c r="AF41" i="29"/>
  <c r="AD41" i="29"/>
  <c r="AF40" i="29"/>
  <c r="AD40" i="29"/>
  <c r="AF39" i="29"/>
  <c r="AD39" i="29"/>
  <c r="AF38" i="29"/>
  <c r="AD38" i="29"/>
  <c r="AF37" i="29"/>
  <c r="AD37" i="29"/>
  <c r="AF36" i="29"/>
  <c r="AD36" i="29"/>
  <c r="AF35" i="29"/>
  <c r="AD35" i="29"/>
  <c r="AF34" i="29"/>
  <c r="AD34" i="29"/>
  <c r="AF33" i="29"/>
  <c r="AD33" i="29"/>
  <c r="AF32" i="29"/>
  <c r="AD32" i="29"/>
  <c r="AF31" i="29"/>
  <c r="AD31" i="29"/>
  <c r="AF30" i="29"/>
  <c r="AD30" i="29"/>
  <c r="AF29" i="29"/>
  <c r="AD29" i="29"/>
  <c r="AF28" i="29"/>
  <c r="AD28" i="29"/>
  <c r="AF27" i="29"/>
  <c r="AD27" i="29"/>
  <c r="AF26" i="29"/>
  <c r="AD26" i="29"/>
  <c r="AF25" i="29"/>
  <c r="AD25" i="29"/>
  <c r="AF24" i="29"/>
  <c r="AD24" i="29"/>
  <c r="AF23" i="29"/>
  <c r="AD23" i="29"/>
  <c r="AF22" i="29"/>
  <c r="AD22" i="29"/>
  <c r="AF21" i="29"/>
  <c r="AD21" i="29"/>
  <c r="AF20" i="29"/>
  <c r="AD20" i="29"/>
  <c r="AF19" i="29"/>
  <c r="AD19" i="29"/>
  <c r="AF18" i="29"/>
  <c r="AD18" i="29"/>
  <c r="AF17" i="29"/>
  <c r="AD17" i="29"/>
  <c r="AF16" i="29"/>
  <c r="AD16" i="29"/>
  <c r="AF15" i="29"/>
  <c r="AD15" i="29"/>
  <c r="AF14" i="29"/>
  <c r="AD14" i="29"/>
  <c r="AF13" i="29"/>
  <c r="AD13" i="29"/>
  <c r="AF12" i="29"/>
  <c r="AD12" i="29"/>
  <c r="AF11" i="29"/>
  <c r="AD11" i="29"/>
  <c r="AF10" i="29"/>
  <c r="AD10" i="29"/>
  <c r="AF9" i="29"/>
  <c r="AD9" i="29"/>
  <c r="AF8" i="29"/>
  <c r="AD8" i="29"/>
  <c r="AF7" i="29"/>
  <c r="AD7" i="29"/>
  <c r="AF6" i="29"/>
  <c r="AD6" i="29"/>
  <c r="AF5" i="29"/>
  <c r="AD5" i="29"/>
  <c r="L4" i="29" a="1"/>
  <c r="L4" i="29" s="1"/>
  <c r="Z4" i="29"/>
  <c r="H4" i="29" a="1"/>
  <c r="H4" i="29" s="1"/>
  <c r="O4" i="29" s="1"/>
  <c r="R4" i="29"/>
  <c r="S4" i="29"/>
  <c r="Q4" i="29"/>
  <c r="L65" i="29" a="1"/>
  <c r="L65" i="29" s="1"/>
  <c r="Z65" i="29"/>
  <c r="H65" i="29" a="1"/>
  <c r="H65" i="29" s="1"/>
  <c r="O65" i="29" s="1"/>
  <c r="Q65" i="29"/>
  <c r="R65" i="29"/>
  <c r="S65" i="29"/>
  <c r="L64" i="29" a="1"/>
  <c r="L64" i="29" s="1"/>
  <c r="Z64" i="29"/>
  <c r="H64" i="29" a="1"/>
  <c r="H64" i="29" s="1"/>
  <c r="O64" i="29" s="1"/>
  <c r="Q64" i="29"/>
  <c r="R64" i="29"/>
  <c r="S64" i="29"/>
  <c r="L63" i="29" a="1"/>
  <c r="L63" i="29" s="1"/>
  <c r="Z63" i="29"/>
  <c r="H63" i="29" a="1"/>
  <c r="H63" i="29" s="1"/>
  <c r="O63" i="29" s="1"/>
  <c r="Q63" i="29"/>
  <c r="R63" i="29"/>
  <c r="S63" i="29"/>
  <c r="L62" i="29" a="1"/>
  <c r="L62" i="29" s="1"/>
  <c r="Z62" i="29"/>
  <c r="Q62" i="29"/>
  <c r="R62" i="29"/>
  <c r="S62" i="29"/>
  <c r="L61" i="29" a="1"/>
  <c r="L61" i="29" s="1"/>
  <c r="Z61" i="29"/>
  <c r="Q61" i="29"/>
  <c r="R61" i="29"/>
  <c r="S61" i="29"/>
  <c r="L60" i="29" a="1"/>
  <c r="L60" i="29" s="1"/>
  <c r="Z60" i="29"/>
  <c r="Q60" i="29"/>
  <c r="R60" i="29"/>
  <c r="S60" i="29"/>
  <c r="L59" i="29" a="1"/>
  <c r="L59" i="29" s="1"/>
  <c r="Z59" i="29"/>
  <c r="Q59" i="29"/>
  <c r="R59" i="29"/>
  <c r="S59" i="29"/>
  <c r="L58" i="29" a="1"/>
  <c r="L58" i="29" s="1"/>
  <c r="Z58" i="29"/>
  <c r="Q58" i="29"/>
  <c r="R58" i="29"/>
  <c r="S58" i="29"/>
  <c r="L57" i="29" a="1"/>
  <c r="L57" i="29" s="1"/>
  <c r="Z57" i="29"/>
  <c r="Q57" i="29"/>
  <c r="R57" i="29"/>
  <c r="S57" i="29"/>
  <c r="L56" i="29" a="1"/>
  <c r="L56" i="29" s="1"/>
  <c r="Z56" i="29"/>
  <c r="H56" i="29" a="1"/>
  <c r="H56" i="29" s="1"/>
  <c r="O56" i="29" s="1"/>
  <c r="Q56" i="29"/>
  <c r="R56" i="29"/>
  <c r="S56" i="29"/>
  <c r="L55" i="29" a="1"/>
  <c r="L55" i="29" s="1"/>
  <c r="Z55" i="29"/>
  <c r="H55" i="29" a="1"/>
  <c r="H55" i="29" s="1"/>
  <c r="O55" i="29" s="1"/>
  <c r="Q55" i="29"/>
  <c r="R55" i="29"/>
  <c r="S55" i="29"/>
  <c r="L54" i="29" a="1"/>
  <c r="L54" i="29" s="1"/>
  <c r="Z54" i="29"/>
  <c r="H54" i="29" a="1"/>
  <c r="H54" i="29" s="1"/>
  <c r="O54" i="29" s="1"/>
  <c r="Q54" i="29"/>
  <c r="R54" i="29"/>
  <c r="S54" i="29"/>
  <c r="L53" i="29" a="1"/>
  <c r="L53" i="29" s="1"/>
  <c r="Z53" i="29"/>
  <c r="H53" i="29" a="1"/>
  <c r="H53" i="29" s="1"/>
  <c r="O53" i="29" s="1"/>
  <c r="Q53" i="29"/>
  <c r="R53" i="29"/>
  <c r="S53" i="29"/>
  <c r="L52" i="29" a="1"/>
  <c r="L52" i="29" s="1"/>
  <c r="Z52" i="29"/>
  <c r="H52" i="29" a="1"/>
  <c r="H52" i="29" s="1"/>
  <c r="O52" i="29" s="1"/>
  <c r="Q52" i="29"/>
  <c r="R52" i="29"/>
  <c r="S52" i="29"/>
  <c r="L51" i="29" a="1"/>
  <c r="L51" i="29" s="1"/>
  <c r="Z51" i="29"/>
  <c r="H51" i="29" a="1"/>
  <c r="H51" i="29" s="1"/>
  <c r="O51" i="29" s="1"/>
  <c r="Q51" i="29"/>
  <c r="R51" i="29"/>
  <c r="S51" i="29"/>
  <c r="L50" i="29" a="1"/>
  <c r="L50" i="29" s="1"/>
  <c r="Z50" i="29"/>
  <c r="H50" i="29" a="1"/>
  <c r="H50" i="29" s="1"/>
  <c r="O50" i="29" s="1"/>
  <c r="Q50" i="29"/>
  <c r="R50" i="29"/>
  <c r="S50" i="29"/>
  <c r="L49" i="29" a="1"/>
  <c r="L49" i="29" s="1"/>
  <c r="Z49" i="29"/>
  <c r="H49" i="29" a="1"/>
  <c r="H49" i="29" s="1"/>
  <c r="O49" i="29" s="1"/>
  <c r="Q49" i="29"/>
  <c r="R49" i="29"/>
  <c r="S49" i="29"/>
  <c r="L48" i="29" a="1"/>
  <c r="L48" i="29" s="1"/>
  <c r="Z48" i="29"/>
  <c r="H48" i="29" a="1"/>
  <c r="H48" i="29" s="1"/>
  <c r="O48" i="29" s="1"/>
  <c r="Q48" i="29"/>
  <c r="R48" i="29"/>
  <c r="S48" i="29"/>
  <c r="L47" i="29" a="1"/>
  <c r="L47" i="29" s="1"/>
  <c r="Z47" i="29"/>
  <c r="H47" i="29" a="1"/>
  <c r="H47" i="29" s="1"/>
  <c r="O47" i="29" s="1"/>
  <c r="Q47" i="29"/>
  <c r="R47" i="29"/>
  <c r="S47" i="29"/>
  <c r="L46" i="29" a="1"/>
  <c r="L46" i="29" s="1"/>
  <c r="Z46" i="29"/>
  <c r="H46" i="29" a="1"/>
  <c r="H46" i="29" s="1"/>
  <c r="Q46" i="29"/>
  <c r="R46" i="29"/>
  <c r="S46" i="29"/>
  <c r="L45" i="29" a="1"/>
  <c r="L45" i="29" s="1"/>
  <c r="Z45" i="29"/>
  <c r="H45" i="29" a="1"/>
  <c r="H45" i="29" s="1"/>
  <c r="O45" i="29" s="1"/>
  <c r="Q45" i="29"/>
  <c r="R45" i="29"/>
  <c r="S45" i="29"/>
  <c r="L44" i="29" a="1"/>
  <c r="L44" i="29" s="1"/>
  <c r="Z44" i="29"/>
  <c r="H44" i="29" a="1"/>
  <c r="H44" i="29" s="1"/>
  <c r="O44" i="29" s="1"/>
  <c r="Q44" i="29"/>
  <c r="R44" i="29"/>
  <c r="S44" i="29"/>
  <c r="L43" i="29" a="1"/>
  <c r="L43" i="29" s="1"/>
  <c r="Z43" i="29"/>
  <c r="H43" i="29" a="1"/>
  <c r="H43" i="29" s="1"/>
  <c r="O43" i="29" s="1"/>
  <c r="Q43" i="29"/>
  <c r="R43" i="29"/>
  <c r="S43" i="29"/>
  <c r="L42" i="29" a="1"/>
  <c r="L42" i="29" s="1"/>
  <c r="Z42" i="29"/>
  <c r="H42" i="29" a="1"/>
  <c r="H42" i="29" s="1"/>
  <c r="O42" i="29" s="1"/>
  <c r="Q42" i="29"/>
  <c r="R42" i="29"/>
  <c r="S42" i="29"/>
  <c r="L41" i="29" a="1"/>
  <c r="L41" i="29" s="1"/>
  <c r="Z41" i="29"/>
  <c r="H41" i="29" a="1"/>
  <c r="H41" i="29" s="1"/>
  <c r="O41" i="29" s="1"/>
  <c r="Q41" i="29"/>
  <c r="R41" i="29"/>
  <c r="S41" i="29"/>
  <c r="L40" i="29" a="1"/>
  <c r="L40" i="29" s="1"/>
  <c r="Z40" i="29"/>
  <c r="H40" i="29" a="1"/>
  <c r="H40" i="29" s="1"/>
  <c r="O40" i="29" s="1"/>
  <c r="Q40" i="29"/>
  <c r="R40" i="29"/>
  <c r="S40" i="29"/>
  <c r="L39" i="29" a="1"/>
  <c r="L39" i="29" s="1"/>
  <c r="Z39" i="29"/>
  <c r="H39" i="29" a="1"/>
  <c r="H39" i="29" s="1"/>
  <c r="O39" i="29" s="1"/>
  <c r="Q39" i="29"/>
  <c r="R39" i="29"/>
  <c r="S39" i="29"/>
  <c r="L38" i="29" a="1"/>
  <c r="L38" i="29" s="1"/>
  <c r="Z38" i="29"/>
  <c r="H38" i="29" a="1"/>
  <c r="H38" i="29" s="1"/>
  <c r="O38" i="29" s="1"/>
  <c r="Q38" i="29"/>
  <c r="R38" i="29"/>
  <c r="S38" i="29"/>
  <c r="L37" i="29" a="1"/>
  <c r="L37" i="29" s="1"/>
  <c r="Z37" i="29"/>
  <c r="H37" i="29" a="1"/>
  <c r="H37" i="29" s="1"/>
  <c r="O37" i="29" s="1"/>
  <c r="Q37" i="29"/>
  <c r="R37" i="29"/>
  <c r="S37" i="29"/>
  <c r="L36" i="29" a="1"/>
  <c r="L36" i="29" s="1"/>
  <c r="Z36" i="29"/>
  <c r="H36" i="29" a="1"/>
  <c r="H36" i="29" s="1"/>
  <c r="O36" i="29" s="1"/>
  <c r="Q36" i="29"/>
  <c r="R36" i="29"/>
  <c r="S36" i="29"/>
  <c r="L35" i="29" a="1"/>
  <c r="L35" i="29" s="1"/>
  <c r="Z35" i="29"/>
  <c r="H35" i="29" a="1"/>
  <c r="H35" i="29" s="1"/>
  <c r="O35" i="29" s="1"/>
  <c r="Q35" i="29"/>
  <c r="R35" i="29"/>
  <c r="S35" i="29"/>
  <c r="L34" i="29" a="1"/>
  <c r="L34" i="29" s="1"/>
  <c r="Z34" i="29"/>
  <c r="H34" i="29" a="1"/>
  <c r="H34" i="29" s="1"/>
  <c r="O34" i="29" s="1"/>
  <c r="Q34" i="29"/>
  <c r="R34" i="29"/>
  <c r="S34" i="29"/>
  <c r="L33" i="29" a="1"/>
  <c r="L33" i="29" s="1"/>
  <c r="Z33" i="29"/>
  <c r="H33" i="29" a="1"/>
  <c r="H33" i="29" s="1"/>
  <c r="O33" i="29" s="1"/>
  <c r="Q33" i="29"/>
  <c r="R33" i="29"/>
  <c r="S33" i="29"/>
  <c r="L32" i="29" a="1"/>
  <c r="L32" i="29" s="1"/>
  <c r="Z32" i="29"/>
  <c r="H32" i="29" a="1"/>
  <c r="H32" i="29" s="1"/>
  <c r="O32" i="29" s="1"/>
  <c r="Q32" i="29"/>
  <c r="R32" i="29"/>
  <c r="S32" i="29"/>
  <c r="L31" i="29" a="1"/>
  <c r="L31" i="29" s="1"/>
  <c r="Z31" i="29"/>
  <c r="H31" i="29" a="1"/>
  <c r="H31" i="29" s="1"/>
  <c r="O31" i="29" s="1"/>
  <c r="Q31" i="29"/>
  <c r="R31" i="29"/>
  <c r="S31" i="29"/>
  <c r="L30" i="29" a="1"/>
  <c r="L30" i="29" s="1"/>
  <c r="Z30" i="29"/>
  <c r="H30" i="29" a="1"/>
  <c r="H30" i="29" s="1"/>
  <c r="O30" i="29" s="1"/>
  <c r="Q30" i="29"/>
  <c r="R30" i="29"/>
  <c r="S30" i="29"/>
  <c r="L29" i="29" a="1"/>
  <c r="L29" i="29" s="1"/>
  <c r="Z29" i="29"/>
  <c r="H29" i="29" a="1"/>
  <c r="H29" i="29" s="1"/>
  <c r="O29" i="29" s="1"/>
  <c r="Q29" i="29"/>
  <c r="R29" i="29"/>
  <c r="S29" i="29"/>
  <c r="L28" i="29" a="1"/>
  <c r="L28" i="29" s="1"/>
  <c r="Z28" i="29"/>
  <c r="H28" i="29" a="1"/>
  <c r="H28" i="29" s="1"/>
  <c r="O28" i="29" s="1"/>
  <c r="Q28" i="29"/>
  <c r="R28" i="29"/>
  <c r="S28" i="29"/>
  <c r="L27" i="29" a="1"/>
  <c r="L27" i="29" s="1"/>
  <c r="Z27" i="29"/>
  <c r="H27" i="29" a="1"/>
  <c r="H27" i="29" s="1"/>
  <c r="Q27" i="29"/>
  <c r="R27" i="29"/>
  <c r="S27" i="29"/>
  <c r="L26" i="29" a="1"/>
  <c r="L26" i="29" s="1"/>
  <c r="Z26" i="29"/>
  <c r="H26" i="29" a="1"/>
  <c r="H26" i="29" s="1"/>
  <c r="O26" i="29" s="1"/>
  <c r="Q26" i="29"/>
  <c r="R26" i="29"/>
  <c r="S26" i="29"/>
  <c r="L25" i="29" a="1"/>
  <c r="L25" i="29" s="1"/>
  <c r="Z25" i="29"/>
  <c r="H25" i="29" a="1"/>
  <c r="H25" i="29" s="1"/>
  <c r="O25" i="29" s="1"/>
  <c r="Q25" i="29"/>
  <c r="R25" i="29"/>
  <c r="S25" i="29"/>
  <c r="L24" i="29" a="1"/>
  <c r="L24" i="29" s="1"/>
  <c r="Z24" i="29"/>
  <c r="H24" i="29" a="1"/>
  <c r="H24" i="29" s="1"/>
  <c r="O24" i="29" s="1"/>
  <c r="Q24" i="29"/>
  <c r="R24" i="29"/>
  <c r="S24" i="29"/>
  <c r="L23" i="29" a="1"/>
  <c r="L23" i="29" s="1"/>
  <c r="Z23" i="29"/>
  <c r="H23" i="29" a="1"/>
  <c r="H23" i="29" s="1"/>
  <c r="O23" i="29" s="1"/>
  <c r="Q23" i="29"/>
  <c r="R23" i="29"/>
  <c r="S23" i="29"/>
  <c r="L22" i="29" a="1"/>
  <c r="L22" i="29" s="1"/>
  <c r="Z22" i="29"/>
  <c r="H22" i="29" a="1"/>
  <c r="H22" i="29" s="1"/>
  <c r="O22" i="29" s="1"/>
  <c r="Q22" i="29"/>
  <c r="R22" i="29"/>
  <c r="S22" i="29"/>
  <c r="L21" i="29" a="1"/>
  <c r="L21" i="29" s="1"/>
  <c r="Z21" i="29"/>
  <c r="H21" i="29" a="1"/>
  <c r="H21" i="29" s="1"/>
  <c r="O21" i="29" s="1"/>
  <c r="Q21" i="29"/>
  <c r="R21" i="29"/>
  <c r="S21" i="29"/>
  <c r="L20" i="29" a="1"/>
  <c r="L20" i="29" s="1"/>
  <c r="Z20" i="29"/>
  <c r="H20" i="29" a="1"/>
  <c r="H20" i="29" s="1"/>
  <c r="O20" i="29" s="1"/>
  <c r="Q20" i="29"/>
  <c r="R20" i="29"/>
  <c r="S20" i="29"/>
  <c r="L19" i="29" a="1"/>
  <c r="L19" i="29" s="1"/>
  <c r="Z19" i="29"/>
  <c r="H19" i="29" a="1"/>
  <c r="H19" i="29" s="1"/>
  <c r="O19" i="29" s="1"/>
  <c r="Q19" i="29"/>
  <c r="R19" i="29"/>
  <c r="S19" i="29"/>
  <c r="L18" i="29" a="1"/>
  <c r="L18" i="29" s="1"/>
  <c r="Z18" i="29"/>
  <c r="H18" i="29" a="1"/>
  <c r="H18" i="29" s="1"/>
  <c r="O18" i="29" s="1"/>
  <c r="Q18" i="29"/>
  <c r="R18" i="29"/>
  <c r="S18" i="29"/>
  <c r="L17" i="29" a="1"/>
  <c r="L17" i="29" s="1"/>
  <c r="Z17" i="29"/>
  <c r="H17" i="29" a="1"/>
  <c r="H17" i="29" s="1"/>
  <c r="O17" i="29" s="1"/>
  <c r="Q17" i="29"/>
  <c r="R17" i="29"/>
  <c r="S17" i="29"/>
  <c r="L16" i="29" a="1"/>
  <c r="L16" i="29" s="1"/>
  <c r="Z16" i="29"/>
  <c r="H16" i="29" a="1"/>
  <c r="H16" i="29" s="1"/>
  <c r="O16" i="29" s="1"/>
  <c r="Q16" i="29"/>
  <c r="R16" i="29"/>
  <c r="S16" i="29"/>
  <c r="L15" i="29" a="1"/>
  <c r="L15" i="29" s="1"/>
  <c r="Z15" i="29"/>
  <c r="H15" i="29" a="1"/>
  <c r="H15" i="29" s="1"/>
  <c r="O15" i="29" s="1"/>
  <c r="Q15" i="29"/>
  <c r="R15" i="29"/>
  <c r="S15" i="29"/>
  <c r="L14" i="29" a="1"/>
  <c r="L14" i="29" s="1"/>
  <c r="Z14" i="29"/>
  <c r="H14" i="29" a="1"/>
  <c r="H14" i="29" s="1"/>
  <c r="O14" i="29" s="1"/>
  <c r="Q14" i="29"/>
  <c r="R14" i="29"/>
  <c r="S14" i="29"/>
  <c r="L13" i="29" a="1"/>
  <c r="L13" i="29" s="1"/>
  <c r="Z13" i="29"/>
  <c r="H13" i="29" a="1"/>
  <c r="H13" i="29" s="1"/>
  <c r="O13" i="29" s="1"/>
  <c r="Q13" i="29"/>
  <c r="R13" i="29"/>
  <c r="S13" i="29"/>
  <c r="L12" i="29" a="1"/>
  <c r="L12" i="29" s="1"/>
  <c r="Z12" i="29"/>
  <c r="H12" i="29" a="1"/>
  <c r="H12" i="29" s="1"/>
  <c r="O12" i="29" s="1"/>
  <c r="Q12" i="29"/>
  <c r="R12" i="29"/>
  <c r="S12" i="29"/>
  <c r="L11" i="29" a="1"/>
  <c r="L11" i="29" s="1"/>
  <c r="Z11" i="29"/>
  <c r="H11" i="29" a="1"/>
  <c r="H11" i="29" s="1"/>
  <c r="Q11" i="29"/>
  <c r="R11" i="29"/>
  <c r="S11" i="29"/>
  <c r="L10" i="29" a="1"/>
  <c r="L10" i="29" s="1"/>
  <c r="Z10" i="29"/>
  <c r="H10" i="29" a="1"/>
  <c r="H10" i="29" s="1"/>
  <c r="O10" i="29" s="1"/>
  <c r="Q10" i="29"/>
  <c r="R10" i="29"/>
  <c r="S10" i="29"/>
  <c r="L9" i="29" a="1"/>
  <c r="L9" i="29" s="1"/>
  <c r="Z9" i="29"/>
  <c r="H9" i="29" a="1"/>
  <c r="H9" i="29" s="1"/>
  <c r="O9" i="29" s="1"/>
  <c r="Q9" i="29"/>
  <c r="R9" i="29"/>
  <c r="S9" i="29"/>
  <c r="L8" i="29" a="1"/>
  <c r="L8" i="29" s="1"/>
  <c r="Z8" i="29"/>
  <c r="H8" i="29" a="1"/>
  <c r="H8" i="29" s="1"/>
  <c r="O8" i="29" s="1"/>
  <c r="Q8" i="29"/>
  <c r="R8" i="29"/>
  <c r="S8" i="29"/>
  <c r="L7" i="29" a="1"/>
  <c r="L7" i="29" s="1"/>
  <c r="Z7" i="29"/>
  <c r="H7" i="29" a="1"/>
  <c r="H7" i="29" s="1"/>
  <c r="O7" i="29" s="1"/>
  <c r="Q7" i="29"/>
  <c r="R7" i="29"/>
  <c r="S7" i="29"/>
  <c r="L6" i="29" a="1"/>
  <c r="L6" i="29" s="1"/>
  <c r="Z6" i="29"/>
  <c r="H6" i="29" a="1"/>
  <c r="H6" i="29" s="1"/>
  <c r="O6" i="29" s="1"/>
  <c r="Q6" i="29"/>
  <c r="R6" i="29"/>
  <c r="S6" i="29"/>
  <c r="L5" i="29" a="1"/>
  <c r="L5" i="29" s="1"/>
  <c r="Z5" i="29"/>
  <c r="H5" i="29" a="1"/>
  <c r="H5" i="29" s="1"/>
  <c r="O5" i="29" s="1"/>
  <c r="Q5" i="29"/>
  <c r="R5" i="29"/>
  <c r="S5" i="29"/>
  <c r="V27" i="27"/>
  <c r="F126" i="27" s="1"/>
  <c r="O46" i="29"/>
  <c r="J4" i="29" a="1"/>
  <c r="J4" i="29" s="1"/>
  <c r="J5" i="29" a="1"/>
  <c r="J5" i="29" s="1"/>
  <c r="J6" i="29" a="1"/>
  <c r="J6" i="29" s="1"/>
  <c r="J7" i="29" a="1"/>
  <c r="J7" i="29" s="1"/>
  <c r="J8" i="29" a="1"/>
  <c r="J8" i="29" s="1"/>
  <c r="J9" i="29" a="1"/>
  <c r="J9" i="29" s="1"/>
  <c r="J10" i="29" a="1"/>
  <c r="J10" i="29" s="1"/>
  <c r="J11" i="29" a="1"/>
  <c r="J11" i="29" s="1"/>
  <c r="J12" i="29" a="1"/>
  <c r="J12" i="29" s="1"/>
  <c r="J13" i="29" a="1"/>
  <c r="J13" i="29" s="1"/>
  <c r="J15" i="29" a="1"/>
  <c r="J15" i="29" s="1"/>
  <c r="J16" i="29" a="1"/>
  <c r="J16" i="29" s="1"/>
  <c r="J17" i="29" a="1"/>
  <c r="J17" i="29" s="1"/>
  <c r="J18" i="29" a="1"/>
  <c r="J18" i="29" s="1"/>
  <c r="J19" i="29" a="1"/>
  <c r="J19" i="29" s="1"/>
  <c r="J20" i="29" a="1"/>
  <c r="J20" i="29" s="1"/>
  <c r="J21" i="29" a="1"/>
  <c r="J21" i="29" s="1"/>
  <c r="J22" i="29" a="1"/>
  <c r="J22" i="29" s="1"/>
  <c r="J23" i="29" a="1"/>
  <c r="J23" i="29" s="1"/>
  <c r="J24" i="29" a="1"/>
  <c r="J24" i="29" s="1"/>
  <c r="J25" i="29" a="1"/>
  <c r="J25" i="29" s="1"/>
  <c r="J26" i="29" a="1"/>
  <c r="J26" i="29" s="1"/>
  <c r="J27" i="29" a="1"/>
  <c r="J27" i="29" s="1"/>
  <c r="J28" i="29" a="1"/>
  <c r="J28" i="29" s="1"/>
  <c r="J29" i="29" a="1"/>
  <c r="J29" i="29" s="1"/>
  <c r="J30" i="29" a="1"/>
  <c r="J30" i="29" s="1"/>
  <c r="J31" i="29" a="1"/>
  <c r="J31" i="29" s="1"/>
  <c r="J32" i="29" a="1"/>
  <c r="J32" i="29" s="1"/>
  <c r="J33" i="29" a="1"/>
  <c r="J33" i="29" s="1"/>
  <c r="J34" i="29" a="1"/>
  <c r="J34" i="29" s="1"/>
  <c r="J35" i="29" a="1"/>
  <c r="J35" i="29" s="1"/>
  <c r="J36" i="29" a="1"/>
  <c r="J36" i="29" s="1"/>
  <c r="J37" i="29" a="1"/>
  <c r="J37" i="29" s="1"/>
  <c r="J38" i="29" a="1"/>
  <c r="J38" i="29" s="1"/>
  <c r="J39" i="29" a="1"/>
  <c r="J39" i="29" s="1"/>
  <c r="J40" i="29" a="1"/>
  <c r="J40" i="29" s="1"/>
  <c r="J41" i="29" a="1"/>
  <c r="J41" i="29" s="1"/>
  <c r="J42" i="29" a="1"/>
  <c r="J42" i="29" s="1"/>
  <c r="J43" i="29" a="1"/>
  <c r="J43" i="29" s="1"/>
  <c r="J44" i="29" a="1"/>
  <c r="J44" i="29" s="1"/>
  <c r="J45" i="29" a="1"/>
  <c r="J45" i="29" s="1"/>
  <c r="J46" i="29" a="1"/>
  <c r="J46" i="29" s="1"/>
  <c r="J47" i="29" a="1"/>
  <c r="J47" i="29" s="1"/>
  <c r="J48" i="29" a="1"/>
  <c r="J48" i="29" s="1"/>
  <c r="J49" i="29" a="1"/>
  <c r="J49" i="29" s="1"/>
  <c r="K49" i="29" s="1"/>
  <c r="J50" i="29" a="1"/>
  <c r="J50" i="29" s="1"/>
  <c r="J51" i="29" a="1"/>
  <c r="J51" i="29" s="1"/>
  <c r="J52" i="29" a="1"/>
  <c r="J52" i="29" s="1"/>
  <c r="J54" i="29" a="1"/>
  <c r="J54" i="29" s="1"/>
  <c r="J55" i="29" a="1"/>
  <c r="J55" i="29" s="1"/>
  <c r="J56" i="29" a="1"/>
  <c r="J56" i="29" s="1"/>
  <c r="J57" i="29" a="1"/>
  <c r="J57" i="29" s="1"/>
  <c r="J58" i="29" a="1"/>
  <c r="J58" i="29" s="1"/>
  <c r="J59" i="29" a="1"/>
  <c r="J59" i="29" s="1"/>
  <c r="J60" i="29" a="1"/>
  <c r="J60" i="29" s="1"/>
  <c r="J61" i="29" a="1"/>
  <c r="J61" i="29" s="1"/>
  <c r="J62" i="29" a="1"/>
  <c r="J62" i="29" s="1"/>
  <c r="J63" i="29" a="1"/>
  <c r="J63" i="29" s="1"/>
  <c r="J64" i="29" a="1"/>
  <c r="J64" i="29" s="1"/>
  <c r="K64" i="29" s="1"/>
  <c r="M64" i="29" s="1"/>
  <c r="N64" i="29" s="1"/>
  <c r="J65" i="29" a="1"/>
  <c r="J65" i="29" s="1"/>
  <c r="N103" i="27"/>
  <c r="L69" i="27"/>
  <c r="H81" i="27"/>
  <c r="I81" i="27" s="1"/>
  <c r="V81" i="27" s="1"/>
  <c r="AF81" i="27" s="1"/>
  <c r="AG81" i="27" s="1"/>
  <c r="N128" i="27"/>
  <c r="T127" i="27"/>
  <c r="X89" i="27"/>
  <c r="R127" i="27" s="1"/>
  <c r="T128" i="27"/>
  <c r="X90" i="27"/>
  <c r="R128" i="27" s="1"/>
  <c r="T129" i="27"/>
  <c r="X91" i="27"/>
  <c r="R129" i="27" s="1"/>
  <c r="T108" i="27"/>
  <c r="X64" i="27"/>
  <c r="R108" i="27" s="1"/>
  <c r="T111" i="27"/>
  <c r="X67" i="27"/>
  <c r="R111" i="27" s="1"/>
  <c r="T112" i="27"/>
  <c r="X68" i="27"/>
  <c r="R112" i="27" s="1"/>
  <c r="T115" i="27"/>
  <c r="X71" i="27"/>
  <c r="R115" i="27" s="1"/>
  <c r="T116" i="27"/>
  <c r="X72" i="27"/>
  <c r="R116" i="27" s="1"/>
  <c r="T117" i="27"/>
  <c r="X73" i="27"/>
  <c r="R117" i="27" s="1"/>
  <c r="T120" i="27"/>
  <c r="X76" i="27"/>
  <c r="R120" i="27" s="1"/>
  <c r="X82" i="27"/>
  <c r="R126" i="27" s="1"/>
  <c r="T121" i="27"/>
  <c r="X77" i="27"/>
  <c r="R121" i="27" s="1"/>
  <c r="T123" i="27"/>
  <c r="X79" i="27"/>
  <c r="R123" i="27" s="1"/>
  <c r="T122" i="27"/>
  <c r="X78" i="27"/>
  <c r="R122" i="27" s="1"/>
  <c r="I6" i="27"/>
  <c r="V6" i="27" s="1"/>
  <c r="F105" i="27" s="1"/>
  <c r="U9" i="27"/>
  <c r="U12" i="27"/>
  <c r="U16" i="27"/>
  <c r="U17" i="27"/>
  <c r="Q19" i="27"/>
  <c r="V19" i="27" s="1"/>
  <c r="F118" i="27" s="1"/>
  <c r="Q20" i="27"/>
  <c r="V20" i="27" s="1"/>
  <c r="F119" i="27" s="1"/>
  <c r="V22" i="27"/>
  <c r="F121" i="27" s="1"/>
  <c r="V23" i="27"/>
  <c r="F122" i="27" s="1"/>
  <c r="AE30" i="27"/>
  <c r="AC30" i="27"/>
  <c r="AA30" i="27"/>
  <c r="AA31" i="27"/>
  <c r="AC31" i="27"/>
  <c r="AA32" i="27"/>
  <c r="AC32" i="27"/>
  <c r="S87" i="27"/>
  <c r="H62" i="29" s="1" a="1"/>
  <c r="H62" i="29" s="1"/>
  <c r="O87" i="27"/>
  <c r="H60" i="29" s="1" a="1"/>
  <c r="H60" i="29" s="1"/>
  <c r="K87" i="27"/>
  <c r="H58" i="29" s="1" a="1"/>
  <c r="H58" i="29" s="1"/>
  <c r="I59" i="27"/>
  <c r="I61" i="27"/>
  <c r="V61" i="27" s="1"/>
  <c r="AF61" i="27" s="1"/>
  <c r="AG61" i="27" s="1"/>
  <c r="I62" i="27"/>
  <c r="V62" i="27" s="1"/>
  <c r="L85" i="27"/>
  <c r="P85" i="27"/>
  <c r="K83" i="27"/>
  <c r="I80" i="27"/>
  <c r="V80" i="27" s="1"/>
  <c r="T45" i="27"/>
  <c r="L47" i="27"/>
  <c r="M11" i="27"/>
  <c r="P47" i="27"/>
  <c r="T47" i="27"/>
  <c r="J53" i="29" a="1"/>
  <c r="J53" i="29" s="1"/>
  <c r="M15" i="27"/>
  <c r="V15" i="27" s="1"/>
  <c r="F114" i="27" s="1"/>
  <c r="O45" i="27"/>
  <c r="Q45" i="27" s="1"/>
  <c r="S45" i="27"/>
  <c r="U45" i="27" s="1"/>
  <c r="K45" i="27"/>
  <c r="H86" i="27"/>
  <c r="I86" i="27" s="1"/>
  <c r="I60" i="27"/>
  <c r="V60" i="27" s="1"/>
  <c r="AF60" i="27" s="1"/>
  <c r="AG60" i="27" s="1"/>
  <c r="P69" i="27"/>
  <c r="Q69" i="27" s="1"/>
  <c r="Q63" i="27"/>
  <c r="T85" i="27"/>
  <c r="L87" i="27"/>
  <c r="M66" i="27"/>
  <c r="V66" i="27" s="1"/>
  <c r="T87" i="27"/>
  <c r="M14" i="27"/>
  <c r="V14" i="27" s="1"/>
  <c r="F113" i="27" s="1"/>
  <c r="M10" i="27"/>
  <c r="V10" i="27" s="1"/>
  <c r="F109" i="27" s="1"/>
  <c r="O83" i="27"/>
  <c r="Q74" i="27"/>
  <c r="V74" i="27" s="1"/>
  <c r="AF74" i="27" s="1"/>
  <c r="AG74" i="27" s="1"/>
  <c r="U75" i="27"/>
  <c r="V75" i="27" s="1"/>
  <c r="AF75" i="27" s="1"/>
  <c r="AG75" i="27" s="1"/>
  <c r="M69" i="27"/>
  <c r="H46" i="27"/>
  <c r="I46" i="27" s="1"/>
  <c r="Q70" i="27"/>
  <c r="I4" i="27"/>
  <c r="V4" i="27" s="1"/>
  <c r="F103" i="27" s="1"/>
  <c r="M12" i="27"/>
  <c r="V12" i="27" s="1"/>
  <c r="F111" i="27" s="1"/>
  <c r="M16" i="27"/>
  <c r="U18" i="27"/>
  <c r="Q21" i="27"/>
  <c r="V24" i="27"/>
  <c r="F123" i="27" s="1"/>
  <c r="U70" i="27"/>
  <c r="M70" i="27"/>
  <c r="P87" i="27"/>
  <c r="AD30" i="27"/>
  <c r="AD31" i="27"/>
  <c r="AD32" i="27"/>
  <c r="L45" i="27"/>
  <c r="S47" i="27"/>
  <c r="M63" i="27"/>
  <c r="E85" i="27"/>
  <c r="E131" i="27" s="1"/>
  <c r="S28" i="27"/>
  <c r="Z30" i="27"/>
  <c r="Z31" i="27"/>
  <c r="AE31" i="27"/>
  <c r="Z32" i="27"/>
  <c r="AE32" i="27"/>
  <c r="O47" i="27"/>
  <c r="Q65" i="27"/>
  <c r="V65" i="27" s="1"/>
  <c r="AF65" i="27" s="1"/>
  <c r="AG65" i="27" s="1"/>
  <c r="S83" i="27"/>
  <c r="Q11" i="27"/>
  <c r="K47" i="27"/>
  <c r="AG14" i="29" l="1" a="1"/>
  <c r="AG14" i="29" s="1"/>
  <c r="AE14" i="29" a="1"/>
  <c r="AE14" i="29" s="1"/>
  <c r="AE18" i="29" a="1"/>
  <c r="AE18" i="29" s="1"/>
  <c r="AG18" i="29" a="1"/>
  <c r="AG18" i="29" s="1"/>
  <c r="AE65" i="29" a="1"/>
  <c r="AE65" i="29" s="1"/>
  <c r="AG65" i="29" a="1"/>
  <c r="AG65" i="29" s="1"/>
  <c r="AG5" i="29" a="1"/>
  <c r="AG5" i="29" s="1"/>
  <c r="AE5" i="29" a="1"/>
  <c r="AE5" i="29" s="1"/>
  <c r="AE13" i="29" a="1"/>
  <c r="AE13" i="29" s="1"/>
  <c r="AG13" i="29" a="1"/>
  <c r="AG13" i="29" s="1"/>
  <c r="AE17" i="29" a="1"/>
  <c r="AE17" i="29" s="1"/>
  <c r="AG17" i="29" a="1"/>
  <c r="AG17" i="29" s="1"/>
  <c r="AE21" i="29" a="1"/>
  <c r="AE21" i="29" s="1"/>
  <c r="AG21" i="29" a="1"/>
  <c r="AG21" i="29" s="1"/>
  <c r="AE25" i="29" a="1"/>
  <c r="AE25" i="29" s="1"/>
  <c r="AG25" i="29" a="1"/>
  <c r="AG25" i="29" s="1"/>
  <c r="AE29" i="29" a="1"/>
  <c r="AE29" i="29" s="1"/>
  <c r="AG29" i="29" a="1"/>
  <c r="AG29" i="29" s="1"/>
  <c r="AG33" i="29" a="1"/>
  <c r="AG33" i="29" s="1"/>
  <c r="AE33" i="29" a="1"/>
  <c r="AE33" i="29" s="1"/>
  <c r="AE53" i="29" a="1"/>
  <c r="AE53" i="29" s="1"/>
  <c r="AG53" i="29" a="1"/>
  <c r="AG53" i="29" s="1"/>
  <c r="AE62" i="29" a="1"/>
  <c r="AE62" i="29" s="1"/>
  <c r="AG62" i="29" a="1"/>
  <c r="AG62" i="29" s="1"/>
  <c r="AG4" i="29" a="1"/>
  <c r="AG4" i="29" s="1"/>
  <c r="AE4" i="29" a="1"/>
  <c r="AE4" i="29" s="1"/>
  <c r="AG57" i="29" a="1"/>
  <c r="AG57" i="29" s="1"/>
  <c r="AE57" i="29" a="1"/>
  <c r="AE57" i="29" s="1"/>
  <c r="AG9" i="29" a="1"/>
  <c r="AG9" i="29" s="1"/>
  <c r="AE9" i="29" a="1"/>
  <c r="AE9" i="29" s="1"/>
  <c r="AE37" i="29" a="1"/>
  <c r="AE37" i="29" s="1"/>
  <c r="AG37" i="29" a="1"/>
  <c r="AG37" i="29" s="1"/>
  <c r="AG41" i="29" a="1"/>
  <c r="AG41" i="29" s="1"/>
  <c r="AE41" i="29" a="1"/>
  <c r="AE41" i="29" s="1"/>
  <c r="AE45" i="29" a="1"/>
  <c r="AE45" i="29" s="1"/>
  <c r="AG45" i="29" a="1"/>
  <c r="AG45" i="29" s="1"/>
  <c r="AG49" i="29" a="1"/>
  <c r="AG49" i="29" s="1"/>
  <c r="AE49" i="29" a="1"/>
  <c r="AE49" i="29" s="1"/>
  <c r="AG59" i="29" a="1"/>
  <c r="AG59" i="29" s="1"/>
  <c r="AE59" i="29" a="1"/>
  <c r="AE59" i="29" s="1"/>
  <c r="AG12" i="29" a="1"/>
  <c r="AG12" i="29" s="1"/>
  <c r="AE12" i="29" a="1"/>
  <c r="AE12" i="29" s="1"/>
  <c r="AE24" i="29" a="1"/>
  <c r="AE24" i="29" s="1"/>
  <c r="AG24" i="29" a="1"/>
  <c r="AG24" i="29" s="1"/>
  <c r="AG28" i="29" a="1"/>
  <c r="AG28" i="29" s="1"/>
  <c r="AE28" i="29" a="1"/>
  <c r="AE28" i="29" s="1"/>
  <c r="AE32" i="29" a="1"/>
  <c r="AE32" i="29" s="1"/>
  <c r="AG32" i="29" a="1"/>
  <c r="AG32" i="29" s="1"/>
  <c r="AG44" i="29" a="1"/>
  <c r="AG44" i="29" s="1"/>
  <c r="AE44" i="29" a="1"/>
  <c r="AE44" i="29" s="1"/>
  <c r="AG48" i="29" a="1"/>
  <c r="AG48" i="29" s="1"/>
  <c r="AE48" i="29" a="1"/>
  <c r="AE48" i="29" s="1"/>
  <c r="AE52" i="29" a="1"/>
  <c r="AE52" i="29" s="1"/>
  <c r="AG52" i="29" a="1"/>
  <c r="AG52" i="29" s="1"/>
  <c r="AG56" i="29" a="1"/>
  <c r="AG56" i="29" s="1"/>
  <c r="AE56" i="29" a="1"/>
  <c r="AE56" i="29" s="1"/>
  <c r="AE61" i="29" a="1"/>
  <c r="AE61" i="29" s="1"/>
  <c r="AG61" i="29" a="1"/>
  <c r="AG61" i="29" s="1"/>
  <c r="AG8" i="29" a="1"/>
  <c r="AG8" i="29" s="1"/>
  <c r="AE8" i="29" a="1"/>
  <c r="AE8" i="29" s="1"/>
  <c r="AE20" i="29" a="1"/>
  <c r="AE20" i="29" s="1"/>
  <c r="AG20" i="29" a="1"/>
  <c r="AG20" i="29" s="1"/>
  <c r="AG7" i="29" a="1"/>
  <c r="AG7" i="29" s="1"/>
  <c r="AE7" i="29" a="1"/>
  <c r="AE7" i="29" s="1"/>
  <c r="AE11" i="29" a="1"/>
  <c r="AE11" i="29" s="1"/>
  <c r="AG11" i="29" a="1"/>
  <c r="AG11" i="29" s="1"/>
  <c r="AG15" i="29" a="1"/>
  <c r="AG15" i="29" s="1"/>
  <c r="AE15" i="29" a="1"/>
  <c r="AE15" i="29" s="1"/>
  <c r="AE19" i="29" a="1"/>
  <c r="AE19" i="29" s="1"/>
  <c r="AG19" i="29" a="1"/>
  <c r="AG19" i="29" s="1"/>
  <c r="AG23" i="29" a="1"/>
  <c r="AG23" i="29" s="1"/>
  <c r="AE23" i="29" a="1"/>
  <c r="AE23" i="29" s="1"/>
  <c r="AE58" i="29" a="1"/>
  <c r="AE58" i="29" s="1"/>
  <c r="AG58" i="29" a="1"/>
  <c r="AG58" i="29" s="1"/>
  <c r="AG64" i="29" a="1"/>
  <c r="AG64" i="29" s="1"/>
  <c r="AE64" i="29" a="1"/>
  <c r="AE64" i="29" s="1"/>
  <c r="AE16" i="29" a="1"/>
  <c r="AE16" i="29" s="1"/>
  <c r="AG16" i="29" a="1"/>
  <c r="AG16" i="29" s="1"/>
  <c r="AE36" i="29" a="1"/>
  <c r="AE36" i="29" s="1"/>
  <c r="AG36" i="29" a="1"/>
  <c r="AG36" i="29" s="1"/>
  <c r="AG40" i="29" a="1"/>
  <c r="AG40" i="29" s="1"/>
  <c r="AE40" i="29" a="1"/>
  <c r="AE40" i="29" s="1"/>
  <c r="AG27" i="29" a="1"/>
  <c r="AG27" i="29" s="1"/>
  <c r="AE27" i="29" a="1"/>
  <c r="AE27" i="29" s="1"/>
  <c r="AE31" i="29" a="1"/>
  <c r="AE31" i="29" s="1"/>
  <c r="AG31" i="29" a="1"/>
  <c r="AG31" i="29" s="1"/>
  <c r="AE35" i="29" a="1"/>
  <c r="AE35" i="29" s="1"/>
  <c r="AG35" i="29" a="1"/>
  <c r="AG35" i="29" s="1"/>
  <c r="AE39" i="29" a="1"/>
  <c r="AE39" i="29" s="1"/>
  <c r="AG39" i="29" a="1"/>
  <c r="AG39" i="29" s="1"/>
  <c r="AE43" i="29" a="1"/>
  <c r="AE43" i="29" s="1"/>
  <c r="AG43" i="29" a="1"/>
  <c r="AG43" i="29" s="1"/>
  <c r="AE47" i="29" a="1"/>
  <c r="AE47" i="29" s="1"/>
  <c r="AG47" i="29" a="1"/>
  <c r="AG47" i="29" s="1"/>
  <c r="AE51" i="29" a="1"/>
  <c r="AE51" i="29" s="1"/>
  <c r="AG51" i="29" a="1"/>
  <c r="AG51" i="29" s="1"/>
  <c r="AE55" i="29" a="1"/>
  <c r="AE55" i="29" s="1"/>
  <c r="AG55" i="29" a="1"/>
  <c r="AG55" i="29" s="1"/>
  <c r="AG6" i="29" a="1"/>
  <c r="AG6" i="29" s="1"/>
  <c r="AE6" i="29" a="1"/>
  <c r="AE6" i="29" s="1"/>
  <c r="AG10" i="29" a="1"/>
  <c r="AG10" i="29" s="1"/>
  <c r="AE10" i="29" a="1"/>
  <c r="AE10" i="29" s="1"/>
  <c r="AE22" i="29" a="1"/>
  <c r="AE22" i="29" s="1"/>
  <c r="AG22" i="29" a="1"/>
  <c r="AG22" i="29" s="1"/>
  <c r="AE26" i="29" a="1"/>
  <c r="AE26" i="29" s="1"/>
  <c r="AG26" i="29" a="1"/>
  <c r="AG26" i="29" s="1"/>
  <c r="AG30" i="29" a="1"/>
  <c r="AG30" i="29" s="1"/>
  <c r="AE30" i="29" a="1"/>
  <c r="AE30" i="29" s="1"/>
  <c r="AG34" i="29" a="1"/>
  <c r="AG34" i="29" s="1"/>
  <c r="AE34" i="29" a="1"/>
  <c r="AE34" i="29" s="1"/>
  <c r="AE38" i="29" a="1"/>
  <c r="AE38" i="29" s="1"/>
  <c r="AG38" i="29" a="1"/>
  <c r="AG38" i="29" s="1"/>
  <c r="AG42" i="29" a="1"/>
  <c r="AG42" i="29" s="1"/>
  <c r="AE42" i="29" a="1"/>
  <c r="AE42" i="29" s="1"/>
  <c r="AE46" i="29" a="1"/>
  <c r="AE46" i="29" s="1"/>
  <c r="AG46" i="29" a="1"/>
  <c r="AG46" i="29" s="1"/>
  <c r="AG50" i="29" a="1"/>
  <c r="AG50" i="29" s="1"/>
  <c r="AE50" i="29" a="1"/>
  <c r="AE50" i="29" s="1"/>
  <c r="AE54" i="29" a="1"/>
  <c r="AE54" i="29" s="1"/>
  <c r="AG54" i="29" a="1"/>
  <c r="AG54" i="29" s="1"/>
  <c r="AG60" i="29" a="1"/>
  <c r="AG60" i="29" s="1"/>
  <c r="AE60" i="29" a="1"/>
  <c r="AE60" i="29" s="1"/>
  <c r="AE63" i="29" a="1"/>
  <c r="AE63" i="29" s="1"/>
  <c r="AG63" i="29" a="1"/>
  <c r="AG63" i="29" s="1"/>
  <c r="V21" i="27"/>
  <c r="F120" i="27" s="1"/>
  <c r="V18" i="27"/>
  <c r="F117" i="27" s="1"/>
  <c r="V16" i="27"/>
  <c r="F115" i="27" s="1"/>
  <c r="V11" i="27"/>
  <c r="F110" i="27" s="1"/>
  <c r="V13" i="27"/>
  <c r="F112" i="27" s="1"/>
  <c r="V9" i="27"/>
  <c r="F108" i="27" s="1"/>
  <c r="V8" i="27"/>
  <c r="F107" i="27" s="1"/>
  <c r="V17" i="27"/>
  <c r="F116" i="27" s="1"/>
  <c r="M87" i="27"/>
  <c r="AF62" i="27"/>
  <c r="AG62" i="27" s="1"/>
  <c r="K55" i="29"/>
  <c r="M55" i="29" s="1"/>
  <c r="AF64" i="27"/>
  <c r="AG64" i="27" s="1"/>
  <c r="AF76" i="27"/>
  <c r="AG76" i="27" s="1"/>
  <c r="U47" i="27"/>
  <c r="U83" i="27"/>
  <c r="U84" i="27" s="1"/>
  <c r="AA33" i="27"/>
  <c r="V69" i="27"/>
  <c r="AF69" i="27" s="1"/>
  <c r="AG69" i="27" s="1"/>
  <c r="G28" i="27"/>
  <c r="V25" i="27"/>
  <c r="F124" i="27" s="1"/>
  <c r="AF73" i="27"/>
  <c r="AG73" i="27" s="1"/>
  <c r="M47" i="27"/>
  <c r="AC33" i="27"/>
  <c r="AC36" i="27" s="1"/>
  <c r="V63" i="27"/>
  <c r="I28" i="27"/>
  <c r="I29" i="27" s="1"/>
  <c r="K46" i="29"/>
  <c r="M46" i="29" s="1"/>
  <c r="M45" i="27"/>
  <c r="V70" i="27"/>
  <c r="AF70" i="27" s="1"/>
  <c r="AG70" i="27" s="1"/>
  <c r="U28" i="27"/>
  <c r="U29" i="27" s="1"/>
  <c r="N117" i="27"/>
  <c r="K14" i="29"/>
  <c r="M14" i="29" s="1"/>
  <c r="K28" i="27"/>
  <c r="K30" i="29"/>
  <c r="M30" i="29" s="1"/>
  <c r="K6" i="29"/>
  <c r="M6" i="29" s="1"/>
  <c r="K54" i="29"/>
  <c r="M54" i="29" s="1"/>
  <c r="O28" i="27"/>
  <c r="AF82" i="27"/>
  <c r="AG82" i="27" s="1"/>
  <c r="P135" i="27"/>
  <c r="AE63" i="27"/>
  <c r="AF63" i="27" s="1"/>
  <c r="K63" i="29"/>
  <c r="M63" i="29" s="1"/>
  <c r="N63" i="29" s="1"/>
  <c r="K38" i="29"/>
  <c r="M38" i="29" s="1"/>
  <c r="K22" i="29"/>
  <c r="M22" i="29" s="1"/>
  <c r="Q47" i="27"/>
  <c r="Q48" i="27" s="1"/>
  <c r="U87" i="27"/>
  <c r="K50" i="29"/>
  <c r="M50" i="29" s="1"/>
  <c r="K42" i="29"/>
  <c r="M42" i="29" s="1"/>
  <c r="K37" i="29"/>
  <c r="M37" i="29" s="1"/>
  <c r="K45" i="29"/>
  <c r="M45" i="29" s="1"/>
  <c r="K53" i="29"/>
  <c r="M53" i="29" s="1"/>
  <c r="K4" i="29"/>
  <c r="M4" i="29" s="1"/>
  <c r="K34" i="29"/>
  <c r="M34" i="29" s="1"/>
  <c r="K41" i="29"/>
  <c r="M41" i="29" s="1"/>
  <c r="K33" i="29"/>
  <c r="M33" i="29" s="1"/>
  <c r="K48" i="29"/>
  <c r="M48" i="29" s="1"/>
  <c r="K32" i="29"/>
  <c r="M32" i="29" s="1"/>
  <c r="K7" i="29"/>
  <c r="M7" i="29" s="1"/>
  <c r="K29" i="29"/>
  <c r="M29" i="29" s="1"/>
  <c r="K21" i="29"/>
  <c r="M21" i="29" s="1"/>
  <c r="K40" i="29"/>
  <c r="M40" i="29" s="1"/>
  <c r="K52" i="29"/>
  <c r="M52" i="29" s="1"/>
  <c r="K36" i="29"/>
  <c r="M36" i="29" s="1"/>
  <c r="K44" i="29"/>
  <c r="M44" i="29" s="1"/>
  <c r="K24" i="29"/>
  <c r="M24" i="29" s="1"/>
  <c r="K25" i="29"/>
  <c r="M25" i="29" s="1"/>
  <c r="K9" i="29"/>
  <c r="M9" i="29" s="1"/>
  <c r="M49" i="29"/>
  <c r="K17" i="29"/>
  <c r="M17" i="29" s="1"/>
  <c r="K13" i="29"/>
  <c r="M13" i="29" s="1"/>
  <c r="K65" i="29"/>
  <c r="M65" i="29" s="1"/>
  <c r="N65" i="29" s="1"/>
  <c r="K5" i="29"/>
  <c r="M5" i="29" s="1"/>
  <c r="K16" i="29"/>
  <c r="M16" i="29" s="1"/>
  <c r="K28" i="29"/>
  <c r="M28" i="29" s="1"/>
  <c r="K20" i="29"/>
  <c r="M20" i="29" s="1"/>
  <c r="K12" i="29"/>
  <c r="M12" i="29" s="1"/>
  <c r="K19" i="29"/>
  <c r="M19" i="29" s="1"/>
  <c r="K27" i="29"/>
  <c r="M27" i="29" s="1"/>
  <c r="K35" i="29"/>
  <c r="M35" i="29" s="1"/>
  <c r="K43" i="29"/>
  <c r="M43" i="29" s="1"/>
  <c r="K51" i="29"/>
  <c r="M51" i="29" s="1"/>
  <c r="K11" i="29"/>
  <c r="M11" i="29" s="1"/>
  <c r="K26" i="29"/>
  <c r="M26" i="29" s="1"/>
  <c r="K18" i="29"/>
  <c r="M18" i="29" s="1"/>
  <c r="K10" i="29"/>
  <c r="M10" i="29" s="1"/>
  <c r="K8" i="29"/>
  <c r="M8" i="29" s="1"/>
  <c r="O27" i="29"/>
  <c r="O11" i="29"/>
  <c r="K56" i="29"/>
  <c r="M56" i="29" s="1"/>
  <c r="N56" i="29" s="1"/>
  <c r="K47" i="29"/>
  <c r="M47" i="29" s="1"/>
  <c r="K39" i="29"/>
  <c r="M39" i="29" s="1"/>
  <c r="K31" i="29"/>
  <c r="M31" i="29" s="1"/>
  <c r="K23" i="29"/>
  <c r="M23" i="29" s="1"/>
  <c r="K15" i="29"/>
  <c r="M15" i="29" s="1"/>
  <c r="F23" i="28"/>
  <c r="G5" i="28"/>
  <c r="F13" i="28"/>
  <c r="F40" i="28"/>
  <c r="D40" i="28"/>
  <c r="G32" i="28"/>
  <c r="T110" i="27"/>
  <c r="AF66" i="27"/>
  <c r="AG66" i="27" s="1"/>
  <c r="AI50" i="29"/>
  <c r="AF80" i="27"/>
  <c r="AG80" i="27" s="1"/>
  <c r="T125" i="27"/>
  <c r="X81" i="27"/>
  <c r="R125" i="27" s="1"/>
  <c r="T109" i="27"/>
  <c r="X65" i="27"/>
  <c r="R109" i="27" s="1"/>
  <c r="T107" i="27"/>
  <c r="X63" i="27"/>
  <c r="R107" i="27" s="1"/>
  <c r="T114" i="27"/>
  <c r="X70" i="27"/>
  <c r="R114" i="27" s="1"/>
  <c r="T113" i="27"/>
  <c r="X69" i="27"/>
  <c r="R113" i="27" s="1"/>
  <c r="T119" i="27"/>
  <c r="X75" i="27"/>
  <c r="R119" i="27" s="1"/>
  <c r="T118" i="27"/>
  <c r="X74" i="27"/>
  <c r="R118" i="27" s="1"/>
  <c r="X66" i="27"/>
  <c r="R110" i="27" s="1"/>
  <c r="T104" i="27"/>
  <c r="X60" i="27"/>
  <c r="R104" i="27" s="1"/>
  <c r="T124" i="27"/>
  <c r="X80" i="27"/>
  <c r="R124" i="27" s="1"/>
  <c r="T106" i="27"/>
  <c r="X62" i="27"/>
  <c r="R106" i="27" s="1"/>
  <c r="T105" i="27"/>
  <c r="X61" i="27"/>
  <c r="R105" i="27" s="1"/>
  <c r="AE33" i="27"/>
  <c r="AE35" i="27" s="1"/>
  <c r="S85" i="27"/>
  <c r="H61" i="29" s="1" a="1"/>
  <c r="H61" i="29" s="1"/>
  <c r="O85" i="27"/>
  <c r="H59" i="29" s="1" a="1"/>
  <c r="H59" i="29" s="1"/>
  <c r="K85" i="27"/>
  <c r="H57" i="29" s="1" a="1"/>
  <c r="H57" i="29" s="1"/>
  <c r="V86" i="27"/>
  <c r="I88" i="27"/>
  <c r="V59" i="27"/>
  <c r="I83" i="27"/>
  <c r="I84" i="27" s="1"/>
  <c r="M83" i="27"/>
  <c r="M84" i="27" s="1"/>
  <c r="Q28" i="27"/>
  <c r="Q29" i="27" s="1"/>
  <c r="Z33" i="27"/>
  <c r="Z37" i="27" s="1"/>
  <c r="Q83" i="27"/>
  <c r="Q84" i="27" s="1"/>
  <c r="M48" i="27"/>
  <c r="V45" i="27"/>
  <c r="V47" i="27"/>
  <c r="AD33" i="27"/>
  <c r="Q87" i="27"/>
  <c r="V87" i="27" s="1"/>
  <c r="AA36" i="27"/>
  <c r="AA37" i="27"/>
  <c r="AA38" i="27"/>
  <c r="AA34" i="27"/>
  <c r="AA35" i="27"/>
  <c r="U48" i="27"/>
  <c r="I48" i="27"/>
  <c r="V46" i="27"/>
  <c r="F136" i="27" l="1"/>
  <c r="M28" i="27"/>
  <c r="M29" i="27" s="1"/>
  <c r="W29" i="27" s="1"/>
  <c r="AC34" i="27"/>
  <c r="U85" i="27"/>
  <c r="U88" i="27" s="1"/>
  <c r="AC35" i="27"/>
  <c r="AC39" i="27" s="1"/>
  <c r="AC43" i="27" s="1"/>
  <c r="AC37" i="27"/>
  <c r="AC38" i="27"/>
  <c r="AI8" i="29"/>
  <c r="AE36" i="27"/>
  <c r="Z34" i="27"/>
  <c r="AE38" i="27"/>
  <c r="AE34" i="27"/>
  <c r="AE37" i="27"/>
  <c r="AG63" i="27"/>
  <c r="N107" i="27"/>
  <c r="N134" i="27" s="1"/>
  <c r="AE92" i="27"/>
  <c r="Z38" i="27"/>
  <c r="Z36" i="27"/>
  <c r="Z39" i="27" s="1"/>
  <c r="Z43" i="27" s="1"/>
  <c r="Z35" i="27"/>
  <c r="M85" i="27"/>
  <c r="M88" i="27" s="1"/>
  <c r="V88" i="27" s="1"/>
  <c r="AF88" i="27" s="1"/>
  <c r="AG88" i="27" s="1"/>
  <c r="Q85" i="27"/>
  <c r="H32" i="28"/>
  <c r="H40" i="28" s="1"/>
  <c r="G38" i="28"/>
  <c r="I38" i="28" s="1"/>
  <c r="G37" i="28"/>
  <c r="I37" i="28" s="1"/>
  <c r="G36" i="28"/>
  <c r="I36" i="28" s="1"/>
  <c r="G39" i="28"/>
  <c r="I39" i="28" s="1"/>
  <c r="G34" i="28"/>
  <c r="I34" i="28" s="1"/>
  <c r="G35" i="28"/>
  <c r="I35" i="28" s="1"/>
  <c r="G33" i="28"/>
  <c r="I33" i="28" s="1"/>
  <c r="G13" i="28"/>
  <c r="H5" i="28"/>
  <c r="H13" i="28" s="1"/>
  <c r="F31" i="28"/>
  <c r="D31" i="28"/>
  <c r="T133" i="27"/>
  <c r="AF87" i="27"/>
  <c r="AI4" i="29"/>
  <c r="AF59" i="27"/>
  <c r="T132" i="27"/>
  <c r="AF86" i="27"/>
  <c r="K62" i="29"/>
  <c r="M62" i="29" s="1"/>
  <c r="N62" i="29" s="1"/>
  <c r="O62" i="29"/>
  <c r="K60" i="29"/>
  <c r="M60" i="29" s="1"/>
  <c r="N60" i="29" s="1"/>
  <c r="O60" i="29"/>
  <c r="K58" i="29"/>
  <c r="M58" i="29" s="1"/>
  <c r="N58" i="29" s="1"/>
  <c r="O58" i="29"/>
  <c r="T103" i="27"/>
  <c r="T130" i="27" s="1"/>
  <c r="X59" i="27"/>
  <c r="R103" i="27" s="1"/>
  <c r="R134" i="27" s="1"/>
  <c r="Q88" i="27"/>
  <c r="V85" i="27"/>
  <c r="V84" i="27"/>
  <c r="AF84" i="27" s="1"/>
  <c r="AG84" i="27" s="1"/>
  <c r="AA39" i="27"/>
  <c r="AA43" i="27" s="1"/>
  <c r="AD38" i="27"/>
  <c r="AD34" i="27"/>
  <c r="AD35" i="27"/>
  <c r="AD36" i="27"/>
  <c r="AD37" i="27"/>
  <c r="W48" i="27"/>
  <c r="V28" i="27" l="1"/>
  <c r="V33" i="27" s="1"/>
  <c r="V35" i="27" s="1"/>
  <c r="J136" i="27"/>
  <c r="J133" i="27" s="1"/>
  <c r="N135" i="27"/>
  <c r="AE39" i="27"/>
  <c r="AE43" i="27" s="1"/>
  <c r="AA69" i="29"/>
  <c r="AA139" i="27"/>
  <c r="AA140" i="27" s="1"/>
  <c r="I40" i="28"/>
  <c r="G28" i="28"/>
  <c r="I28" i="28" s="1"/>
  <c r="G27" i="28"/>
  <c r="I27" i="28" s="1"/>
  <c r="G23" i="28"/>
  <c r="G30" i="28"/>
  <c r="I30" i="28" s="1"/>
  <c r="G29" i="28"/>
  <c r="I29" i="28" s="1"/>
  <c r="G26" i="28"/>
  <c r="I26" i="28" s="1"/>
  <c r="G24" i="28"/>
  <c r="I24" i="28" s="1"/>
  <c r="G25" i="28"/>
  <c r="I25" i="28" s="1"/>
  <c r="G40" i="28"/>
  <c r="T131" i="27"/>
  <c r="T134" i="27" s="1"/>
  <c r="AI56" i="29"/>
  <c r="AF85" i="27"/>
  <c r="AG86" i="27"/>
  <c r="AG59" i="27"/>
  <c r="AG87" i="27"/>
  <c r="AA147" i="27"/>
  <c r="AE69" i="29"/>
  <c r="K61" i="29"/>
  <c r="M61" i="29" s="1"/>
  <c r="N61" i="29" s="1"/>
  <c r="O61" i="29"/>
  <c r="K59" i="29"/>
  <c r="M59" i="29" s="1"/>
  <c r="N59" i="29" s="1"/>
  <c r="O59" i="29"/>
  <c r="K57" i="29"/>
  <c r="M57" i="29" s="1"/>
  <c r="O57" i="29"/>
  <c r="W33" i="27"/>
  <c r="W34" i="27" s="1"/>
  <c r="Y29" i="27"/>
  <c r="AD39" i="27"/>
  <c r="AD43" i="27" s="1"/>
  <c r="V94" i="27"/>
  <c r="V97" i="27"/>
  <c r="V93" i="27"/>
  <c r="V96" i="27"/>
  <c r="V95" i="27"/>
  <c r="U89" i="26"/>
  <c r="U88" i="26"/>
  <c r="U87" i="26"/>
  <c r="D81" i="26"/>
  <c r="J80" i="26"/>
  <c r="L80" i="26" s="1"/>
  <c r="R79" i="26"/>
  <c r="N79" i="26"/>
  <c r="J79" i="26"/>
  <c r="R78" i="26"/>
  <c r="N78" i="26"/>
  <c r="J78" i="26"/>
  <c r="R77" i="26"/>
  <c r="T77" i="26" s="1"/>
  <c r="N77" i="26"/>
  <c r="J77" i="26"/>
  <c r="R76" i="26"/>
  <c r="N76" i="26"/>
  <c r="J76" i="26"/>
  <c r="R75" i="26"/>
  <c r="N75" i="26"/>
  <c r="J75" i="26"/>
  <c r="R74" i="26"/>
  <c r="N74" i="26"/>
  <c r="J74" i="26"/>
  <c r="R73" i="26"/>
  <c r="N73" i="26"/>
  <c r="J73" i="26"/>
  <c r="L73" i="26" s="1"/>
  <c r="R72" i="26"/>
  <c r="N72" i="26"/>
  <c r="P72" i="26" s="1"/>
  <c r="J72" i="26"/>
  <c r="R71" i="26"/>
  <c r="N71" i="26"/>
  <c r="J71" i="26"/>
  <c r="R70" i="26"/>
  <c r="N70" i="26"/>
  <c r="J70" i="26"/>
  <c r="R69" i="26"/>
  <c r="N69" i="26"/>
  <c r="J69" i="26"/>
  <c r="R68" i="26"/>
  <c r="N68" i="26"/>
  <c r="J68" i="26"/>
  <c r="R67" i="26"/>
  <c r="N67" i="26"/>
  <c r="J67" i="26"/>
  <c r="R66" i="26"/>
  <c r="N66" i="26"/>
  <c r="P66" i="26" s="1"/>
  <c r="J66" i="26"/>
  <c r="L66" i="26" s="1"/>
  <c r="R65" i="26"/>
  <c r="N65" i="26"/>
  <c r="P65" i="26" s="1"/>
  <c r="J65" i="26"/>
  <c r="L65" i="26" s="1"/>
  <c r="R64" i="26"/>
  <c r="N64" i="26"/>
  <c r="P64" i="26" s="1"/>
  <c r="J64" i="26"/>
  <c r="S69" i="26"/>
  <c r="S79" i="26" s="1"/>
  <c r="T79" i="26" s="1"/>
  <c r="R63" i="26"/>
  <c r="O69" i="26"/>
  <c r="N63" i="26"/>
  <c r="K69" i="26"/>
  <c r="J63" i="26"/>
  <c r="S68" i="26"/>
  <c r="R62" i="26"/>
  <c r="O68" i="26"/>
  <c r="N62" i="26"/>
  <c r="K68" i="26"/>
  <c r="L68" i="26" s="1"/>
  <c r="J62" i="26"/>
  <c r="F61" i="26"/>
  <c r="H60" i="26"/>
  <c r="F60" i="26"/>
  <c r="F59" i="26"/>
  <c r="F58" i="26"/>
  <c r="D85" i="26"/>
  <c r="D84" i="26"/>
  <c r="F84" i="26" s="1"/>
  <c r="N44" i="26"/>
  <c r="AB40" i="26"/>
  <c r="AA40" i="26"/>
  <c r="Z40" i="26"/>
  <c r="Y40" i="26"/>
  <c r="X40" i="26"/>
  <c r="AB31" i="26"/>
  <c r="U31" i="26"/>
  <c r="AB30" i="26"/>
  <c r="U30" i="26"/>
  <c r="AB29" i="26"/>
  <c r="U29" i="26"/>
  <c r="D27" i="26"/>
  <c r="J26" i="26"/>
  <c r="L26" i="26" s="1"/>
  <c r="R25" i="26"/>
  <c r="N25" i="26"/>
  <c r="J25" i="26"/>
  <c r="R24" i="26"/>
  <c r="N24" i="26"/>
  <c r="P24" i="26" s="1"/>
  <c r="J24" i="26"/>
  <c r="R23" i="26"/>
  <c r="T23" i="26" s="1"/>
  <c r="P23" i="26"/>
  <c r="N23" i="26"/>
  <c r="J23" i="26"/>
  <c r="L23" i="26" s="1"/>
  <c r="R22" i="26"/>
  <c r="N22" i="26"/>
  <c r="P22" i="26" s="1"/>
  <c r="J22" i="26"/>
  <c r="R21" i="26"/>
  <c r="N21" i="26"/>
  <c r="J21" i="26"/>
  <c r="L21" i="26" s="1"/>
  <c r="T20" i="26"/>
  <c r="R20" i="26"/>
  <c r="N20" i="26"/>
  <c r="P20" i="26" s="1"/>
  <c r="J20" i="26"/>
  <c r="R19" i="26"/>
  <c r="T19" i="26" s="1"/>
  <c r="N19" i="26"/>
  <c r="J19" i="26"/>
  <c r="R18" i="26"/>
  <c r="N18" i="26"/>
  <c r="L18" i="26"/>
  <c r="J18" i="26"/>
  <c r="R17" i="26"/>
  <c r="N17" i="26"/>
  <c r="J17" i="26"/>
  <c r="R16" i="26"/>
  <c r="N16" i="26"/>
  <c r="P16" i="26" s="1"/>
  <c r="J16" i="26"/>
  <c r="S25" i="26"/>
  <c r="R15" i="26"/>
  <c r="O25" i="26"/>
  <c r="N15" i="26"/>
  <c r="K25" i="26"/>
  <c r="J15" i="26"/>
  <c r="R14" i="26"/>
  <c r="N14" i="26"/>
  <c r="J14" i="26"/>
  <c r="R13" i="26"/>
  <c r="N13" i="26"/>
  <c r="J13" i="26"/>
  <c r="R12" i="26"/>
  <c r="N12" i="26"/>
  <c r="J12" i="26"/>
  <c r="R11" i="26"/>
  <c r="N11" i="26"/>
  <c r="J11" i="26"/>
  <c r="R10" i="26"/>
  <c r="N10" i="26"/>
  <c r="J10" i="26"/>
  <c r="R9" i="26"/>
  <c r="N9" i="26"/>
  <c r="K46" i="26"/>
  <c r="J9" i="26"/>
  <c r="R8" i="26"/>
  <c r="P8" i="26"/>
  <c r="N8" i="26"/>
  <c r="J8" i="26"/>
  <c r="F7" i="26"/>
  <c r="F6" i="26"/>
  <c r="F5" i="26"/>
  <c r="F4" i="26"/>
  <c r="V34" i="27" l="1"/>
  <c r="V36" i="27"/>
  <c r="V38" i="27"/>
  <c r="V37" i="27"/>
  <c r="J128" i="27"/>
  <c r="W64" i="29" s="1"/>
  <c r="J111" i="27"/>
  <c r="W12" i="29" s="1"/>
  <c r="J126" i="27"/>
  <c r="W55" i="29" s="1"/>
  <c r="J131" i="27"/>
  <c r="W59" i="29" s="1"/>
  <c r="J129" i="27"/>
  <c r="W65" i="29" s="1"/>
  <c r="J104" i="27"/>
  <c r="W5" i="29" s="1"/>
  <c r="W38" i="27"/>
  <c r="J124" i="27"/>
  <c r="W53" i="29" s="1"/>
  <c r="W58" i="29"/>
  <c r="W62" i="29"/>
  <c r="W60" i="29"/>
  <c r="J127" i="27"/>
  <c r="W63" i="29" s="1"/>
  <c r="J118" i="27"/>
  <c r="J109" i="27"/>
  <c r="J113" i="27"/>
  <c r="J108" i="27"/>
  <c r="W9" i="29" s="1"/>
  <c r="J103" i="27"/>
  <c r="W4" i="29" s="1"/>
  <c r="J120" i="27"/>
  <c r="W35" i="29" s="1"/>
  <c r="J107" i="27"/>
  <c r="W36" i="29" s="1"/>
  <c r="J121" i="27"/>
  <c r="W50" i="29" s="1"/>
  <c r="J110" i="27"/>
  <c r="J105" i="27"/>
  <c r="W6" i="29" s="1"/>
  <c r="J132" i="27"/>
  <c r="W56" i="29" s="1"/>
  <c r="J119" i="27"/>
  <c r="J123" i="27"/>
  <c r="W52" i="29" s="1"/>
  <c r="J112" i="27"/>
  <c r="J106" i="27"/>
  <c r="W7" i="29" s="1"/>
  <c r="J125" i="27"/>
  <c r="W54" i="29" s="1"/>
  <c r="J122" i="27"/>
  <c r="W51" i="29" s="1"/>
  <c r="J116" i="27"/>
  <c r="W17" i="29" s="1"/>
  <c r="J115" i="27"/>
  <c r="J130" i="27"/>
  <c r="J114" i="27"/>
  <c r="J117" i="27"/>
  <c r="AA7" i="29" a="1"/>
  <c r="AA7" i="29" s="1"/>
  <c r="AA12" i="29" a="1"/>
  <c r="AA12" i="29" s="1"/>
  <c r="AA18" i="29" a="1"/>
  <c r="AA18" i="29" s="1"/>
  <c r="AA31" i="29" a="1"/>
  <c r="AA31" i="29" s="1"/>
  <c r="AA37" i="29" a="1"/>
  <c r="AA37" i="29" s="1"/>
  <c r="AA44" i="29" a="1"/>
  <c r="AA44" i="29" s="1"/>
  <c r="AA50" i="29" a="1"/>
  <c r="AA50" i="29" s="1"/>
  <c r="AA64" i="29" a="1"/>
  <c r="AA64" i="29" s="1"/>
  <c r="AA19" i="29" a="1"/>
  <c r="AA19" i="29" s="1"/>
  <c r="AA25" i="29" a="1"/>
  <c r="AA25" i="29" s="1"/>
  <c r="AA32" i="29" a="1"/>
  <c r="AA32" i="29" s="1"/>
  <c r="AA38" i="29" a="1"/>
  <c r="AA38" i="29" s="1"/>
  <c r="AA51" i="29" a="1"/>
  <c r="AA51" i="29" s="1"/>
  <c r="AA57" i="29" a="1"/>
  <c r="AA57" i="29" s="1"/>
  <c r="AA65" i="29" a="1"/>
  <c r="AA65" i="29" s="1"/>
  <c r="AA8" i="29" a="1"/>
  <c r="AA8" i="29" s="1"/>
  <c r="AA13" i="29" a="1"/>
  <c r="AA13" i="29" s="1"/>
  <c r="AA20" i="29" a="1"/>
  <c r="AA20" i="29" s="1"/>
  <c r="AA26" i="29" a="1"/>
  <c r="AA26" i="29" s="1"/>
  <c r="AA39" i="29" a="1"/>
  <c r="AA39" i="29" s="1"/>
  <c r="AA45" i="29" a="1"/>
  <c r="AA45" i="29" s="1"/>
  <c r="AA52" i="29" a="1"/>
  <c r="AA52" i="29" s="1"/>
  <c r="AA58" i="29" a="1"/>
  <c r="AA58" i="29" s="1"/>
  <c r="AA4" i="29" a="1"/>
  <c r="AA4" i="29" s="1"/>
  <c r="AA54" i="29" a="1"/>
  <c r="AA54" i="29" s="1"/>
  <c r="AA49" i="29" a="1"/>
  <c r="AA49" i="29" s="1"/>
  <c r="AA14" i="29" a="1"/>
  <c r="AA14" i="29" s="1"/>
  <c r="AA27" i="29" a="1"/>
  <c r="AA27" i="29" s="1"/>
  <c r="AA33" i="29" a="1"/>
  <c r="AA33" i="29" s="1"/>
  <c r="AA40" i="29" a="1"/>
  <c r="AA40" i="29" s="1"/>
  <c r="AA46" i="29" a="1"/>
  <c r="AA46" i="29" s="1"/>
  <c r="AA59" i="29" a="1"/>
  <c r="AA59" i="29" s="1"/>
  <c r="AA60" i="29" a="1"/>
  <c r="AA60" i="29" s="1"/>
  <c r="AA43" i="29" a="1"/>
  <c r="AA43" i="29" s="1"/>
  <c r="AA9" i="29" a="1"/>
  <c r="AA9" i="29" s="1"/>
  <c r="AA15" i="29" a="1"/>
  <c r="AA15" i="29" s="1"/>
  <c r="AA21" i="29" a="1"/>
  <c r="AA21" i="29" s="1"/>
  <c r="AA28" i="29" a="1"/>
  <c r="AA28" i="29" s="1"/>
  <c r="AA34" i="29" a="1"/>
  <c r="AA34" i="29" s="1"/>
  <c r="AA47" i="29" a="1"/>
  <c r="AA47" i="29" s="1"/>
  <c r="AA53" i="29" a="1"/>
  <c r="AA53" i="29" s="1"/>
  <c r="AA61" i="29" a="1"/>
  <c r="AA61" i="29" s="1"/>
  <c r="AA5" i="29" a="1"/>
  <c r="AA5" i="29" s="1"/>
  <c r="AA10" i="29" a="1"/>
  <c r="AA10" i="29" s="1"/>
  <c r="AA16" i="29" a="1"/>
  <c r="AA16" i="29" s="1"/>
  <c r="AA22" i="29" a="1"/>
  <c r="AA22" i="29" s="1"/>
  <c r="AA35" i="29" a="1"/>
  <c r="AA35" i="29" s="1"/>
  <c r="AA41" i="29" a="1"/>
  <c r="AA41" i="29" s="1"/>
  <c r="AA48" i="29" a="1"/>
  <c r="AA48" i="29" s="1"/>
  <c r="AA24" i="29" a="1"/>
  <c r="AA24" i="29" s="1"/>
  <c r="AA56" i="29" a="1"/>
  <c r="AA56" i="29" s="1"/>
  <c r="AA11" i="29" a="1"/>
  <c r="AA11" i="29" s="1"/>
  <c r="AA23" i="29" a="1"/>
  <c r="AA23" i="29" s="1"/>
  <c r="AA29" i="29" a="1"/>
  <c r="AA29" i="29" s="1"/>
  <c r="AA36" i="29" a="1"/>
  <c r="AA36" i="29" s="1"/>
  <c r="AA42" i="29" a="1"/>
  <c r="AA42" i="29" s="1"/>
  <c r="AA55" i="29" a="1"/>
  <c r="AA55" i="29" s="1"/>
  <c r="AA62" i="29" a="1"/>
  <c r="AA62" i="29" s="1"/>
  <c r="AA6" i="29" a="1"/>
  <c r="AA6" i="29" s="1"/>
  <c r="AA17" i="29" a="1"/>
  <c r="AA17" i="29" s="1"/>
  <c r="AA30" i="29" a="1"/>
  <c r="AA30" i="29" s="1"/>
  <c r="AA63" i="29" a="1"/>
  <c r="AA63" i="29" s="1"/>
  <c r="W26" i="29"/>
  <c r="W40" i="29"/>
  <c r="W49" i="29"/>
  <c r="W21" i="29"/>
  <c r="W47" i="29"/>
  <c r="W42" i="29"/>
  <c r="W25" i="29"/>
  <c r="W10" i="29"/>
  <c r="W57" i="29"/>
  <c r="W61" i="29"/>
  <c r="W36" i="27"/>
  <c r="W37" i="27"/>
  <c r="W35" i="27"/>
  <c r="I31" i="28"/>
  <c r="G31" i="28"/>
  <c r="H23" i="28"/>
  <c r="H31" i="28" s="1"/>
  <c r="AA148" i="27"/>
  <c r="AG85" i="27"/>
  <c r="N57" i="29"/>
  <c r="M68" i="29"/>
  <c r="O68" i="29" s="1"/>
  <c r="AA151" i="27"/>
  <c r="AG69" i="29"/>
  <c r="Y5" i="27"/>
  <c r="N5" i="29" s="1"/>
  <c r="Y6" i="27"/>
  <c r="N6" i="29" s="1"/>
  <c r="Y7" i="27"/>
  <c r="N7" i="29" s="1"/>
  <c r="Y8" i="27"/>
  <c r="Y9" i="27"/>
  <c r="Y10" i="27"/>
  <c r="Y11" i="27"/>
  <c r="Y12" i="27"/>
  <c r="Y13" i="27"/>
  <c r="Y14" i="27"/>
  <c r="Y15" i="27"/>
  <c r="Y16" i="27"/>
  <c r="Y17" i="27"/>
  <c r="Y18" i="27"/>
  <c r="Y19" i="27"/>
  <c r="Y20" i="27"/>
  <c r="Y21" i="27"/>
  <c r="Y22" i="27"/>
  <c r="N50" i="29" s="1"/>
  <c r="Y23" i="27"/>
  <c r="N51" i="29" s="1"/>
  <c r="Y24" i="27"/>
  <c r="N52" i="29" s="1"/>
  <c r="Y25" i="27"/>
  <c r="N53" i="29" s="1"/>
  <c r="Y26" i="27"/>
  <c r="N54" i="29" s="1"/>
  <c r="Y27" i="27"/>
  <c r="N55" i="29" s="1"/>
  <c r="Y4" i="27"/>
  <c r="N4" i="29" s="1"/>
  <c r="Z5" i="27"/>
  <c r="Z6" i="27"/>
  <c r="Z7" i="27"/>
  <c r="Z27" i="27"/>
  <c r="Z4" i="27"/>
  <c r="Z9" i="27"/>
  <c r="Z13" i="27"/>
  <c r="Z17" i="27"/>
  <c r="Z18" i="27"/>
  <c r="Z19" i="27"/>
  <c r="Z20" i="27"/>
  <c r="Z21" i="27"/>
  <c r="Z8" i="27"/>
  <c r="Z25" i="27"/>
  <c r="Z24" i="27"/>
  <c r="Z16" i="27"/>
  <c r="Z12" i="27"/>
  <c r="Z10" i="27"/>
  <c r="Z14" i="27"/>
  <c r="Z15" i="27"/>
  <c r="Z11" i="27"/>
  <c r="Z23" i="27"/>
  <c r="Z22" i="27"/>
  <c r="V39" i="27"/>
  <c r="V98" i="27"/>
  <c r="R81" i="26"/>
  <c r="J27" i="26"/>
  <c r="L19" i="26"/>
  <c r="T21" i="26"/>
  <c r="T66" i="26"/>
  <c r="T71" i="26"/>
  <c r="P74" i="26"/>
  <c r="L77" i="26"/>
  <c r="L72" i="26"/>
  <c r="T74" i="26"/>
  <c r="P77" i="26"/>
  <c r="T78" i="26"/>
  <c r="H6" i="26"/>
  <c r="T12" i="26"/>
  <c r="L64" i="26"/>
  <c r="F27" i="26"/>
  <c r="L11" i="26"/>
  <c r="T13" i="26"/>
  <c r="T25" i="26"/>
  <c r="G84" i="26"/>
  <c r="L14" i="26"/>
  <c r="L16" i="26"/>
  <c r="H58" i="26"/>
  <c r="P73" i="26"/>
  <c r="L74" i="26"/>
  <c r="H61" i="26"/>
  <c r="P62" i="26"/>
  <c r="P70" i="26"/>
  <c r="L76" i="26"/>
  <c r="T76" i="26"/>
  <c r="L9" i="26"/>
  <c r="T9" i="26"/>
  <c r="P10" i="26"/>
  <c r="T11" i="26"/>
  <c r="P12" i="26"/>
  <c r="L13" i="26"/>
  <c r="T16" i="26"/>
  <c r="T18" i="26"/>
  <c r="T24" i="26"/>
  <c r="L67" i="26"/>
  <c r="T67" i="26"/>
  <c r="T70" i="26"/>
  <c r="P71" i="26"/>
  <c r="L75" i="26"/>
  <c r="T75" i="26"/>
  <c r="P78" i="26"/>
  <c r="T8" i="26"/>
  <c r="T10" i="26"/>
  <c r="P14" i="26"/>
  <c r="L15" i="26"/>
  <c r="T15" i="26"/>
  <c r="P19" i="26"/>
  <c r="P21" i="26"/>
  <c r="J44" i="26"/>
  <c r="P63" i="26"/>
  <c r="P68" i="26"/>
  <c r="H7" i="26"/>
  <c r="O44" i="26"/>
  <c r="P44" i="26" s="1"/>
  <c r="K44" i="26"/>
  <c r="P11" i="26"/>
  <c r="P13" i="26"/>
  <c r="L17" i="26"/>
  <c r="T17" i="26"/>
  <c r="P18" i="26"/>
  <c r="L22" i="26"/>
  <c r="L24" i="26"/>
  <c r="Z31" i="26"/>
  <c r="L10" i="26"/>
  <c r="S46" i="26"/>
  <c r="P15" i="26"/>
  <c r="Z29" i="26"/>
  <c r="Y30" i="26"/>
  <c r="T62" i="26"/>
  <c r="O83" i="26"/>
  <c r="K85" i="26"/>
  <c r="T68" i="26"/>
  <c r="Z30" i="26"/>
  <c r="Y31" i="26"/>
  <c r="J46" i="26"/>
  <c r="L46" i="26" s="1"/>
  <c r="J81" i="26"/>
  <c r="L63" i="26"/>
  <c r="K83" i="26"/>
  <c r="T64" i="26"/>
  <c r="T65" i="26"/>
  <c r="P67" i="26"/>
  <c r="L70" i="26"/>
  <c r="L71" i="26"/>
  <c r="T72" i="26"/>
  <c r="T73" i="26"/>
  <c r="P75" i="26"/>
  <c r="P76" i="26"/>
  <c r="L78" i="26"/>
  <c r="L25" i="26"/>
  <c r="S83" i="26"/>
  <c r="S85" i="26"/>
  <c r="S44" i="26"/>
  <c r="P25" i="26"/>
  <c r="Y29" i="26"/>
  <c r="H59" i="26"/>
  <c r="H81" i="26" s="1"/>
  <c r="H82" i="26" s="1"/>
  <c r="T63" i="26"/>
  <c r="AB32" i="26"/>
  <c r="N85" i="26"/>
  <c r="R85" i="26"/>
  <c r="T85" i="26" s="1"/>
  <c r="J85" i="26"/>
  <c r="L85" i="26" s="1"/>
  <c r="G45" i="26"/>
  <c r="H45" i="26" s="1"/>
  <c r="R27" i="26"/>
  <c r="N27" i="26"/>
  <c r="P69" i="26"/>
  <c r="O79" i="26"/>
  <c r="P79" i="26" s="1"/>
  <c r="T69" i="26"/>
  <c r="H4" i="26"/>
  <c r="H5" i="26"/>
  <c r="P9" i="26"/>
  <c r="O46" i="26"/>
  <c r="L12" i="26"/>
  <c r="T14" i="26"/>
  <c r="P17" i="26"/>
  <c r="L20" i="26"/>
  <c r="T22" i="26"/>
  <c r="H84" i="26"/>
  <c r="H86" i="26" s="1"/>
  <c r="L69" i="26"/>
  <c r="K79" i="26"/>
  <c r="L79" i="26" s="1"/>
  <c r="N81" i="26"/>
  <c r="L8" i="26"/>
  <c r="AA29" i="26"/>
  <c r="AA30" i="26"/>
  <c r="AA31" i="26"/>
  <c r="R46" i="26"/>
  <c r="L62" i="26"/>
  <c r="D83" i="26"/>
  <c r="F81" i="26"/>
  <c r="O85" i="26"/>
  <c r="X29" i="26"/>
  <c r="X30" i="26"/>
  <c r="X31" i="26"/>
  <c r="R44" i="26"/>
  <c r="T44" i="26" s="1"/>
  <c r="N46" i="26"/>
  <c r="I138" i="27" l="1"/>
  <c r="W20" i="29"/>
  <c r="W48" i="29"/>
  <c r="W34" i="29"/>
  <c r="W23" i="29"/>
  <c r="W37" i="29"/>
  <c r="W44" i="29"/>
  <c r="W30" i="29"/>
  <c r="W16" i="29"/>
  <c r="W14" i="29"/>
  <c r="W28" i="29"/>
  <c r="W31" i="29"/>
  <c r="W45" i="29"/>
  <c r="W24" i="29"/>
  <c r="W38" i="29"/>
  <c r="W11" i="29"/>
  <c r="W39" i="29"/>
  <c r="W19" i="29"/>
  <c r="W33" i="29"/>
  <c r="W8" i="29"/>
  <c r="W22" i="29"/>
  <c r="W18" i="29"/>
  <c r="W46" i="29"/>
  <c r="W32" i="29"/>
  <c r="W13" i="29"/>
  <c r="W27" i="29"/>
  <c r="W41" i="29"/>
  <c r="W15" i="29"/>
  <c r="W29" i="29"/>
  <c r="W43" i="29"/>
  <c r="W39" i="27"/>
  <c r="W43" i="27" s="1"/>
  <c r="AA152" i="27"/>
  <c r="AA153" i="27"/>
  <c r="AA149" i="27"/>
  <c r="AA141" i="27"/>
  <c r="N49" i="29"/>
  <c r="N35" i="29"/>
  <c r="N21" i="29"/>
  <c r="N48" i="29"/>
  <c r="N34" i="29"/>
  <c r="N20" i="29"/>
  <c r="N47" i="29"/>
  <c r="N33" i="29"/>
  <c r="N19" i="29"/>
  <c r="N46" i="29"/>
  <c r="N32" i="29"/>
  <c r="N18" i="29"/>
  <c r="N45" i="29"/>
  <c r="N31" i="29"/>
  <c r="N17" i="29"/>
  <c r="N44" i="29"/>
  <c r="N30" i="29"/>
  <c r="N16" i="29"/>
  <c r="N43" i="29"/>
  <c r="N29" i="29"/>
  <c r="N15" i="29"/>
  <c r="N42" i="29"/>
  <c r="N28" i="29"/>
  <c r="N14" i="29"/>
  <c r="N41" i="29"/>
  <c r="N27" i="29"/>
  <c r="N13" i="29"/>
  <c r="N40" i="29"/>
  <c r="N26" i="29"/>
  <c r="N12" i="29"/>
  <c r="N39" i="29"/>
  <c r="N25" i="29"/>
  <c r="N11" i="29"/>
  <c r="N38" i="29"/>
  <c r="N24" i="29"/>
  <c r="N10" i="29"/>
  <c r="N37" i="29"/>
  <c r="N23" i="29"/>
  <c r="N9" i="29"/>
  <c r="N36" i="29"/>
  <c r="N22" i="29"/>
  <c r="N8" i="29"/>
  <c r="T46" i="26"/>
  <c r="T47" i="26" s="1"/>
  <c r="L44" i="26"/>
  <c r="L47" i="26" s="1"/>
  <c r="T27" i="26"/>
  <c r="T28" i="26" s="1"/>
  <c r="T81" i="26"/>
  <c r="T82" i="26" s="1"/>
  <c r="P27" i="26"/>
  <c r="P28" i="26" s="1"/>
  <c r="L27" i="26"/>
  <c r="L28" i="26" s="1"/>
  <c r="P81" i="26"/>
  <c r="P82" i="26" s="1"/>
  <c r="Y32" i="26"/>
  <c r="Y34" i="26" s="1"/>
  <c r="Z32" i="26"/>
  <c r="Z37" i="26" s="1"/>
  <c r="Y37" i="26"/>
  <c r="X32" i="26"/>
  <c r="X34" i="26" s="1"/>
  <c r="Y36" i="26"/>
  <c r="J83" i="26"/>
  <c r="L83" i="26" s="1"/>
  <c r="L86" i="26" s="1"/>
  <c r="R83" i="26"/>
  <c r="T83" i="26" s="1"/>
  <c r="T86" i="26" s="1"/>
  <c r="N83" i="26"/>
  <c r="P83" i="26" s="1"/>
  <c r="Z35" i="26"/>
  <c r="P85" i="26"/>
  <c r="P46" i="26"/>
  <c r="P47" i="26" s="1"/>
  <c r="L81" i="26"/>
  <c r="L82" i="26" s="1"/>
  <c r="AA32" i="26"/>
  <c r="U44" i="26"/>
  <c r="H27" i="26"/>
  <c r="H47" i="26"/>
  <c r="U45" i="26"/>
  <c r="AB34" i="26"/>
  <c r="AB35" i="26"/>
  <c r="AB36" i="26"/>
  <c r="AB33" i="26"/>
  <c r="AB37" i="26"/>
  <c r="W68" i="29" l="1"/>
  <c r="N68" i="29"/>
  <c r="U82" i="26"/>
  <c r="Z36" i="26"/>
  <c r="X33" i="26"/>
  <c r="X36" i="26"/>
  <c r="Y33" i="26"/>
  <c r="Z34" i="26"/>
  <c r="Z33" i="26"/>
  <c r="Y35" i="26"/>
  <c r="Y38" i="26"/>
  <c r="AB38" i="26"/>
  <c r="X35" i="26"/>
  <c r="X37" i="26"/>
  <c r="AA37" i="26"/>
  <c r="AA33" i="26"/>
  <c r="AA34" i="26"/>
  <c r="AA35" i="26"/>
  <c r="AA36" i="26"/>
  <c r="U46" i="26"/>
  <c r="V47" i="26"/>
  <c r="H28" i="26"/>
  <c r="V28" i="26" s="1"/>
  <c r="V32" i="26" s="1"/>
  <c r="U27" i="26"/>
  <c r="U32" i="26" s="1"/>
  <c r="P86" i="26"/>
  <c r="U86" i="26" s="1"/>
  <c r="U90" i="26" s="1"/>
  <c r="Z38" i="26" l="1"/>
  <c r="Z42" i="26" s="1"/>
  <c r="X38" i="26"/>
  <c r="X42" i="26"/>
  <c r="AB42" i="26"/>
  <c r="Y42" i="26"/>
  <c r="AA38" i="26"/>
  <c r="U92" i="26"/>
  <c r="U95" i="26"/>
  <c r="U91" i="26"/>
  <c r="U94" i="26"/>
  <c r="U93" i="26"/>
  <c r="U36" i="26"/>
  <c r="U37" i="26"/>
  <c r="U33" i="26"/>
  <c r="U34" i="26"/>
  <c r="U35" i="26"/>
  <c r="V37" i="26"/>
  <c r="V33" i="26"/>
  <c r="V34" i="26"/>
  <c r="V35" i="26"/>
  <c r="V36" i="26"/>
  <c r="U96" i="26" l="1"/>
  <c r="V38" i="26"/>
  <c r="V42" i="26" s="1"/>
  <c r="AA42" i="26"/>
  <c r="U38" i="26"/>
  <c r="AG68" i="29"/>
  <c r="AE68" i="29"/>
  <c r="AA68" i="29"/>
  <c r="AA142" i="27" l="1"/>
  <c r="AA150" i="27"/>
  <c r="AA154" i="27"/>
  <c r="Y68" i="29"/>
  <c r="AI68" i="29" s="1"/>
  <c r="AI2" i="29" s="1"/>
  <c r="AA155" i="27" l="1"/>
  <c r="M69" i="29"/>
  <c r="O69" i="2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ype.wijnia</author>
  </authors>
  <commentList>
    <comment ref="E130" authorId="0" shapeId="0" xr:uid="{89AD94D2-20BC-4883-923B-7DD0484C2704}">
      <text>
        <r>
          <rPr>
            <sz val="12"/>
            <color theme="1"/>
            <rFont val="Calibri"/>
            <family val="2"/>
            <scheme val="minor"/>
          </rPr>
          <t xml:space="preserve">ype.wijnia:
dit is een ander totaal dan bovenstaand (cel E83), 25605660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<sst xmlns="http://schemas.openxmlformats.org/spreadsheetml/2006/main" count="1395" uniqueCount="294">
  <si>
    <t>Uit actualisatie ontvangen 20220201</t>
  </si>
  <si>
    <t>Component</t>
  </si>
  <si>
    <t>Kostenposten</t>
  </si>
  <si>
    <t>Inzet</t>
  </si>
  <si>
    <t>Eenheid</t>
  </si>
  <si>
    <t>van toepassing (Ja/Nee)</t>
  </si>
  <si>
    <t>%</t>
  </si>
  <si>
    <t>€/jr</t>
  </si>
  <si>
    <t>meegenomen
 rekensheet</t>
  </si>
  <si>
    <r>
      <t xml:space="preserve">Bron 
</t>
    </r>
    <r>
      <rPr>
        <sz val="14"/>
        <color theme="0"/>
        <rFont val="Arial"/>
        <family val="2"/>
      </rPr>
      <t>(zie tabel onder)</t>
    </r>
  </si>
  <si>
    <t>Opmerking</t>
  </si>
  <si>
    <t>bedragen rekensheet</t>
  </si>
  <si>
    <t>Ja</t>
  </si>
  <si>
    <t>Nee</t>
  </si>
  <si>
    <t>wel/niet</t>
  </si>
  <si>
    <t>Inspectie</t>
  </si>
  <si>
    <t>Programmalasten</t>
  </si>
  <si>
    <t>Extern</t>
  </si>
  <si>
    <t>inschatting werkzaamheden 50/50 SO en extern</t>
  </si>
  <si>
    <t>Apparaatlasten</t>
  </si>
  <si>
    <t>Gebied</t>
  </si>
  <si>
    <t>-</t>
  </si>
  <si>
    <t>toelichting activiteiten en uitgangspunten</t>
  </si>
  <si>
    <t xml:space="preserve">UW </t>
  </si>
  <si>
    <t>Stedelijk</t>
  </si>
  <si>
    <t>team=7fte&gt; 0,5 fte inspectie = 100.000</t>
  </si>
  <si>
    <t>Interne lasten</t>
  </si>
  <si>
    <t>SO</t>
  </si>
  <si>
    <t>Overige lasten</t>
  </si>
  <si>
    <t>Schoonstad</t>
  </si>
  <si>
    <t>Gebiedsbeheer</t>
  </si>
  <si>
    <t>Operationeel T&amp;H</t>
  </si>
  <si>
    <t>TOTAAL per eenheid</t>
  </si>
  <si>
    <t>Storing</t>
  </si>
  <si>
    <t>Storingen / Periodiek / Functioneel</t>
  </si>
  <si>
    <t>gemiddelde van storingen en klein onderhoud</t>
  </si>
  <si>
    <t>% POK klein onderhoud aangehouden</t>
  </si>
  <si>
    <t>team=7fte&gt; 3 fte POKs = 600.000 verdeeld over de POKs obv progr lasten</t>
  </si>
  <si>
    <t>Groot</t>
  </si>
  <si>
    <t>nee</t>
  </si>
  <si>
    <t>Overige kosten</t>
  </si>
  <si>
    <t>Energiekosten</t>
  </si>
  <si>
    <t>Kapitaallasten</t>
  </si>
  <si>
    <t>landen volgens mij niet op de wegenbegroting</t>
  </si>
  <si>
    <t>Service / onderhoud algemeen /assetmanagement/beheervergoeding</t>
  </si>
  <si>
    <t>alle kosten die niet in CROW beheergetallen zitten; rioolhuisaansluitingen, jaarplan werkgroep, serviceploegen, verkeersmaatregelen, Obsurv, etc.</t>
  </si>
  <si>
    <t>Schone Stad / Toezicht &amp; Handhaving</t>
  </si>
  <si>
    <t>verzekeringen, belastingen, leges</t>
  </si>
  <si>
    <t>ja</t>
  </si>
  <si>
    <t>weet niet hoeveel check Joey</t>
  </si>
  <si>
    <t>Opslagpercentages</t>
  </si>
  <si>
    <t>Alegemene kosten, W+R, uitvoeringskosten</t>
  </si>
  <si>
    <t xml:space="preserve">CROW Publ. 145 </t>
  </si>
  <si>
    <t>POKs</t>
  </si>
  <si>
    <t>Bedrag (zonder app lasten stedelijk)</t>
  </si>
  <si>
    <t>App. lasten UW</t>
  </si>
  <si>
    <t>App. lasten Gebied</t>
  </si>
  <si>
    <t>interne lasten</t>
  </si>
  <si>
    <t xml:space="preserve">Programma lasten </t>
  </si>
  <si>
    <t xml:space="preserve">(omgevings) Management </t>
  </si>
  <si>
    <t>3-5</t>
  </si>
  <si>
    <t>DNR 2011 / SSK 2015</t>
  </si>
  <si>
    <t>Klein Onderhoud Wegen</t>
  </si>
  <si>
    <t>Voorbereiding (ontwerp, engineering, contractvorming)</t>
  </si>
  <si>
    <t>12-16</t>
  </si>
  <si>
    <t xml:space="preserve">Storingen </t>
  </si>
  <si>
    <t>uitvoeringsbegeleiding (directie&amp;Toezicht / contractmanag.)</t>
  </si>
  <si>
    <t>8-12</t>
  </si>
  <si>
    <t>Groot Onderhoud Wegen</t>
  </si>
  <si>
    <t>directe realisatiekosten (derden)</t>
  </si>
  <si>
    <t>nacalculatie / inschrijfstaat</t>
  </si>
  <si>
    <t>Inspecties</t>
  </si>
  <si>
    <t>*inschatting 50/50 SO en extern</t>
  </si>
  <si>
    <t xml:space="preserve">Advies en onderzoek (inspectie) </t>
  </si>
  <si>
    <t>nacalculatie / ervaring afgelopen 3 jaar</t>
  </si>
  <si>
    <t>interne kosten (gebied, UW)</t>
  </si>
  <si>
    <t>KO</t>
  </si>
  <si>
    <t>storingen</t>
  </si>
  <si>
    <t>GO</t>
  </si>
  <si>
    <t>inspecties</t>
  </si>
  <si>
    <t>Interne kosten Beheerder (Assetmanagement)</t>
  </si>
  <si>
    <t>app lasten UW</t>
  </si>
  <si>
    <t>Verkeersmaatregelen</t>
  </si>
  <si>
    <t xml:space="preserve">CROW Publ. 145  </t>
  </si>
  <si>
    <t>app lasten gebied</t>
  </si>
  <si>
    <t xml:space="preserve">app lasten stedelijk </t>
  </si>
  <si>
    <t>interne lasten SO</t>
  </si>
  <si>
    <t>programmalasten</t>
  </si>
  <si>
    <t>totaal</t>
  </si>
  <si>
    <t>app lasten stedelijk</t>
  </si>
  <si>
    <t>totaal + app lasten stedelijk</t>
  </si>
  <si>
    <t>bij storingen is app lasten UW ook Programmalasten</t>
  </si>
  <si>
    <t>Waarde en Vervangingsinvestering lange termijn WEGEN: excl. Bodemdaling, ophogingskosten en Ontwikkelingen</t>
  </si>
  <si>
    <t>Assets</t>
  </si>
  <si>
    <t>Areaal</t>
  </si>
  <si>
    <t>vrijliggend1</t>
  </si>
  <si>
    <t>vrijliggend2</t>
  </si>
  <si>
    <t>vrijliggend3</t>
  </si>
  <si>
    <t>normale bodem1</t>
  </si>
  <si>
    <t>normale bodem2</t>
  </si>
  <si>
    <t>normale bodem3</t>
  </si>
  <si>
    <t>slappe bodem1</t>
  </si>
  <si>
    <t>slappe bodem2</t>
  </si>
  <si>
    <t>slappe bodem3</t>
  </si>
  <si>
    <t>zeer slap1</t>
  </si>
  <si>
    <t>zeer slap2</t>
  </si>
  <si>
    <t>zeer slap3</t>
  </si>
  <si>
    <t>Groep</t>
  </si>
  <si>
    <t>Type</t>
  </si>
  <si>
    <t>Functie/materiaal</t>
  </si>
  <si>
    <t>Marker</t>
  </si>
  <si>
    <t>Totaal m2</t>
  </si>
  <si>
    <t>Levens-duur (jr)</t>
  </si>
  <si>
    <t>Areaal (levens-duur)</t>
  </si>
  <si>
    <t>Prijs/een-heid</t>
  </si>
  <si>
    <t>waarde</t>
  </si>
  <si>
    <t>totale waarde</t>
  </si>
  <si>
    <t>totalen per jaar</t>
  </si>
  <si>
    <t>2021-2030</t>
  </si>
  <si>
    <t>2031-2040</t>
  </si>
  <si>
    <t>2041-2050</t>
  </si>
  <si>
    <t>2051-2060</t>
  </si>
  <si>
    <t>2061-2070</t>
  </si>
  <si>
    <t>Hoofd, Verzamel en wijkontsluitingswegen</t>
  </si>
  <si>
    <t>rijbaan - asfalt</t>
  </si>
  <si>
    <t xml:space="preserve">asfalt </t>
  </si>
  <si>
    <t xml:space="preserve">rijbaan </t>
  </si>
  <si>
    <t>stil asfalt</t>
  </si>
  <si>
    <t>gefundeerde betonstraatstenen</t>
  </si>
  <si>
    <t>rijbaan sbs</t>
  </si>
  <si>
    <t>gefundeerde straatbakstenen</t>
  </si>
  <si>
    <t>oud slap en zeerslap</t>
  </si>
  <si>
    <t>overige wegen</t>
  </si>
  <si>
    <t>rijwegen</t>
  </si>
  <si>
    <t>betonstraatstenen</t>
  </si>
  <si>
    <t>straatbakstenen</t>
  </si>
  <si>
    <t>betonstraatstenen - wpv</t>
  </si>
  <si>
    <t>parkeervakken</t>
  </si>
  <si>
    <t>diverse verharding</t>
  </si>
  <si>
    <t>fietspaden</t>
  </si>
  <si>
    <t>rood asfalt</t>
  </si>
  <si>
    <t>elementverharding</t>
  </si>
  <si>
    <t>voetpaden</t>
  </si>
  <si>
    <t>trotoirtegels</t>
  </si>
  <si>
    <t>natuursteentegels gefundeerd</t>
  </si>
  <si>
    <t>natuursteentegels ongefundeerd</t>
  </si>
  <si>
    <t>afwijkende tegels (formaat, dik)</t>
  </si>
  <si>
    <t xml:space="preserve">diversen </t>
  </si>
  <si>
    <t>kades</t>
  </si>
  <si>
    <t>kadekeien</t>
  </si>
  <si>
    <t>paden</t>
  </si>
  <si>
    <t>halfverharding</t>
  </si>
  <si>
    <t>asfalt</t>
  </si>
  <si>
    <t>diversen</t>
  </si>
  <si>
    <t>industriewegen</t>
  </si>
  <si>
    <t>begraafplaatsen</t>
  </si>
  <si>
    <t>areaal in m2 en waarde</t>
  </si>
  <si>
    <t>per jaar</t>
  </si>
  <si>
    <t>investeringen per jaar in €</t>
  </si>
  <si>
    <t xml:space="preserve">overig </t>
  </si>
  <si>
    <t>banken</t>
  </si>
  <si>
    <t>stuks</t>
  </si>
  <si>
    <t>straatmeubilair</t>
  </si>
  <si>
    <t>bewegwijzering</t>
  </si>
  <si>
    <t>projectmanagement</t>
  </si>
  <si>
    <t>omgevingsmanagement</t>
  </si>
  <si>
    <t>voorbereiding (ontwerp en engineering)</t>
  </si>
  <si>
    <t>uitvoering (directie en toezicht)</t>
  </si>
  <si>
    <t>risicoreservering</t>
  </si>
  <si>
    <t>ophoging</t>
  </si>
  <si>
    <t>ontwikkelingen</t>
  </si>
  <si>
    <t>klinkerkaart</t>
  </si>
  <si>
    <t>toename investeringen na 40 jr.</t>
  </si>
  <si>
    <t>toename investeringen na 20 jr.</t>
  </si>
  <si>
    <t>waterpasserend</t>
  </si>
  <si>
    <t>toename investeringen na 50 jaar</t>
  </si>
  <si>
    <t>Deze aantallen zijn als brontabelbeschouwd</t>
  </si>
  <si>
    <t>Exploitatie begroting: op basis van de huidige AsM strategie (levensduren volgens de linkertabel)</t>
  </si>
  <si>
    <t>Onderhoudskosten over levenscyclus</t>
  </si>
  <si>
    <t>totalen/jaar</t>
  </si>
  <si>
    <t>% voor klein onderhoud</t>
  </si>
  <si>
    <t>jaarlijks budget klein onderhoud</t>
  </si>
  <si>
    <t>visuele inspectie</t>
  </si>
  <si>
    <t>maatregel-inspectie</t>
  </si>
  <si>
    <t>markeringen</t>
  </si>
  <si>
    <t>geluidsmetingen</t>
  </si>
  <si>
    <t>adviezen</t>
  </si>
  <si>
    <t>totaal inspectie</t>
  </si>
  <si>
    <t>percentage</t>
  </si>
  <si>
    <t>glooiingen</t>
  </si>
  <si>
    <t>areaal in m2</t>
  </si>
  <si>
    <t>exploitatie per jaar in €</t>
  </si>
  <si>
    <t xml:space="preserve">toename beheerkosten </t>
  </si>
  <si>
    <t>toename beheerkosten</t>
  </si>
  <si>
    <t>toename per jaar</t>
  </si>
  <si>
    <t>Groot onderhoud</t>
  </si>
  <si>
    <t>let op, jaarlijks bedrag</t>
  </si>
  <si>
    <t>Opmerking YCW: wegen op een andere grondsoort worden een ander assettype</t>
  </si>
  <si>
    <t>Onderhoudsregiem</t>
  </si>
  <si>
    <t xml:space="preserve">Algemeen beheer </t>
  </si>
  <si>
    <t>klein onderhoud</t>
  </si>
  <si>
    <t>groot onderhoud</t>
  </si>
  <si>
    <t>Beeld-kwaliteit / Tech. conditie</t>
  </si>
  <si>
    <t>Bron / uitgangspunten</t>
  </si>
  <si>
    <t>Waarde</t>
  </si>
  <si>
    <t>Freq-energie</t>
  </si>
  <si>
    <t>ppe energie</t>
  </si>
  <si>
    <t>Freq  Beheer_AsM</t>
  </si>
  <si>
    <t>ppe  Beheer_AsM</t>
  </si>
  <si>
    <t>Freq overig</t>
  </si>
  <si>
    <t>ppe Overig</t>
  </si>
  <si>
    <t>frequentie</t>
  </si>
  <si>
    <t>p.p.e</t>
  </si>
  <si>
    <t>min. acceptabel</t>
  </si>
  <si>
    <t>Huidige (2020)</t>
  </si>
  <si>
    <t>gewenst</t>
  </si>
  <si>
    <t>85% B</t>
  </si>
  <si>
    <t>89% B</t>
  </si>
  <si>
    <t>90%B</t>
  </si>
  <si>
    <t>82% B</t>
  </si>
  <si>
    <t>90% B</t>
  </si>
  <si>
    <t>totaal huidig areaal</t>
  </si>
  <si>
    <t>Vraag YCW</t>
  </si>
  <si>
    <t>totaal exclusief voorbereiding/uitvoering/etc.</t>
  </si>
  <si>
    <t>extra</t>
  </si>
  <si>
    <t>Meerkosten</t>
  </si>
  <si>
    <t>opgave 2021</t>
  </si>
  <si>
    <t xml:space="preserve"> %</t>
  </si>
  <si>
    <t>Bron</t>
  </si>
  <si>
    <t>directe kosten</t>
  </si>
  <si>
    <t>Object</t>
  </si>
  <si>
    <t>CROW publicatie 145</t>
  </si>
  <si>
    <t>apparaatkosten</t>
  </si>
  <si>
    <t xml:space="preserve">UW / SO </t>
  </si>
  <si>
    <t>nacalculatie</t>
  </si>
  <si>
    <t>Interne kosten</t>
  </si>
  <si>
    <t>Beheerder</t>
  </si>
  <si>
    <t>team wat bijdraagt aan POKs  is 7 fte, grotendeels ook projecten, dus /2 = 3,5fte  100.000/jaar??</t>
  </si>
  <si>
    <t>Klein onderhoud</t>
  </si>
  <si>
    <t>uren UW voor storingen ook deels als directe kosten gerekend, omdat dit kosten voor de uitvoering zijn, niet voorbereiding/toezicht/etc.</t>
  </si>
  <si>
    <t>POK Klein onderhoud en Storingsonderhoud</t>
  </si>
  <si>
    <t>POK Groot Onderhoud</t>
  </si>
  <si>
    <t>Domein</t>
  </si>
  <si>
    <t>NKG Titel</t>
  </si>
  <si>
    <t>NKG detail</t>
  </si>
  <si>
    <t>Energie</t>
  </si>
  <si>
    <t>Algemeen</t>
  </si>
  <si>
    <t>Beheer&amp;AsM</t>
  </si>
  <si>
    <t>Overig</t>
  </si>
  <si>
    <t>Periodiek en storingsonderhoud</t>
  </si>
  <si>
    <t>Periodiek</t>
  </si>
  <si>
    <t>Vervanging</t>
  </si>
  <si>
    <t>vervanging</t>
  </si>
  <si>
    <t>vrijliggend</t>
  </si>
  <si>
    <t xml:space="preserve"> normale bodem</t>
  </si>
  <si>
    <t xml:space="preserve"> slappe bodem</t>
  </si>
  <si>
    <t>zeer slap</t>
  </si>
  <si>
    <t>totalen</t>
  </si>
  <si>
    <t>Beeldkwaliteitsniveau</t>
  </si>
  <si>
    <t>LCA GO</t>
  </si>
  <si>
    <t>Categorie</t>
  </si>
  <si>
    <t>Subcategorie</t>
  </si>
  <si>
    <t>Bodem</t>
  </si>
  <si>
    <t xml:space="preserve">Aantal </t>
  </si>
  <si>
    <t>eenheid</t>
  </si>
  <si>
    <t>Prijs per eenheid</t>
  </si>
  <si>
    <t>Levensduur</t>
  </si>
  <si>
    <t>CAPEX Gemiddeld per jaar</t>
  </si>
  <si>
    <t>Capex 2023-2026</t>
  </si>
  <si>
    <t>Aantal OH</t>
  </si>
  <si>
    <t>minimaal</t>
  </si>
  <si>
    <t>huidige</t>
  </si>
  <si>
    <t>Selectie</t>
  </si>
  <si>
    <t>2. Bodemgerelateerde assets</t>
  </si>
  <si>
    <t>Wegen</t>
  </si>
  <si>
    <t>Vrijliggend</t>
  </si>
  <si>
    <t>m2</t>
  </si>
  <si>
    <t>totaal voor hoofdwegen ok</t>
  </si>
  <si>
    <t>normale bodem</t>
  </si>
  <si>
    <t>totaal voor overige wegen ok</t>
  </si>
  <si>
    <t>Slappe bodem</t>
  </si>
  <si>
    <t>Zeer Slap</t>
  </si>
  <si>
    <t>totaal diversen ok</t>
  </si>
  <si>
    <t>totaal onwikkelingen ok</t>
  </si>
  <si>
    <t>Normale bodem</t>
  </si>
  <si>
    <t>st</t>
  </si>
  <si>
    <t>totaal overig ok</t>
  </si>
  <si>
    <t>CAPEX</t>
  </si>
  <si>
    <t>van nieuwwaarde</t>
  </si>
  <si>
    <t>berekend</t>
  </si>
  <si>
    <t>OPEX</t>
  </si>
  <si>
    <t xml:space="preserve">opgave run2 </t>
  </si>
  <si>
    <t xml:space="preserve"> </t>
  </si>
  <si>
    <t>opgave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</si>
</sst>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€&quot;\ #,##0;[Red]&quot;€&quot;\ \-#,##0"/>
    <numFmt numFmtId="8" formatCode="&quot;€&quot;\ #,##0.00;[Red]&quot;€&quot;\ \-#,##0.00"/>
    <numFmt numFmtId="42" formatCode="_ &quot;€&quot;\ * #,##0_ ;_ &quot;€&quot;\ * \-#,##0_ ;_ &quot;€&quot;\ * &quot;-&quot;_ ;_ @_ "/>
    <numFmt numFmtId="164" formatCode="&quot;€&quot;\ #,##0_-"/>
    <numFmt numFmtId="165" formatCode="&quot;€&quot;\ #,##0"/>
    <numFmt numFmtId="166" formatCode="&quot;€&quot;\ #,##0.00"/>
    <numFmt numFmtId="167" formatCode="&quot;€&quot;\ #,##0.0"/>
    <numFmt numFmtId="168" formatCode="0.00000"/>
    <numFmt numFmtId="169" formatCode="_ &quot;€&quot;\ * #,##0.00000_ ;_ &quot;€&quot;\ * \-#,##0.00000_ ;_ &quot;€&quot;\ * &quot;-&quot;?????_ ;_ @_ "/>
    <numFmt numFmtId="170" formatCode="&quot;€&quot;\ #,##0.000;[Red]&quot;€&quot;\ \-#,##0.000"/>
    <numFmt numFmtId="171" formatCode="&quot;€&quot;\ #,##0.0000;[Red]&quot;€&quot;\ \-#,##0.0000"/>
    <numFmt numFmtId="172" formatCode="#,##0.000"/>
    <numFmt numFmtId="173" formatCode="&quot;€&quot;\ #,##0.00000;[Red]&quot;€&quot;\ \-#,##0.00000"/>
  </numFmts>
  <fonts count="5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9"/>
      <color theme="0" tint="-0.34998626667073579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Bolder"/>
    </font>
    <font>
      <sz val="10"/>
      <color rgb="FF000000"/>
      <name val="Bolde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</fills>
  <borders count="10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2" borderId="1" applyNumberFormat="0" applyFont="0" applyAlignment="0" applyProtection="0"/>
    <xf numFmtId="0" fontId="19" fillId="0" borderId="0"/>
    <xf numFmtId="0" fontId="19" fillId="0" borderId="0"/>
    <xf numFmtId="0" fontId="19" fillId="0" borderId="0"/>
  </cellStyleXfs>
  <cellXfs count="84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10" fillId="0" borderId="0" xfId="7" applyFont="1" applyAlignment="1">
      <alignment horizontal="center" vertical="top" wrapText="1"/>
    </xf>
    <xf numFmtId="0" fontId="15" fillId="0" borderId="6" xfId="0" applyFont="1" applyBorder="1"/>
    <xf numFmtId="0" fontId="6" fillId="0" borderId="0" xfId="7" applyFont="1" applyAlignment="1">
      <alignment vertical="center"/>
    </xf>
    <xf numFmtId="0" fontId="15" fillId="0" borderId="6" xfId="0" applyFont="1" applyBorder="1" applyAlignment="1">
      <alignment horizontal="center"/>
    </xf>
    <xf numFmtId="0" fontId="13" fillId="0" borderId="0" xfId="0" applyFont="1"/>
    <xf numFmtId="42" fontId="0" fillId="0" borderId="0" xfId="0" applyNumberFormat="1"/>
    <xf numFmtId="0" fontId="1" fillId="0" borderId="0" xfId="7" applyFont="1" applyAlignment="1">
      <alignment wrapText="1"/>
    </xf>
    <xf numFmtId="0" fontId="21" fillId="0" borderId="0" xfId="7" applyFont="1" applyAlignment="1">
      <alignment vertical="center"/>
    </xf>
    <xf numFmtId="42" fontId="21" fillId="0" borderId="0" xfId="7" applyNumberFormat="1" applyFont="1" applyAlignment="1">
      <alignment vertical="center"/>
    </xf>
    <xf numFmtId="0" fontId="1" fillId="3" borderId="43" xfId="7" applyFont="1" applyFill="1" applyBorder="1" applyAlignment="1">
      <alignment horizontal="center" vertical="center" wrapText="1"/>
    </xf>
    <xf numFmtId="9" fontId="13" fillId="3" borderId="37" xfId="0" applyNumberFormat="1" applyFont="1" applyFill="1" applyBorder="1"/>
    <xf numFmtId="9" fontId="13" fillId="3" borderId="53" xfId="0" applyNumberFormat="1" applyFont="1" applyFill="1" applyBorder="1"/>
    <xf numFmtId="42" fontId="0" fillId="3" borderId="43" xfId="0" applyNumberFormat="1" applyFill="1" applyBorder="1"/>
    <xf numFmtId="0" fontId="9" fillId="3" borderId="6" xfId="0" applyFont="1" applyFill="1" applyBorder="1" applyAlignment="1">
      <alignment vertical="center"/>
    </xf>
    <xf numFmtId="0" fontId="4" fillId="3" borderId="60" xfId="7" applyFill="1" applyBorder="1" applyAlignment="1">
      <alignment horizontal="center" vertical="center"/>
    </xf>
    <xf numFmtId="0" fontId="4" fillId="3" borderId="29" xfId="7" applyFill="1" applyBorder="1" applyAlignment="1">
      <alignment horizontal="center" vertical="center"/>
    </xf>
    <xf numFmtId="0" fontId="4" fillId="3" borderId="61" xfId="7" applyFill="1" applyBorder="1" applyAlignment="1">
      <alignment horizontal="center" vertical="center"/>
    </xf>
    <xf numFmtId="0" fontId="4" fillId="3" borderId="57" xfId="7" applyFill="1" applyBorder="1" applyAlignment="1">
      <alignment horizontal="center" vertical="center"/>
    </xf>
    <xf numFmtId="0" fontId="1" fillId="3" borderId="60" xfId="7" applyFont="1" applyFill="1" applyBorder="1" applyAlignment="1">
      <alignment horizontal="center" vertical="center" wrapText="1"/>
    </xf>
    <xf numFmtId="0" fontId="1" fillId="3" borderId="29" xfId="7" applyFont="1" applyFill="1" applyBorder="1" applyAlignment="1">
      <alignment horizontal="center" vertical="center" wrapText="1"/>
    </xf>
    <xf numFmtId="165" fontId="1" fillId="3" borderId="30" xfId="7" applyNumberFormat="1" applyFont="1" applyFill="1" applyBorder="1" applyAlignment="1">
      <alignment horizontal="center" vertical="center"/>
    </xf>
    <xf numFmtId="0" fontId="1" fillId="3" borderId="30" xfId="7" applyFont="1" applyFill="1" applyBorder="1" applyAlignment="1">
      <alignment horizontal="center" vertical="center"/>
    </xf>
    <xf numFmtId="42" fontId="1" fillId="3" borderId="46" xfId="7" applyNumberFormat="1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vertical="center"/>
    </xf>
    <xf numFmtId="0" fontId="9" fillId="3" borderId="26" xfId="0" applyFont="1" applyFill="1" applyBorder="1" applyAlignment="1">
      <alignment vertical="center"/>
    </xf>
    <xf numFmtId="0" fontId="9" fillId="3" borderId="56" xfId="0" applyFont="1" applyFill="1" applyBorder="1" applyAlignment="1">
      <alignment vertical="center"/>
    </xf>
    <xf numFmtId="0" fontId="9" fillId="3" borderId="48" xfId="0" applyFont="1" applyFill="1" applyBorder="1" applyAlignment="1">
      <alignment vertical="center"/>
    </xf>
    <xf numFmtId="0" fontId="4" fillId="7" borderId="19" xfId="7" applyFill="1" applyBorder="1" applyAlignment="1">
      <alignment horizontal="left" vertical="center" wrapText="1"/>
    </xf>
    <xf numFmtId="0" fontId="6" fillId="7" borderId="54" xfId="9" applyFont="1" applyFill="1" applyBorder="1" applyAlignment="1">
      <alignment horizontal="left"/>
    </xf>
    <xf numFmtId="3" fontId="6" fillId="7" borderId="49" xfId="9" applyNumberFormat="1" applyFont="1" applyFill="1" applyBorder="1" applyAlignment="1">
      <alignment vertical="center"/>
    </xf>
    <xf numFmtId="0" fontId="6" fillId="7" borderId="18" xfId="7" applyFont="1" applyFill="1" applyBorder="1" applyAlignment="1">
      <alignment vertical="center"/>
    </xf>
    <xf numFmtId="3" fontId="6" fillId="7" borderId="19" xfId="9" applyNumberFormat="1" applyFont="1" applyFill="1" applyBorder="1" applyAlignment="1">
      <alignment vertical="center"/>
    </xf>
    <xf numFmtId="165" fontId="6" fillId="7" borderId="19" xfId="7" applyNumberFormat="1" applyFont="1" applyFill="1" applyBorder="1" applyAlignment="1">
      <alignment vertical="center"/>
    </xf>
    <xf numFmtId="165" fontId="6" fillId="7" borderId="20" xfId="9" applyNumberFormat="1" applyFont="1" applyFill="1" applyBorder="1" applyAlignment="1">
      <alignment vertical="center"/>
    </xf>
    <xf numFmtId="3" fontId="6" fillId="7" borderId="19" xfId="7" applyNumberFormat="1" applyFont="1" applyFill="1" applyBorder="1" applyAlignment="1">
      <alignment vertical="center"/>
    </xf>
    <xf numFmtId="165" fontId="6" fillId="7" borderId="20" xfId="7" applyNumberFormat="1" applyFont="1" applyFill="1" applyBorder="1" applyAlignment="1">
      <alignment vertical="center"/>
    </xf>
    <xf numFmtId="0" fontId="6" fillId="7" borderId="19" xfId="7" applyFont="1" applyFill="1" applyBorder="1" applyAlignment="1">
      <alignment vertical="center"/>
    </xf>
    <xf numFmtId="0" fontId="6" fillId="7" borderId="20" xfId="7" applyFont="1" applyFill="1" applyBorder="1" applyAlignment="1">
      <alignment vertical="center"/>
    </xf>
    <xf numFmtId="0" fontId="6" fillId="7" borderId="47" xfId="7" applyFont="1" applyFill="1" applyBorder="1" applyAlignment="1">
      <alignment vertical="center"/>
    </xf>
    <xf numFmtId="42" fontId="6" fillId="7" borderId="44" xfId="7" applyNumberFormat="1" applyFont="1" applyFill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34" xfId="0" applyFont="1" applyBorder="1"/>
    <xf numFmtId="0" fontId="6" fillId="0" borderId="42" xfId="0" applyFont="1" applyBorder="1"/>
    <xf numFmtId="0" fontId="4" fillId="7" borderId="6" xfId="7" applyFill="1" applyBorder="1" applyAlignment="1">
      <alignment horizontal="left" vertical="center" wrapText="1"/>
    </xf>
    <xf numFmtId="0" fontId="6" fillId="7" borderId="2" xfId="9" applyFont="1" applyFill="1" applyBorder="1" applyAlignment="1">
      <alignment horizontal="left"/>
    </xf>
    <xf numFmtId="3" fontId="6" fillId="7" borderId="50" xfId="9" applyNumberFormat="1" applyFont="1" applyFill="1" applyBorder="1" applyAlignment="1">
      <alignment vertical="center"/>
    </xf>
    <xf numFmtId="0" fontId="6" fillId="7" borderId="21" xfId="7" applyFont="1" applyFill="1" applyBorder="1" applyAlignment="1">
      <alignment vertical="center"/>
    </xf>
    <xf numFmtId="3" fontId="6" fillId="7" borderId="6" xfId="9" applyNumberFormat="1" applyFont="1" applyFill="1" applyBorder="1" applyAlignment="1">
      <alignment vertical="center"/>
    </xf>
    <xf numFmtId="165" fontId="6" fillId="7" borderId="6" xfId="7" applyNumberFormat="1" applyFont="1" applyFill="1" applyBorder="1" applyAlignment="1">
      <alignment vertical="center"/>
    </xf>
    <xf numFmtId="165" fontId="6" fillId="7" borderId="22" xfId="9" applyNumberFormat="1" applyFont="1" applyFill="1" applyBorder="1" applyAlignment="1">
      <alignment vertical="center"/>
    </xf>
    <xf numFmtId="3" fontId="6" fillId="7" borderId="6" xfId="7" applyNumberFormat="1" applyFont="1" applyFill="1" applyBorder="1" applyAlignment="1">
      <alignment vertical="center"/>
    </xf>
    <xf numFmtId="165" fontId="6" fillId="7" borderId="22" xfId="7" applyNumberFormat="1" applyFont="1" applyFill="1" applyBorder="1" applyAlignment="1">
      <alignment vertical="center"/>
    </xf>
    <xf numFmtId="0" fontId="6" fillId="7" borderId="6" xfId="7" applyFont="1" applyFill="1" applyBorder="1" applyAlignment="1">
      <alignment vertical="center"/>
    </xf>
    <xf numFmtId="0" fontId="6" fillId="7" borderId="22" xfId="7" applyFont="1" applyFill="1" applyBorder="1" applyAlignment="1">
      <alignment vertical="center"/>
    </xf>
    <xf numFmtId="0" fontId="6" fillId="7" borderId="40" xfId="7" applyFont="1" applyFill="1" applyBorder="1" applyAlignment="1">
      <alignment vertical="center"/>
    </xf>
    <xf numFmtId="164" fontId="9" fillId="0" borderId="3" xfId="0" applyNumberFormat="1" applyFont="1" applyBorder="1"/>
    <xf numFmtId="164" fontId="6" fillId="0" borderId="3" xfId="0" applyNumberFormat="1" applyFont="1" applyBorder="1"/>
    <xf numFmtId="0" fontId="4" fillId="12" borderId="26" xfId="7" applyFill="1" applyBorder="1" applyAlignment="1">
      <alignment horizontal="left" vertical="center" wrapText="1"/>
    </xf>
    <xf numFmtId="0" fontId="6" fillId="7" borderId="39" xfId="9" applyFont="1" applyFill="1" applyBorder="1" applyAlignment="1">
      <alignment horizontal="left"/>
    </xf>
    <xf numFmtId="3" fontId="6" fillId="7" borderId="51" xfId="9" applyNumberFormat="1" applyFont="1" applyFill="1" applyBorder="1" applyAlignment="1">
      <alignment vertical="center"/>
    </xf>
    <xf numFmtId="0" fontId="6" fillId="7" borderId="25" xfId="7" applyFont="1" applyFill="1" applyBorder="1" applyAlignment="1">
      <alignment vertical="center"/>
    </xf>
    <xf numFmtId="3" fontId="6" fillId="7" borderId="26" xfId="9" applyNumberFormat="1" applyFont="1" applyFill="1" applyBorder="1" applyAlignment="1">
      <alignment vertical="center"/>
    </xf>
    <xf numFmtId="165" fontId="6" fillId="7" borderId="26" xfId="7" applyNumberFormat="1" applyFont="1" applyFill="1" applyBorder="1" applyAlignment="1">
      <alignment vertical="center"/>
    </xf>
    <xf numFmtId="165" fontId="6" fillId="7" borderId="27" xfId="9" applyNumberFormat="1" applyFont="1" applyFill="1" applyBorder="1" applyAlignment="1">
      <alignment vertical="center"/>
    </xf>
    <xf numFmtId="3" fontId="6" fillId="7" borderId="26" xfId="7" applyNumberFormat="1" applyFont="1" applyFill="1" applyBorder="1" applyAlignment="1">
      <alignment vertical="center"/>
    </xf>
    <xf numFmtId="165" fontId="6" fillId="7" borderId="27" xfId="7" applyNumberFormat="1" applyFont="1" applyFill="1" applyBorder="1" applyAlignment="1">
      <alignment vertical="center"/>
    </xf>
    <xf numFmtId="0" fontId="6" fillId="7" borderId="26" xfId="7" applyFont="1" applyFill="1" applyBorder="1" applyAlignment="1">
      <alignment vertical="center"/>
    </xf>
    <xf numFmtId="0" fontId="6" fillId="7" borderId="27" xfId="7" applyFont="1" applyFill="1" applyBorder="1" applyAlignment="1">
      <alignment vertical="center"/>
    </xf>
    <xf numFmtId="0" fontId="6" fillId="7" borderId="48" xfId="7" applyFont="1" applyFill="1" applyBorder="1" applyAlignment="1">
      <alignment vertical="center"/>
    </xf>
    <xf numFmtId="42" fontId="6" fillId="7" borderId="46" xfId="7" applyNumberFormat="1" applyFont="1" applyFill="1" applyBorder="1" applyAlignment="1">
      <alignment vertical="center"/>
    </xf>
    <xf numFmtId="0" fontId="6" fillId="9" borderId="19" xfId="9" applyFont="1" applyFill="1" applyBorder="1" applyAlignment="1">
      <alignment horizontal="left" vertical="center" wrapText="1"/>
    </xf>
    <xf numFmtId="0" fontId="6" fillId="9" borderId="54" xfId="9" applyFont="1" applyFill="1" applyBorder="1" applyAlignment="1">
      <alignment vertical="center" wrapText="1"/>
    </xf>
    <xf numFmtId="3" fontId="6" fillId="9" borderId="49" xfId="9" applyNumberFormat="1" applyFont="1" applyFill="1" applyBorder="1" applyAlignment="1">
      <alignment vertical="center"/>
    </xf>
    <xf numFmtId="3" fontId="6" fillId="9" borderId="18" xfId="9" applyNumberFormat="1" applyFont="1" applyFill="1" applyBorder="1" applyAlignment="1">
      <alignment vertical="center"/>
    </xf>
    <xf numFmtId="3" fontId="6" fillId="9" borderId="19" xfId="9" applyNumberFormat="1" applyFont="1" applyFill="1" applyBorder="1" applyAlignment="1">
      <alignment vertical="center"/>
    </xf>
    <xf numFmtId="165" fontId="6" fillId="9" borderId="20" xfId="9" applyNumberFormat="1" applyFont="1" applyFill="1" applyBorder="1" applyAlignment="1">
      <alignment vertical="center"/>
    </xf>
    <xf numFmtId="0" fontId="6" fillId="9" borderId="18" xfId="9" applyFont="1" applyFill="1" applyBorder="1" applyAlignment="1">
      <alignment vertical="center"/>
    </xf>
    <xf numFmtId="0" fontId="6" fillId="9" borderId="19" xfId="9" applyFont="1" applyFill="1" applyBorder="1" applyAlignment="1">
      <alignment vertical="center"/>
    </xf>
    <xf numFmtId="165" fontId="6" fillId="9" borderId="19" xfId="9" applyNumberFormat="1" applyFont="1" applyFill="1" applyBorder="1" applyAlignment="1">
      <alignment vertical="center"/>
    </xf>
    <xf numFmtId="0" fontId="6" fillId="9" borderId="47" xfId="9" applyFont="1" applyFill="1" applyBorder="1" applyAlignment="1">
      <alignment vertical="center"/>
    </xf>
    <xf numFmtId="42" fontId="6" fillId="9" borderId="44" xfId="9" applyNumberFormat="1" applyFont="1" applyFill="1" applyBorder="1" applyAlignment="1">
      <alignment vertical="center"/>
    </xf>
    <xf numFmtId="164" fontId="6" fillId="0" borderId="3" xfId="7" applyNumberFormat="1" applyFont="1" applyBorder="1" applyAlignment="1">
      <alignment horizontal="center" vertical="center" wrapText="1"/>
    </xf>
    <xf numFmtId="0" fontId="0" fillId="0" borderId="34" xfId="0" applyBorder="1"/>
    <xf numFmtId="0" fontId="0" fillId="0" borderId="42" xfId="0" applyBorder="1"/>
    <xf numFmtId="0" fontId="4" fillId="9" borderId="6" xfId="7" applyFill="1" applyBorder="1" applyAlignment="1">
      <alignment horizontal="left" vertical="center" wrapText="1"/>
    </xf>
    <xf numFmtId="0" fontId="6" fillId="9" borderId="2" xfId="9" applyFont="1" applyFill="1" applyBorder="1" applyAlignment="1">
      <alignment vertical="center" wrapText="1"/>
    </xf>
    <xf numFmtId="3" fontId="6" fillId="9" borderId="50" xfId="9" applyNumberFormat="1" applyFont="1" applyFill="1" applyBorder="1" applyAlignment="1">
      <alignment vertical="center"/>
    </xf>
    <xf numFmtId="3" fontId="6" fillId="9" borderId="21" xfId="9" applyNumberFormat="1" applyFont="1" applyFill="1" applyBorder="1" applyAlignment="1">
      <alignment vertical="center"/>
    </xf>
    <xf numFmtId="3" fontId="6" fillId="9" borderId="6" xfId="9" applyNumberFormat="1" applyFont="1" applyFill="1" applyBorder="1" applyAlignment="1">
      <alignment vertical="center"/>
    </xf>
    <xf numFmtId="165" fontId="6" fillId="9" borderId="22" xfId="9" applyNumberFormat="1" applyFont="1" applyFill="1" applyBorder="1" applyAlignment="1">
      <alignment vertical="center"/>
    </xf>
    <xf numFmtId="0" fontId="6" fillId="9" borderId="21" xfId="9" applyFont="1" applyFill="1" applyBorder="1" applyAlignment="1">
      <alignment vertical="center"/>
    </xf>
    <xf numFmtId="0" fontId="6" fillId="9" borderId="6" xfId="9" applyFont="1" applyFill="1" applyBorder="1" applyAlignment="1">
      <alignment vertical="center"/>
    </xf>
    <xf numFmtId="165" fontId="6" fillId="9" borderId="6" xfId="9" applyNumberFormat="1" applyFont="1" applyFill="1" applyBorder="1" applyAlignment="1">
      <alignment vertical="center"/>
    </xf>
    <xf numFmtId="0" fontId="6" fillId="9" borderId="40" xfId="9" applyFont="1" applyFill="1" applyBorder="1" applyAlignment="1">
      <alignment vertical="center"/>
    </xf>
    <xf numFmtId="0" fontId="6" fillId="9" borderId="6" xfId="9" applyFont="1" applyFill="1" applyBorder="1" applyAlignment="1">
      <alignment horizontal="left" vertical="center" wrapText="1"/>
    </xf>
    <xf numFmtId="0" fontId="6" fillId="0" borderId="3" xfId="7" applyFont="1" applyBorder="1" applyAlignment="1">
      <alignment horizontal="center" vertical="center" wrapText="1"/>
    </xf>
    <xf numFmtId="0" fontId="4" fillId="9" borderId="26" xfId="7" applyFill="1" applyBorder="1" applyAlignment="1">
      <alignment horizontal="left" vertical="center" wrapText="1"/>
    </xf>
    <xf numFmtId="0" fontId="6" fillId="9" borderId="39" xfId="9" applyFont="1" applyFill="1" applyBorder="1" applyAlignment="1">
      <alignment vertical="center" wrapText="1"/>
    </xf>
    <xf numFmtId="3" fontId="6" fillId="9" borderId="51" xfId="9" applyNumberFormat="1" applyFont="1" applyFill="1" applyBorder="1" applyAlignment="1">
      <alignment vertical="center"/>
    </xf>
    <xf numFmtId="3" fontId="6" fillId="9" borderId="25" xfId="9" applyNumberFormat="1" applyFont="1" applyFill="1" applyBorder="1" applyAlignment="1">
      <alignment vertical="center"/>
    </xf>
    <xf numFmtId="3" fontId="6" fillId="9" borderId="26" xfId="9" applyNumberFormat="1" applyFont="1" applyFill="1" applyBorder="1" applyAlignment="1">
      <alignment vertical="center"/>
    </xf>
    <xf numFmtId="165" fontId="6" fillId="9" borderId="27" xfId="9" applyNumberFormat="1" applyFont="1" applyFill="1" applyBorder="1" applyAlignment="1">
      <alignment vertical="center"/>
    </xf>
    <xf numFmtId="0" fontId="6" fillId="9" borderId="25" xfId="9" applyFont="1" applyFill="1" applyBorder="1" applyAlignment="1">
      <alignment vertical="center"/>
    </xf>
    <xf numFmtId="0" fontId="6" fillId="9" borderId="26" xfId="9" applyFont="1" applyFill="1" applyBorder="1" applyAlignment="1">
      <alignment vertical="center"/>
    </xf>
    <xf numFmtId="165" fontId="6" fillId="9" borderId="26" xfId="9" applyNumberFormat="1" applyFont="1" applyFill="1" applyBorder="1" applyAlignment="1">
      <alignment vertical="center"/>
    </xf>
    <xf numFmtId="0" fontId="6" fillId="9" borderId="48" xfId="9" applyFont="1" applyFill="1" applyBorder="1" applyAlignment="1">
      <alignment vertical="center"/>
    </xf>
    <xf numFmtId="0" fontId="1" fillId="6" borderId="68" xfId="7" applyFont="1" applyFill="1" applyBorder="1" applyAlignment="1">
      <alignment vertical="center" wrapText="1"/>
    </xf>
    <xf numFmtId="0" fontId="4" fillId="6" borderId="19" xfId="7" applyFill="1" applyBorder="1" applyAlignment="1">
      <alignment horizontal="left" vertical="center" wrapText="1"/>
    </xf>
    <xf numFmtId="0" fontId="6" fillId="6" borderId="54" xfId="9" applyFont="1" applyFill="1" applyBorder="1"/>
    <xf numFmtId="3" fontId="6" fillId="6" borderId="49" xfId="7" applyNumberFormat="1" applyFont="1" applyFill="1" applyBorder="1" applyAlignment="1">
      <alignment vertical="center"/>
    </xf>
    <xf numFmtId="3" fontId="6" fillId="6" borderId="18" xfId="7" applyNumberFormat="1" applyFont="1" applyFill="1" applyBorder="1" applyAlignment="1">
      <alignment vertical="center"/>
    </xf>
    <xf numFmtId="3" fontId="6" fillId="6" borderId="19" xfId="7" applyNumberFormat="1" applyFont="1" applyFill="1" applyBorder="1" applyAlignment="1">
      <alignment vertical="center"/>
    </xf>
    <xf numFmtId="165" fontId="6" fillId="6" borderId="20" xfId="7" applyNumberFormat="1" applyFont="1" applyFill="1" applyBorder="1" applyAlignment="1">
      <alignment vertical="center"/>
    </xf>
    <xf numFmtId="0" fontId="6" fillId="6" borderId="18" xfId="7" applyFont="1" applyFill="1" applyBorder="1" applyAlignment="1">
      <alignment vertical="center"/>
    </xf>
    <xf numFmtId="0" fontId="6" fillId="6" borderId="19" xfId="9" applyFont="1" applyFill="1" applyBorder="1" applyAlignment="1">
      <alignment vertical="center"/>
    </xf>
    <xf numFmtId="165" fontId="6" fillId="6" borderId="19" xfId="7" applyNumberFormat="1" applyFont="1" applyFill="1" applyBorder="1" applyAlignment="1">
      <alignment vertical="center"/>
    </xf>
    <xf numFmtId="165" fontId="6" fillId="6" borderId="20" xfId="9" applyNumberFormat="1" applyFont="1" applyFill="1" applyBorder="1" applyAlignment="1">
      <alignment vertical="center"/>
    </xf>
    <xf numFmtId="0" fontId="6" fillId="6" borderId="47" xfId="7" applyFont="1" applyFill="1" applyBorder="1" applyAlignment="1">
      <alignment vertical="center"/>
    </xf>
    <xf numFmtId="42" fontId="6" fillId="6" borderId="44" xfId="9" applyNumberFormat="1" applyFont="1" applyFill="1" applyBorder="1" applyAlignment="1">
      <alignment vertical="center"/>
    </xf>
    <xf numFmtId="0" fontId="6" fillId="0" borderId="3" xfId="7" applyFont="1" applyBorder="1" applyAlignment="1">
      <alignment horizontal="center" vertical="center"/>
    </xf>
    <xf numFmtId="0" fontId="1" fillId="6" borderId="58" xfId="7" applyFont="1" applyFill="1" applyBorder="1" applyAlignment="1">
      <alignment vertical="center" wrapText="1"/>
    </xf>
    <xf numFmtId="0" fontId="4" fillId="6" borderId="6" xfId="7" applyFill="1" applyBorder="1" applyAlignment="1">
      <alignment horizontal="left" wrapText="1"/>
    </xf>
    <xf numFmtId="0" fontId="6" fillId="6" borderId="2" xfId="9" applyFont="1" applyFill="1" applyBorder="1"/>
    <xf numFmtId="3" fontId="6" fillId="6" borderId="50" xfId="7" applyNumberFormat="1" applyFont="1" applyFill="1" applyBorder="1" applyAlignment="1">
      <alignment vertical="center"/>
    </xf>
    <xf numFmtId="3" fontId="6" fillId="6" borderId="21" xfId="7" applyNumberFormat="1" applyFont="1" applyFill="1" applyBorder="1" applyAlignment="1">
      <alignment vertical="center"/>
    </xf>
    <xf numFmtId="3" fontId="6" fillId="6" borderId="6" xfId="7" applyNumberFormat="1" applyFont="1" applyFill="1" applyBorder="1" applyAlignment="1">
      <alignment vertical="center"/>
    </xf>
    <xf numFmtId="165" fontId="6" fillId="6" borderId="22" xfId="7" applyNumberFormat="1" applyFont="1" applyFill="1" applyBorder="1" applyAlignment="1">
      <alignment vertical="center"/>
    </xf>
    <xf numFmtId="0" fontId="6" fillId="6" borderId="21" xfId="7" applyFont="1" applyFill="1" applyBorder="1" applyAlignment="1">
      <alignment vertical="center"/>
    </xf>
    <xf numFmtId="0" fontId="6" fillId="6" borderId="6" xfId="9" applyFont="1" applyFill="1" applyBorder="1" applyAlignment="1">
      <alignment vertical="center"/>
    </xf>
    <xf numFmtId="165" fontId="6" fillId="6" borderId="6" xfId="7" applyNumberFormat="1" applyFont="1" applyFill="1" applyBorder="1" applyAlignment="1">
      <alignment vertical="center"/>
    </xf>
    <xf numFmtId="165" fontId="6" fillId="6" borderId="22" xfId="9" applyNumberFormat="1" applyFont="1" applyFill="1" applyBorder="1" applyAlignment="1">
      <alignment vertical="center"/>
    </xf>
    <xf numFmtId="0" fontId="6" fillId="6" borderId="40" xfId="7" applyFont="1" applyFill="1" applyBorder="1" applyAlignment="1">
      <alignment vertical="center"/>
    </xf>
    <xf numFmtId="1" fontId="6" fillId="6" borderId="21" xfId="7" applyNumberFormat="1" applyFont="1" applyFill="1" applyBorder="1" applyAlignment="1">
      <alignment vertical="center"/>
    </xf>
    <xf numFmtId="1" fontId="6" fillId="6" borderId="40" xfId="7" applyNumberFormat="1" applyFont="1" applyFill="1" applyBorder="1" applyAlignment="1">
      <alignment vertical="center"/>
    </xf>
    <xf numFmtId="0" fontId="1" fillId="6" borderId="58" xfId="7" applyFont="1" applyFill="1" applyBorder="1" applyAlignment="1">
      <alignment horizontal="center" vertical="center" wrapText="1"/>
    </xf>
    <xf numFmtId="0" fontId="6" fillId="6" borderId="58" xfId="9" applyFont="1" applyFill="1" applyBorder="1" applyAlignment="1">
      <alignment vertical="center" wrapText="1"/>
    </xf>
    <xf numFmtId="0" fontId="6" fillId="6" borderId="6" xfId="9" applyFont="1" applyFill="1" applyBorder="1" applyAlignment="1">
      <alignment horizontal="left" vertical="center" wrapText="1"/>
    </xf>
    <xf numFmtId="42" fontId="6" fillId="6" borderId="50" xfId="7" applyNumberFormat="1" applyFont="1" applyFill="1" applyBorder="1" applyAlignment="1">
      <alignment vertical="center"/>
    </xf>
    <xf numFmtId="0" fontId="6" fillId="6" borderId="6" xfId="7" applyFont="1" applyFill="1" applyBorder="1" applyAlignment="1">
      <alignment vertical="center"/>
    </xf>
    <xf numFmtId="0" fontId="6" fillId="6" borderId="22" xfId="7" applyFont="1" applyFill="1" applyBorder="1" applyAlignment="1">
      <alignment vertical="center"/>
    </xf>
    <xf numFmtId="42" fontId="6" fillId="6" borderId="44" xfId="7" applyNumberFormat="1" applyFont="1" applyFill="1" applyBorder="1" applyAlignment="1">
      <alignment vertical="center"/>
    </xf>
    <xf numFmtId="42" fontId="6" fillId="6" borderId="46" xfId="7" applyNumberFormat="1" applyFont="1" applyFill="1" applyBorder="1" applyAlignment="1">
      <alignment vertical="center"/>
    </xf>
    <xf numFmtId="0" fontId="1" fillId="5" borderId="31" xfId="7" applyFont="1" applyFill="1" applyBorder="1" applyAlignment="1">
      <alignment wrapText="1"/>
    </xf>
    <xf numFmtId="0" fontId="6" fillId="5" borderId="28" xfId="9" applyFont="1" applyFill="1" applyBorder="1"/>
    <xf numFmtId="0" fontId="6" fillId="5" borderId="4" xfId="9" applyFont="1" applyFill="1" applyBorder="1"/>
    <xf numFmtId="3" fontId="6" fillId="5" borderId="45" xfId="7" applyNumberFormat="1" applyFont="1" applyFill="1" applyBorder="1" applyAlignment="1">
      <alignment vertical="center"/>
    </xf>
    <xf numFmtId="3" fontId="6" fillId="5" borderId="31" xfId="7" applyNumberFormat="1" applyFont="1" applyFill="1" applyBorder="1" applyAlignment="1">
      <alignment vertical="center"/>
    </xf>
    <xf numFmtId="3" fontId="6" fillId="5" borderId="28" xfId="7" applyNumberFormat="1" applyFont="1" applyFill="1" applyBorder="1" applyAlignment="1">
      <alignment vertical="center"/>
    </xf>
    <xf numFmtId="42" fontId="6" fillId="5" borderId="24" xfId="7" applyNumberFormat="1" applyFont="1" applyFill="1" applyBorder="1" applyAlignment="1">
      <alignment vertical="center"/>
    </xf>
    <xf numFmtId="0" fontId="6" fillId="5" borderId="31" xfId="7" applyFont="1" applyFill="1" applyBorder="1" applyAlignment="1">
      <alignment vertical="center"/>
    </xf>
    <xf numFmtId="165" fontId="6" fillId="5" borderId="28" xfId="7" applyNumberFormat="1" applyFont="1" applyFill="1" applyBorder="1" applyAlignment="1">
      <alignment vertical="center"/>
    </xf>
    <xf numFmtId="165" fontId="6" fillId="5" borderId="24" xfId="7" applyNumberFormat="1" applyFont="1" applyFill="1" applyBorder="1" applyAlignment="1">
      <alignment vertical="center"/>
    </xf>
    <xf numFmtId="0" fontId="6" fillId="5" borderId="5" xfId="7" applyFont="1" applyFill="1" applyBorder="1" applyAlignment="1">
      <alignment vertical="center"/>
    </xf>
    <xf numFmtId="42" fontId="9" fillId="5" borderId="57" xfId="7" applyNumberFormat="1" applyFont="1" applyFill="1" applyBorder="1" applyAlignment="1">
      <alignment vertical="center"/>
    </xf>
    <xf numFmtId="0" fontId="1" fillId="5" borderId="25" xfId="7" applyFont="1" applyFill="1" applyBorder="1" applyAlignment="1">
      <alignment wrapText="1"/>
    </xf>
    <xf numFmtId="0" fontId="6" fillId="5" borderId="26" xfId="9" applyFont="1" applyFill="1" applyBorder="1"/>
    <xf numFmtId="0" fontId="6" fillId="5" borderId="39" xfId="9" applyFont="1" applyFill="1" applyBorder="1"/>
    <xf numFmtId="165" fontId="9" fillId="5" borderId="51" xfId="7" applyNumberFormat="1" applyFont="1" applyFill="1" applyBorder="1" applyAlignment="1">
      <alignment vertical="center"/>
    </xf>
    <xf numFmtId="3" fontId="6" fillId="5" borderId="25" xfId="7" applyNumberFormat="1" applyFont="1" applyFill="1" applyBorder="1" applyAlignment="1">
      <alignment vertical="center"/>
    </xf>
    <xf numFmtId="3" fontId="6" fillId="5" borderId="26" xfId="7" applyNumberFormat="1" applyFont="1" applyFill="1" applyBorder="1" applyAlignment="1">
      <alignment vertical="center"/>
    </xf>
    <xf numFmtId="165" fontId="6" fillId="5" borderId="27" xfId="7" applyNumberFormat="1" applyFont="1" applyFill="1" applyBorder="1" applyAlignment="1">
      <alignment vertical="center"/>
    </xf>
    <xf numFmtId="0" fontId="6" fillId="5" borderId="25" xfId="7" applyFont="1" applyFill="1" applyBorder="1" applyAlignment="1">
      <alignment vertical="center"/>
    </xf>
    <xf numFmtId="165" fontId="6" fillId="5" borderId="26" xfId="7" applyNumberFormat="1" applyFont="1" applyFill="1" applyBorder="1" applyAlignment="1">
      <alignment vertical="center"/>
    </xf>
    <xf numFmtId="42" fontId="6" fillId="5" borderId="27" xfId="7" applyNumberFormat="1" applyFont="1" applyFill="1" applyBorder="1" applyAlignment="1">
      <alignment vertical="center"/>
    </xf>
    <xf numFmtId="0" fontId="6" fillId="5" borderId="48" xfId="7" applyFont="1" applyFill="1" applyBorder="1" applyAlignment="1">
      <alignment vertical="center"/>
    </xf>
    <xf numFmtId="42" fontId="0" fillId="5" borderId="57" xfId="0" applyNumberFormat="1" applyFill="1" applyBorder="1"/>
    <xf numFmtId="42" fontId="9" fillId="5" borderId="46" xfId="7" applyNumberFormat="1" applyFont="1" applyFill="1" applyBorder="1" applyAlignment="1">
      <alignment vertical="center"/>
    </xf>
    <xf numFmtId="42" fontId="6" fillId="0" borderId="3" xfId="7" applyNumberFormat="1" applyFont="1" applyBorder="1" applyAlignment="1">
      <alignment horizontal="center" vertical="center" wrapText="1"/>
    </xf>
    <xf numFmtId="0" fontId="4" fillId="10" borderId="19" xfId="7" applyFill="1" applyBorder="1" applyAlignment="1">
      <alignment horizontal="left" wrapText="1"/>
    </xf>
    <xf numFmtId="0" fontId="6" fillId="10" borderId="54" xfId="9" applyFont="1" applyFill="1" applyBorder="1"/>
    <xf numFmtId="3" fontId="6" fillId="10" borderId="49" xfId="7" applyNumberFormat="1" applyFont="1" applyFill="1" applyBorder="1" applyAlignment="1">
      <alignment vertical="center"/>
    </xf>
    <xf numFmtId="3" fontId="6" fillId="10" borderId="18" xfId="7" applyNumberFormat="1" applyFont="1" applyFill="1" applyBorder="1" applyAlignment="1">
      <alignment vertical="center"/>
    </xf>
    <xf numFmtId="3" fontId="6" fillId="10" borderId="19" xfId="7" applyNumberFormat="1" applyFont="1" applyFill="1" applyBorder="1" applyAlignment="1">
      <alignment vertical="center"/>
    </xf>
    <xf numFmtId="42" fontId="6" fillId="10" borderId="20" xfId="7" applyNumberFormat="1" applyFont="1" applyFill="1" applyBorder="1" applyAlignment="1">
      <alignment vertical="center"/>
    </xf>
    <xf numFmtId="0" fontId="6" fillId="10" borderId="18" xfId="7" applyFont="1" applyFill="1" applyBorder="1" applyAlignment="1">
      <alignment vertical="center"/>
    </xf>
    <xf numFmtId="165" fontId="6" fillId="10" borderId="19" xfId="7" applyNumberFormat="1" applyFont="1" applyFill="1" applyBorder="1" applyAlignment="1">
      <alignment vertical="center"/>
    </xf>
    <xf numFmtId="0" fontId="6" fillId="10" borderId="47" xfId="7" applyFont="1" applyFill="1" applyBorder="1" applyAlignment="1">
      <alignment vertical="center"/>
    </xf>
    <xf numFmtId="42" fontId="6" fillId="10" borderId="49" xfId="7" applyNumberFormat="1" applyFont="1" applyFill="1" applyBorder="1" applyAlignment="1">
      <alignment vertical="center"/>
    </xf>
    <xf numFmtId="42" fontId="6" fillId="10" borderId="44" xfId="7" applyNumberFormat="1" applyFont="1" applyFill="1" applyBorder="1" applyAlignment="1">
      <alignment vertical="center"/>
    </xf>
    <xf numFmtId="42" fontId="6" fillId="0" borderId="34" xfId="7" applyNumberFormat="1" applyFont="1" applyBorder="1" applyAlignment="1">
      <alignment horizontal="center" vertical="center" wrapText="1"/>
    </xf>
    <xf numFmtId="42" fontId="0" fillId="0" borderId="34" xfId="0" applyNumberFormat="1" applyBorder="1"/>
    <xf numFmtId="42" fontId="0" fillId="0" borderId="42" xfId="0" applyNumberFormat="1" applyBorder="1"/>
    <xf numFmtId="0" fontId="4" fillId="10" borderId="6" xfId="7" applyFill="1" applyBorder="1" applyAlignment="1">
      <alignment horizontal="left" wrapText="1"/>
    </xf>
    <xf numFmtId="0" fontId="6" fillId="10" borderId="2" xfId="9" applyFont="1" applyFill="1" applyBorder="1"/>
    <xf numFmtId="3" fontId="6" fillId="10" borderId="50" xfId="7" applyNumberFormat="1" applyFont="1" applyFill="1" applyBorder="1" applyAlignment="1">
      <alignment vertical="center"/>
    </xf>
    <xf numFmtId="3" fontId="6" fillId="10" borderId="21" xfId="7" applyNumberFormat="1" applyFont="1" applyFill="1" applyBorder="1" applyAlignment="1">
      <alignment vertical="center"/>
    </xf>
    <xf numFmtId="3" fontId="6" fillId="10" borderId="6" xfId="7" applyNumberFormat="1" applyFont="1" applyFill="1" applyBorder="1" applyAlignment="1">
      <alignment vertical="center"/>
    </xf>
    <xf numFmtId="42" fontId="6" fillId="10" borderId="22" xfId="7" applyNumberFormat="1" applyFont="1" applyFill="1" applyBorder="1" applyAlignment="1">
      <alignment vertical="center"/>
    </xf>
    <xf numFmtId="0" fontId="6" fillId="10" borderId="21" xfId="7" applyFont="1" applyFill="1" applyBorder="1" applyAlignment="1">
      <alignment vertical="center"/>
    </xf>
    <xf numFmtId="165" fontId="6" fillId="10" borderId="6" xfId="7" applyNumberFormat="1" applyFont="1" applyFill="1" applyBorder="1" applyAlignment="1">
      <alignment vertical="center"/>
    </xf>
    <xf numFmtId="0" fontId="6" fillId="10" borderId="40" xfId="7" applyFont="1" applyFill="1" applyBorder="1" applyAlignment="1">
      <alignment vertical="center"/>
    </xf>
    <xf numFmtId="42" fontId="6" fillId="10" borderId="50" xfId="7" applyNumberFormat="1" applyFont="1" applyFill="1" applyBorder="1" applyAlignment="1">
      <alignment vertical="center"/>
    </xf>
    <xf numFmtId="0" fontId="4" fillId="10" borderId="26" xfId="7" applyFill="1" applyBorder="1" applyAlignment="1">
      <alignment horizontal="left" wrapText="1"/>
    </xf>
    <xf numFmtId="0" fontId="6" fillId="10" borderId="39" xfId="9" applyFont="1" applyFill="1" applyBorder="1"/>
    <xf numFmtId="3" fontId="6" fillId="10" borderId="51" xfId="7" applyNumberFormat="1" applyFont="1" applyFill="1" applyBorder="1" applyAlignment="1">
      <alignment vertical="center"/>
    </xf>
    <xf numFmtId="3" fontId="6" fillId="10" borderId="48" xfId="7" applyNumberFormat="1" applyFont="1" applyFill="1" applyBorder="1" applyAlignment="1">
      <alignment vertical="center"/>
    </xf>
    <xf numFmtId="3" fontId="6" fillId="10" borderId="26" xfId="7" applyNumberFormat="1" applyFont="1" applyFill="1" applyBorder="1" applyAlignment="1">
      <alignment vertical="center"/>
    </xf>
    <xf numFmtId="42" fontId="6" fillId="10" borderId="27" xfId="7" applyNumberFormat="1" applyFont="1" applyFill="1" applyBorder="1" applyAlignment="1">
      <alignment vertical="center"/>
    </xf>
    <xf numFmtId="0" fontId="6" fillId="10" borderId="48" xfId="7" applyFont="1" applyFill="1" applyBorder="1" applyAlignment="1">
      <alignment vertical="center"/>
    </xf>
    <xf numFmtId="165" fontId="6" fillId="10" borderId="26" xfId="7" applyNumberFormat="1" applyFont="1" applyFill="1" applyBorder="1" applyAlignment="1">
      <alignment vertical="center"/>
    </xf>
    <xf numFmtId="42" fontId="6" fillId="10" borderId="11" xfId="7" applyNumberFormat="1" applyFont="1" applyFill="1" applyBorder="1" applyAlignment="1">
      <alignment vertical="center"/>
    </xf>
    <xf numFmtId="42" fontId="6" fillId="10" borderId="46" xfId="7" applyNumberFormat="1" applyFont="1" applyFill="1" applyBorder="1" applyAlignment="1">
      <alignment vertical="center"/>
    </xf>
    <xf numFmtId="42" fontId="6" fillId="0" borderId="66" xfId="7" applyNumberFormat="1" applyFont="1" applyBorder="1" applyAlignment="1">
      <alignment horizontal="center" vertical="center" wrapText="1"/>
    </xf>
    <xf numFmtId="165" fontId="0" fillId="0" borderId="0" xfId="0" applyNumberFormat="1"/>
    <xf numFmtId="42" fontId="13" fillId="11" borderId="43" xfId="0" applyNumberFormat="1" applyFont="1" applyFill="1" applyBorder="1"/>
    <xf numFmtId="42" fontId="13" fillId="13" borderId="57" xfId="0" applyNumberFormat="1" applyFont="1" applyFill="1" applyBorder="1"/>
    <xf numFmtId="42" fontId="13" fillId="11" borderId="15" xfId="0" applyNumberFormat="1" applyFont="1" applyFill="1" applyBorder="1"/>
    <xf numFmtId="42" fontId="13" fillId="11" borderId="29" xfId="0" applyNumberFormat="1" applyFont="1" applyFill="1" applyBorder="1"/>
    <xf numFmtId="42" fontId="13" fillId="11" borderId="16" xfId="0" applyNumberFormat="1" applyFont="1" applyFill="1" applyBorder="1"/>
    <xf numFmtId="42" fontId="13" fillId="11" borderId="17" xfId="0" applyNumberFormat="1" applyFont="1" applyFill="1" applyBorder="1"/>
    <xf numFmtId="0" fontId="22" fillId="0" borderId="0" xfId="0" applyFont="1" applyAlignment="1">
      <alignment vertical="center"/>
    </xf>
    <xf numFmtId="9" fontId="22" fillId="0" borderId="0" xfId="0" applyNumberFormat="1" applyFont="1" applyAlignment="1">
      <alignment horizontal="right" vertical="center"/>
    </xf>
    <xf numFmtId="42" fontId="0" fillId="12" borderId="44" xfId="0" applyNumberFormat="1" applyFill="1" applyBorder="1"/>
    <xf numFmtId="42" fontId="0" fillId="12" borderId="43" xfId="0" applyNumberFormat="1" applyFill="1" applyBorder="1"/>
    <xf numFmtId="42" fontId="0" fillId="12" borderId="10" xfId="0" applyNumberFormat="1" applyFill="1" applyBorder="1"/>
    <xf numFmtId="42" fontId="0" fillId="12" borderId="62" xfId="0" applyNumberFormat="1" applyFill="1" applyBorder="1"/>
    <xf numFmtId="42" fontId="0" fillId="12" borderId="9" xfId="0" applyNumberFormat="1" applyFill="1" applyBorder="1"/>
    <xf numFmtId="42" fontId="0" fillId="12" borderId="3" xfId="0" applyNumberFormat="1" applyFill="1" applyBorder="1"/>
    <xf numFmtId="42" fontId="0" fillId="12" borderId="11" xfId="0" applyNumberFormat="1" applyFill="1" applyBorder="1"/>
    <xf numFmtId="42" fontId="0" fillId="12" borderId="12" xfId="0" applyNumberFormat="1" applyFill="1" applyBorder="1"/>
    <xf numFmtId="42" fontId="0" fillId="12" borderId="67" xfId="0" applyNumberFormat="1" applyFill="1" applyBorder="1"/>
    <xf numFmtId="42" fontId="0" fillId="12" borderId="14" xfId="0" applyNumberFormat="1" applyFill="1" applyBorder="1"/>
    <xf numFmtId="42" fontId="13" fillId="11" borderId="46" xfId="0" applyNumberFormat="1" applyFont="1" applyFill="1" applyBorder="1"/>
    <xf numFmtId="0" fontId="23" fillId="0" borderId="0" xfId="0" applyFont="1" applyAlignment="1">
      <alignment vertical="center"/>
    </xf>
    <xf numFmtId="42" fontId="18" fillId="0" borderId="0" xfId="0" applyNumberFormat="1" applyFont="1"/>
    <xf numFmtId="0" fontId="8" fillId="0" borderId="0" xfId="0" applyFont="1"/>
    <xf numFmtId="42" fontId="13" fillId="0" borderId="57" xfId="0" applyNumberFormat="1" applyFont="1" applyBorder="1"/>
    <xf numFmtId="42" fontId="13" fillId="0" borderId="15" xfId="0" applyNumberFormat="1" applyFont="1" applyBorder="1"/>
    <xf numFmtId="42" fontId="13" fillId="0" borderId="17" xfId="0" applyNumberFormat="1" applyFont="1" applyBorder="1"/>
    <xf numFmtId="42" fontId="13" fillId="0" borderId="0" xfId="0" applyNumberFormat="1" applyFont="1"/>
    <xf numFmtId="0" fontId="4" fillId="5" borderId="52" xfId="7" applyFill="1" applyBorder="1" applyAlignment="1">
      <alignment horizontal="left" wrapText="1"/>
    </xf>
    <xf numFmtId="0" fontId="6" fillId="5" borderId="54" xfId="9" applyFont="1" applyFill="1" applyBorder="1"/>
    <xf numFmtId="3" fontId="6" fillId="5" borderId="49" xfId="7" applyNumberFormat="1" applyFont="1" applyFill="1" applyBorder="1" applyAlignment="1">
      <alignment vertical="center"/>
    </xf>
    <xf numFmtId="3" fontId="6" fillId="5" borderId="47" xfId="7" applyNumberFormat="1" applyFont="1" applyFill="1" applyBorder="1" applyAlignment="1">
      <alignment vertical="center"/>
    </xf>
    <xf numFmtId="3" fontId="6" fillId="5" borderId="19" xfId="7" applyNumberFormat="1" applyFont="1" applyFill="1" applyBorder="1" applyAlignment="1">
      <alignment vertical="center"/>
    </xf>
    <xf numFmtId="42" fontId="6" fillId="5" borderId="20" xfId="7" applyNumberFormat="1" applyFont="1" applyFill="1" applyBorder="1" applyAlignment="1">
      <alignment vertical="center"/>
    </xf>
    <xf numFmtId="0" fontId="6" fillId="5" borderId="47" xfId="7" applyFont="1" applyFill="1" applyBorder="1" applyAlignment="1">
      <alignment vertical="center"/>
    </xf>
    <xf numFmtId="165" fontId="6" fillId="5" borderId="19" xfId="7" applyNumberFormat="1" applyFont="1" applyFill="1" applyBorder="1" applyAlignment="1">
      <alignment vertical="center"/>
    </xf>
    <xf numFmtId="42" fontId="6" fillId="5" borderId="49" xfId="7" applyNumberFormat="1" applyFont="1" applyFill="1" applyBorder="1" applyAlignment="1">
      <alignment vertical="center"/>
    </xf>
    <xf numFmtId="42" fontId="6" fillId="5" borderId="43" xfId="7" applyNumberFormat="1" applyFont="1" applyFill="1" applyBorder="1" applyAlignment="1">
      <alignment vertical="center"/>
    </xf>
    <xf numFmtId="42" fontId="0" fillId="0" borderId="7" xfId="0" applyNumberFormat="1" applyBorder="1"/>
    <xf numFmtId="42" fontId="0" fillId="0" borderId="52" xfId="0" applyNumberFormat="1" applyBorder="1"/>
    <xf numFmtId="42" fontId="0" fillId="0" borderId="8" xfId="0" applyNumberFormat="1" applyBorder="1"/>
    <xf numFmtId="42" fontId="0" fillId="0" borderId="9" xfId="0" applyNumberFormat="1" applyBorder="1"/>
    <xf numFmtId="0" fontId="4" fillId="5" borderId="6" xfId="7" applyFill="1" applyBorder="1" applyAlignment="1">
      <alignment horizontal="left" vertical="center" wrapText="1"/>
    </xf>
    <xf numFmtId="0" fontId="6" fillId="5" borderId="2" xfId="9" applyFont="1" applyFill="1" applyBorder="1"/>
    <xf numFmtId="3" fontId="6" fillId="5" borderId="40" xfId="7" applyNumberFormat="1" applyFont="1" applyFill="1" applyBorder="1" applyAlignment="1">
      <alignment vertical="center"/>
    </xf>
    <xf numFmtId="3" fontId="6" fillId="5" borderId="6" xfId="7" applyNumberFormat="1" applyFont="1" applyFill="1" applyBorder="1" applyAlignment="1">
      <alignment vertical="center"/>
    </xf>
    <xf numFmtId="42" fontId="6" fillId="5" borderId="22" xfId="7" applyNumberFormat="1" applyFont="1" applyFill="1" applyBorder="1" applyAlignment="1">
      <alignment vertical="center"/>
    </xf>
    <xf numFmtId="0" fontId="6" fillId="5" borderId="40" xfId="7" applyFont="1" applyFill="1" applyBorder="1" applyAlignment="1">
      <alignment vertical="center"/>
    </xf>
    <xf numFmtId="165" fontId="6" fillId="5" borderId="6" xfId="7" applyNumberFormat="1" applyFont="1" applyFill="1" applyBorder="1" applyAlignment="1">
      <alignment vertical="center"/>
    </xf>
    <xf numFmtId="42" fontId="6" fillId="5" borderId="50" xfId="7" applyNumberFormat="1" applyFont="1" applyFill="1" applyBorder="1" applyAlignment="1">
      <alignment vertical="center"/>
    </xf>
    <xf numFmtId="42" fontId="6" fillId="5" borderId="44" xfId="7" applyNumberFormat="1" applyFont="1" applyFill="1" applyBorder="1" applyAlignment="1">
      <alignment vertical="center"/>
    </xf>
    <xf numFmtId="42" fontId="0" fillId="0" borderId="10" xfId="0" applyNumberFormat="1" applyBorder="1"/>
    <xf numFmtId="42" fontId="0" fillId="0" borderId="11" xfId="0" applyNumberFormat="1" applyBorder="1"/>
    <xf numFmtId="0" fontId="6" fillId="5" borderId="6" xfId="9" applyFont="1" applyFill="1" applyBorder="1"/>
    <xf numFmtId="3" fontId="6" fillId="5" borderId="50" xfId="7" applyNumberFormat="1" applyFont="1" applyFill="1" applyBorder="1" applyAlignment="1">
      <alignment vertical="center"/>
    </xf>
    <xf numFmtId="3" fontId="6" fillId="5" borderId="21" xfId="7" applyNumberFormat="1" applyFont="1" applyFill="1" applyBorder="1" applyAlignment="1">
      <alignment vertical="center"/>
    </xf>
    <xf numFmtId="165" fontId="6" fillId="5" borderId="22" xfId="7" applyNumberFormat="1" applyFont="1" applyFill="1" applyBorder="1" applyAlignment="1">
      <alignment vertical="center"/>
    </xf>
    <xf numFmtId="0" fontId="6" fillId="5" borderId="21" xfId="7" applyFont="1" applyFill="1" applyBorder="1" applyAlignment="1">
      <alignment vertical="center"/>
    </xf>
    <xf numFmtId="0" fontId="6" fillId="5" borderId="66" xfId="9" applyFont="1" applyFill="1" applyBorder="1"/>
    <xf numFmtId="0" fontId="6" fillId="5" borderId="67" xfId="9" applyFont="1" applyFill="1" applyBorder="1"/>
    <xf numFmtId="3" fontId="6" fillId="5" borderId="46" xfId="7" applyNumberFormat="1" applyFont="1" applyFill="1" applyBorder="1" applyAlignment="1">
      <alignment vertical="center"/>
    </xf>
    <xf numFmtId="3" fontId="6" fillId="5" borderId="38" xfId="7" applyNumberFormat="1" applyFont="1" applyFill="1" applyBorder="1" applyAlignment="1">
      <alignment vertical="center"/>
    </xf>
    <xf numFmtId="3" fontId="6" fillId="5" borderId="66" xfId="7" applyNumberFormat="1" applyFont="1" applyFill="1" applyBorder="1" applyAlignment="1">
      <alignment vertical="center"/>
    </xf>
    <xf numFmtId="165" fontId="6" fillId="5" borderId="36" xfId="7" applyNumberFormat="1" applyFont="1" applyFill="1" applyBorder="1" applyAlignment="1">
      <alignment vertical="center"/>
    </xf>
    <xf numFmtId="0" fontId="6" fillId="5" borderId="38" xfId="7" applyFont="1" applyFill="1" applyBorder="1" applyAlignment="1">
      <alignment vertical="center"/>
    </xf>
    <xf numFmtId="165" fontId="6" fillId="5" borderId="66" xfId="7" applyNumberFormat="1" applyFont="1" applyFill="1" applyBorder="1" applyAlignment="1">
      <alignment vertical="center"/>
    </xf>
    <xf numFmtId="0" fontId="6" fillId="5" borderId="65" xfId="7" applyFont="1" applyFill="1" applyBorder="1" applyAlignment="1">
      <alignment vertical="center"/>
    </xf>
    <xf numFmtId="0" fontId="4" fillId="5" borderId="13" xfId="0" applyFont="1" applyFill="1" applyBorder="1"/>
    <xf numFmtId="165" fontId="6" fillId="5" borderId="46" xfId="7" applyNumberFormat="1" applyFont="1" applyFill="1" applyBorder="1" applyAlignment="1">
      <alignment vertical="center"/>
    </xf>
    <xf numFmtId="0" fontId="4" fillId="0" borderId="0" xfId="0" applyFont="1"/>
    <xf numFmtId="165" fontId="6" fillId="0" borderId="12" xfId="7" applyNumberFormat="1" applyFont="1" applyBorder="1" applyAlignment="1">
      <alignment horizontal="center" vertical="center" wrapText="1"/>
    </xf>
    <xf numFmtId="42" fontId="4" fillId="0" borderId="66" xfId="0" applyNumberFormat="1" applyFont="1" applyBorder="1"/>
    <xf numFmtId="42" fontId="4" fillId="0" borderId="13" xfId="0" applyNumberFormat="1" applyFont="1" applyBorder="1"/>
    <xf numFmtId="42" fontId="4" fillId="0" borderId="14" xfId="0" applyNumberFormat="1" applyFont="1" applyBorder="1"/>
    <xf numFmtId="0" fontId="24" fillId="0" borderId="0" xfId="7" applyFont="1" applyAlignment="1">
      <alignment horizontal="left" wrapText="1"/>
    </xf>
    <xf numFmtId="0" fontId="9" fillId="0" borderId="13" xfId="7" applyFont="1" applyBorder="1" applyAlignment="1">
      <alignment horizontal="center" vertical="center" wrapText="1"/>
    </xf>
    <xf numFmtId="0" fontId="11" fillId="0" borderId="13" xfId="7" applyFont="1" applyBorder="1" applyAlignment="1">
      <alignment horizontal="center" wrapText="1"/>
    </xf>
    <xf numFmtId="0" fontId="10" fillId="0" borderId="13" xfId="7" applyFont="1" applyBorder="1" applyAlignment="1">
      <alignment horizontal="center" vertical="top" wrapText="1"/>
    </xf>
    <xf numFmtId="0" fontId="10" fillId="0" borderId="14" xfId="7" applyFont="1" applyBorder="1" applyAlignment="1">
      <alignment horizontal="center" vertical="top" wrapText="1"/>
    </xf>
    <xf numFmtId="0" fontId="13" fillId="3" borderId="52" xfId="0" applyFont="1" applyFill="1" applyBorder="1"/>
    <xf numFmtId="0" fontId="13" fillId="3" borderId="35" xfId="0" applyFont="1" applyFill="1" applyBorder="1"/>
    <xf numFmtId="0" fontId="0" fillId="3" borderId="52" xfId="0" applyFill="1" applyBorder="1"/>
    <xf numFmtId="0" fontId="0" fillId="3" borderId="35" xfId="0" applyFill="1" applyBorder="1"/>
    <xf numFmtId="0" fontId="0" fillId="3" borderId="43" xfId="0" applyFill="1" applyBorder="1"/>
    <xf numFmtId="0" fontId="1" fillId="3" borderId="44" xfId="7" applyFont="1" applyFill="1" applyBorder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6" fillId="7" borderId="44" xfId="7" applyFont="1" applyFill="1" applyBorder="1" applyAlignment="1">
      <alignment vertical="center"/>
    </xf>
    <xf numFmtId="165" fontId="6" fillId="9" borderId="44" xfId="9" applyNumberFormat="1" applyFont="1" applyFill="1" applyBorder="1" applyAlignment="1">
      <alignment vertical="center"/>
    </xf>
    <xf numFmtId="165" fontId="6" fillId="0" borderId="0" xfId="9" applyNumberFormat="1" applyFont="1" applyFill="1" applyBorder="1" applyAlignment="1">
      <alignment vertical="center"/>
    </xf>
    <xf numFmtId="165" fontId="6" fillId="6" borderId="44" xfId="9" applyNumberFormat="1" applyFont="1" applyFill="1" applyBorder="1" applyAlignment="1">
      <alignment vertical="center"/>
    </xf>
    <xf numFmtId="42" fontId="6" fillId="6" borderId="64" xfId="7" applyNumberFormat="1" applyFont="1" applyFill="1" applyBorder="1" applyAlignment="1">
      <alignment vertical="center"/>
    </xf>
    <xf numFmtId="0" fontId="6" fillId="6" borderId="44" xfId="7" applyFont="1" applyFill="1" applyBorder="1" applyAlignment="1">
      <alignment vertical="center"/>
    </xf>
    <xf numFmtId="42" fontId="6" fillId="0" borderId="0" xfId="7" applyNumberFormat="1" applyFont="1" applyAlignment="1">
      <alignment vertical="center"/>
    </xf>
    <xf numFmtId="165" fontId="9" fillId="5" borderId="44" xfId="7" applyNumberFormat="1" applyFont="1" applyFill="1" applyBorder="1" applyAlignment="1">
      <alignment vertical="center"/>
    </xf>
    <xf numFmtId="165" fontId="9" fillId="0" borderId="0" xfId="7" applyNumberFormat="1" applyFont="1" applyAlignment="1">
      <alignment vertical="center"/>
    </xf>
    <xf numFmtId="0" fontId="4" fillId="5" borderId="33" xfId="7" applyFill="1" applyBorder="1" applyAlignment="1">
      <alignment horizontal="left" wrapText="1"/>
    </xf>
    <xf numFmtId="0" fontId="6" fillId="5" borderId="6" xfId="9" applyFont="1" applyFill="1" applyBorder="1" applyAlignment="1">
      <alignment vertical="center"/>
    </xf>
    <xf numFmtId="42" fontId="6" fillId="5" borderId="11" xfId="7" applyNumberFormat="1" applyFont="1" applyFill="1" applyBorder="1" applyAlignment="1">
      <alignment vertical="center"/>
    </xf>
    <xf numFmtId="165" fontId="6" fillId="5" borderId="45" xfId="7" applyNumberFormat="1" applyFont="1" applyFill="1" applyBorder="1" applyAlignment="1">
      <alignment vertical="center"/>
    </xf>
    <xf numFmtId="165" fontId="6" fillId="0" borderId="0" xfId="7" applyNumberFormat="1" applyFont="1" applyAlignment="1">
      <alignment vertical="center"/>
    </xf>
    <xf numFmtId="0" fontId="4" fillId="5" borderId="0" xfId="0" applyFont="1" applyFill="1"/>
    <xf numFmtId="0" fontId="4" fillId="5" borderId="26" xfId="0" applyFont="1" applyFill="1" applyBorder="1"/>
    <xf numFmtId="0" fontId="4" fillId="5" borderId="27" xfId="0" applyFont="1" applyFill="1" applyBorder="1"/>
    <xf numFmtId="0" fontId="4" fillId="5" borderId="56" xfId="0" applyFont="1" applyFill="1" applyBorder="1"/>
    <xf numFmtId="0" fontId="4" fillId="5" borderId="39" xfId="0" applyFont="1" applyFill="1" applyBorder="1"/>
    <xf numFmtId="42" fontId="4" fillId="5" borderId="27" xfId="0" applyNumberFormat="1" applyFont="1" applyFill="1" applyBorder="1"/>
    <xf numFmtId="42" fontId="4" fillId="5" borderId="51" xfId="0" applyNumberFormat="1" applyFont="1" applyFill="1" applyBorder="1"/>
    <xf numFmtId="42" fontId="4" fillId="0" borderId="0" xfId="0" applyNumberFormat="1" applyFont="1"/>
    <xf numFmtId="42" fontId="6" fillId="10" borderId="14" xfId="7" applyNumberFormat="1" applyFont="1" applyFill="1" applyBorder="1" applyAlignment="1">
      <alignment vertical="center"/>
    </xf>
    <xf numFmtId="165" fontId="13" fillId="13" borderId="46" xfId="0" applyNumberFormat="1" applyFont="1" applyFill="1" applyBorder="1"/>
    <xf numFmtId="165" fontId="13" fillId="0" borderId="0" xfId="0" applyNumberFormat="1" applyFont="1"/>
    <xf numFmtId="165" fontId="0" fillId="12" borderId="43" xfId="0" applyNumberFormat="1" applyFill="1" applyBorder="1"/>
    <xf numFmtId="165" fontId="0" fillId="12" borderId="44" xfId="0" applyNumberFormat="1" applyFill="1" applyBorder="1"/>
    <xf numFmtId="165" fontId="13" fillId="11" borderId="46" xfId="0" applyNumberFormat="1" applyFont="1" applyFill="1" applyBorder="1"/>
    <xf numFmtId="165" fontId="5" fillId="7" borderId="19" xfId="7" applyNumberFormat="1" applyFont="1" applyFill="1" applyBorder="1" applyAlignment="1">
      <alignment vertical="center"/>
    </xf>
    <xf numFmtId="165" fontId="5" fillId="7" borderId="6" xfId="7" applyNumberFormat="1" applyFont="1" applyFill="1" applyBorder="1" applyAlignment="1">
      <alignment vertical="center"/>
    </xf>
    <xf numFmtId="165" fontId="5" fillId="7" borderId="26" xfId="7" applyNumberFormat="1" applyFont="1" applyFill="1" applyBorder="1" applyAlignment="1">
      <alignment vertical="center"/>
    </xf>
    <xf numFmtId="165" fontId="5" fillId="9" borderId="19" xfId="9" applyNumberFormat="1" applyFont="1" applyFill="1" applyBorder="1" applyAlignment="1">
      <alignment vertical="center"/>
    </xf>
    <xf numFmtId="165" fontId="5" fillId="9" borderId="6" xfId="9" applyNumberFormat="1" applyFont="1" applyFill="1" applyBorder="1" applyAlignment="1">
      <alignment vertical="center"/>
    </xf>
    <xf numFmtId="165" fontId="5" fillId="9" borderId="26" xfId="9" applyNumberFormat="1" applyFont="1" applyFill="1" applyBorder="1" applyAlignment="1">
      <alignment vertical="center"/>
    </xf>
    <xf numFmtId="165" fontId="5" fillId="6" borderId="19" xfId="7" applyNumberFormat="1" applyFont="1" applyFill="1" applyBorder="1" applyAlignment="1">
      <alignment vertical="center"/>
    </xf>
    <xf numFmtId="165" fontId="5" fillId="6" borderId="6" xfId="7" applyNumberFormat="1" applyFont="1" applyFill="1" applyBorder="1" applyAlignment="1">
      <alignment vertical="center"/>
    </xf>
    <xf numFmtId="164" fontId="26" fillId="3" borderId="32" xfId="0" applyNumberFormat="1" applyFont="1" applyFill="1" applyBorder="1" applyAlignment="1">
      <alignment horizontal="center" vertical="center" wrapText="1"/>
    </xf>
    <xf numFmtId="164" fontId="26" fillId="3" borderId="33" xfId="0" applyNumberFormat="1" applyFont="1" applyFill="1" applyBorder="1" applyAlignment="1">
      <alignment horizontal="center" vertical="center" wrapText="1"/>
    </xf>
    <xf numFmtId="164" fontId="26" fillId="3" borderId="23" xfId="0" applyNumberFormat="1" applyFont="1" applyFill="1" applyBorder="1" applyAlignment="1">
      <alignment horizontal="center" vertical="center" wrapText="1"/>
    </xf>
    <xf numFmtId="164" fontId="12" fillId="5" borderId="19" xfId="0" applyNumberFormat="1" applyFont="1" applyFill="1" applyBorder="1"/>
    <xf numFmtId="164" fontId="12" fillId="5" borderId="6" xfId="0" applyNumberFormat="1" applyFont="1" applyFill="1" applyBorder="1"/>
    <xf numFmtId="164" fontId="14" fillId="5" borderId="6" xfId="0" applyNumberFormat="1" applyFont="1" applyFill="1" applyBorder="1"/>
    <xf numFmtId="3" fontId="6" fillId="9" borderId="59" xfId="9" applyNumberFormat="1" applyFont="1" applyFill="1" applyBorder="1" applyAlignment="1">
      <alignment vertical="center"/>
    </xf>
    <xf numFmtId="3" fontId="6" fillId="6" borderId="68" xfId="7" applyNumberFormat="1" applyFont="1" applyFill="1" applyBorder="1" applyAlignment="1">
      <alignment vertical="center"/>
    </xf>
    <xf numFmtId="3" fontId="6" fillId="6" borderId="58" xfId="7" applyNumberFormat="1" applyFont="1" applyFill="1" applyBorder="1" applyAlignment="1">
      <alignment vertical="center"/>
    </xf>
    <xf numFmtId="3" fontId="6" fillId="5" borderId="69" xfId="7" applyNumberFormat="1" applyFont="1" applyFill="1" applyBorder="1" applyAlignment="1">
      <alignment vertical="center"/>
    </xf>
    <xf numFmtId="3" fontId="6" fillId="10" borderId="68" xfId="7" applyNumberFormat="1" applyFont="1" applyFill="1" applyBorder="1" applyAlignment="1">
      <alignment vertical="center"/>
    </xf>
    <xf numFmtId="3" fontId="6" fillId="10" borderId="58" xfId="7" applyNumberFormat="1" applyFont="1" applyFill="1" applyBorder="1" applyAlignment="1">
      <alignment vertical="center"/>
    </xf>
    <xf numFmtId="164" fontId="14" fillId="5" borderId="33" xfId="0" applyNumberFormat="1" applyFont="1" applyFill="1" applyBorder="1"/>
    <xf numFmtId="0" fontId="27" fillId="14" borderId="6" xfId="0" applyFont="1" applyFill="1" applyBorder="1" applyAlignment="1">
      <alignment horizontal="center" vertical="center"/>
    </xf>
    <xf numFmtId="3" fontId="5" fillId="7" borderId="49" xfId="9" applyNumberFormat="1" applyFont="1" applyFill="1" applyBorder="1" applyAlignment="1">
      <alignment vertical="center"/>
    </xf>
    <xf numFmtId="3" fontId="5" fillId="7" borderId="50" xfId="9" applyNumberFormat="1" applyFont="1" applyFill="1" applyBorder="1" applyAlignment="1">
      <alignment vertical="center"/>
    </xf>
    <xf numFmtId="3" fontId="5" fillId="7" borderId="51" xfId="9" applyNumberFormat="1" applyFont="1" applyFill="1" applyBorder="1" applyAlignment="1">
      <alignment vertical="center"/>
    </xf>
    <xf numFmtId="0" fontId="1" fillId="10" borderId="37" xfId="7" applyFont="1" applyFill="1" applyBorder="1" applyAlignment="1">
      <alignment vertical="center" wrapText="1"/>
    </xf>
    <xf numFmtId="0" fontId="1" fillId="10" borderId="63" xfId="7" applyFont="1" applyFill="1" applyBorder="1" applyAlignment="1">
      <alignment vertical="center" wrapText="1"/>
    </xf>
    <xf numFmtId="0" fontId="6" fillId="9" borderId="70" xfId="9" applyFont="1" applyFill="1" applyBorder="1" applyAlignment="1">
      <alignment vertical="center"/>
    </xf>
    <xf numFmtId="0" fontId="6" fillId="9" borderId="68" xfId="9" applyFont="1" applyFill="1" applyBorder="1" applyAlignment="1">
      <alignment vertical="center"/>
    </xf>
    <xf numFmtId="0" fontId="6" fillId="9" borderId="58" xfId="9" applyFont="1" applyFill="1" applyBorder="1" applyAlignment="1">
      <alignment vertical="center"/>
    </xf>
    <xf numFmtId="0" fontId="6" fillId="9" borderId="59" xfId="9" applyFont="1" applyFill="1" applyBorder="1" applyAlignment="1">
      <alignment vertical="center"/>
    </xf>
    <xf numFmtId="165" fontId="6" fillId="9" borderId="47" xfId="9" applyNumberFormat="1" applyFont="1" applyFill="1" applyBorder="1" applyAlignment="1">
      <alignment vertical="center"/>
    </xf>
    <xf numFmtId="165" fontId="6" fillId="9" borderId="40" xfId="9" applyNumberFormat="1" applyFont="1" applyFill="1" applyBorder="1" applyAlignment="1">
      <alignment vertical="center"/>
    </xf>
    <xf numFmtId="165" fontId="6" fillId="9" borderId="48" xfId="9" applyNumberFormat="1" applyFont="1" applyFill="1" applyBorder="1" applyAlignment="1">
      <alignment vertical="center"/>
    </xf>
    <xf numFmtId="3" fontId="6" fillId="7" borderId="33" xfId="7" applyNumberFormat="1" applyFont="1" applyFill="1" applyBorder="1" applyAlignment="1">
      <alignment vertical="center"/>
    </xf>
    <xf numFmtId="0" fontId="6" fillId="7" borderId="33" xfId="7" applyFont="1" applyFill="1" applyBorder="1" applyAlignment="1">
      <alignment vertical="center"/>
    </xf>
    <xf numFmtId="0" fontId="6" fillId="9" borderId="71" xfId="9" applyFont="1" applyFill="1" applyBorder="1" applyAlignment="1">
      <alignment vertical="center"/>
    </xf>
    <xf numFmtId="0" fontId="6" fillId="9" borderId="72" xfId="9" applyFont="1" applyFill="1" applyBorder="1" applyAlignment="1">
      <alignment vertical="center"/>
    </xf>
    <xf numFmtId="0" fontId="6" fillId="9" borderId="55" xfId="9" applyFont="1" applyFill="1" applyBorder="1" applyAlignment="1">
      <alignment vertical="center"/>
    </xf>
    <xf numFmtId="0" fontId="6" fillId="9" borderId="56" xfId="9" applyFont="1" applyFill="1" applyBorder="1" applyAlignment="1">
      <alignment vertical="center"/>
    </xf>
    <xf numFmtId="0" fontId="6" fillId="15" borderId="73" xfId="9" applyFont="1" applyFill="1" applyBorder="1" applyAlignment="1">
      <alignment vertical="center"/>
    </xf>
    <xf numFmtId="165" fontId="6" fillId="15" borderId="47" xfId="7" applyNumberFormat="1" applyFont="1" applyFill="1" applyBorder="1" applyAlignment="1">
      <alignment vertical="center"/>
    </xf>
    <xf numFmtId="165" fontId="6" fillId="15" borderId="20" xfId="9" applyNumberFormat="1" applyFont="1" applyFill="1" applyBorder="1" applyAlignment="1">
      <alignment vertical="center"/>
    </xf>
    <xf numFmtId="0" fontId="6" fillId="15" borderId="68" xfId="7" applyFont="1" applyFill="1" applyBorder="1" applyAlignment="1">
      <alignment vertical="center"/>
    </xf>
    <xf numFmtId="0" fontId="6" fillId="15" borderId="72" xfId="7" applyFont="1" applyFill="1" applyBorder="1" applyAlignment="1">
      <alignment vertical="center"/>
    </xf>
    <xf numFmtId="0" fontId="6" fillId="15" borderId="70" xfId="9" applyFont="1" applyFill="1" applyBorder="1" applyAlignment="1">
      <alignment vertical="center"/>
    </xf>
    <xf numFmtId="165" fontId="6" fillId="15" borderId="40" xfId="7" applyNumberFormat="1" applyFont="1" applyFill="1" applyBorder="1" applyAlignment="1">
      <alignment vertical="center"/>
    </xf>
    <xf numFmtId="165" fontId="6" fillId="15" borderId="22" xfId="9" applyNumberFormat="1" applyFont="1" applyFill="1" applyBorder="1" applyAlignment="1">
      <alignment vertical="center"/>
    </xf>
    <xf numFmtId="0" fontId="6" fillId="15" borderId="58" xfId="7" applyFont="1" applyFill="1" applyBorder="1" applyAlignment="1">
      <alignment vertical="center"/>
    </xf>
    <xf numFmtId="0" fontId="6" fillId="15" borderId="55" xfId="7" applyFont="1" applyFill="1" applyBorder="1" applyAlignment="1">
      <alignment vertical="center"/>
    </xf>
    <xf numFmtId="1" fontId="6" fillId="15" borderId="58" xfId="7" applyNumberFormat="1" applyFont="1" applyFill="1" applyBorder="1" applyAlignment="1">
      <alignment vertical="center"/>
    </xf>
    <xf numFmtId="1" fontId="6" fillId="15" borderId="55" xfId="7" applyNumberFormat="1" applyFont="1" applyFill="1" applyBorder="1" applyAlignment="1">
      <alignment vertical="center"/>
    </xf>
    <xf numFmtId="0" fontId="6" fillId="15" borderId="28" xfId="9" applyFont="1" applyFill="1" applyBorder="1" applyAlignment="1">
      <alignment vertical="center"/>
    </xf>
    <xf numFmtId="0" fontId="6" fillId="15" borderId="22" xfId="7" applyFont="1" applyFill="1" applyBorder="1" applyAlignment="1">
      <alignment vertical="center"/>
    </xf>
    <xf numFmtId="0" fontId="1" fillId="15" borderId="68" xfId="7" applyFont="1" applyFill="1" applyBorder="1" applyAlignment="1">
      <alignment vertical="center" wrapText="1"/>
    </xf>
    <xf numFmtId="0" fontId="4" fillId="15" borderId="19" xfId="7" applyFill="1" applyBorder="1" applyAlignment="1">
      <alignment horizontal="left" vertical="center" wrapText="1"/>
    </xf>
    <xf numFmtId="0" fontId="6" fillId="15" borderId="54" xfId="9" applyFont="1" applyFill="1" applyBorder="1"/>
    <xf numFmtId="3" fontId="6" fillId="15" borderId="49" xfId="7" applyNumberFormat="1" applyFont="1" applyFill="1" applyBorder="1" applyAlignment="1">
      <alignment vertical="center"/>
    </xf>
    <xf numFmtId="0" fontId="1" fillId="15" borderId="58" xfId="7" applyFont="1" applyFill="1" applyBorder="1" applyAlignment="1">
      <alignment vertical="center" wrapText="1"/>
    </xf>
    <xf numFmtId="0" fontId="4" fillId="15" borderId="6" xfId="7" applyFill="1" applyBorder="1" applyAlignment="1">
      <alignment horizontal="left" wrapText="1"/>
    </xf>
    <xf numFmtId="0" fontId="6" fillId="15" borderId="2" xfId="9" applyFont="1" applyFill="1" applyBorder="1"/>
    <xf numFmtId="3" fontId="6" fillId="15" borderId="50" xfId="7" applyNumberFormat="1" applyFont="1" applyFill="1" applyBorder="1" applyAlignment="1">
      <alignment vertical="center"/>
    </xf>
    <xf numFmtId="0" fontId="1" fillId="15" borderId="58" xfId="7" applyFont="1" applyFill="1" applyBorder="1" applyAlignment="1">
      <alignment horizontal="center" vertical="center" wrapText="1"/>
    </xf>
    <xf numFmtId="0" fontId="6" fillId="15" borderId="58" xfId="9" applyFont="1" applyFill="1" applyBorder="1" applyAlignment="1">
      <alignment vertical="center" wrapText="1"/>
    </xf>
    <xf numFmtId="0" fontId="6" fillId="15" borderId="6" xfId="9" applyFont="1" applyFill="1" applyBorder="1" applyAlignment="1">
      <alignment horizontal="left" vertical="center" wrapText="1"/>
    </xf>
    <xf numFmtId="164" fontId="12" fillId="5" borderId="70" xfId="0" applyNumberFormat="1" applyFont="1" applyFill="1" applyBorder="1"/>
    <xf numFmtId="0" fontId="0" fillId="0" borderId="70" xfId="0" applyBorder="1"/>
    <xf numFmtId="0" fontId="1" fillId="3" borderId="31" xfId="7" applyFont="1" applyFill="1" applyBorder="1" applyAlignment="1">
      <alignment wrapText="1"/>
    </xf>
    <xf numFmtId="0" fontId="6" fillId="3" borderId="28" xfId="9" applyFont="1" applyFill="1" applyBorder="1"/>
    <xf numFmtId="0" fontId="6" fillId="3" borderId="4" xfId="9" applyFont="1" applyFill="1" applyBorder="1"/>
    <xf numFmtId="3" fontId="6" fillId="3" borderId="69" xfId="7" applyNumberFormat="1" applyFont="1" applyFill="1" applyBorder="1" applyAlignment="1">
      <alignment vertical="center"/>
    </xf>
    <xf numFmtId="164" fontId="14" fillId="3" borderId="32" xfId="0" applyNumberFormat="1" applyFont="1" applyFill="1" applyBorder="1"/>
    <xf numFmtId="164" fontId="14" fillId="3" borderId="33" xfId="0" applyNumberFormat="1" applyFont="1" applyFill="1" applyBorder="1"/>
    <xf numFmtId="164" fontId="14" fillId="3" borderId="74" xfId="0" applyNumberFormat="1" applyFont="1" applyFill="1" applyBorder="1"/>
    <xf numFmtId="0" fontId="4" fillId="10" borderId="33" xfId="7" applyFill="1" applyBorder="1" applyAlignment="1">
      <alignment horizontal="left" wrapText="1"/>
    </xf>
    <xf numFmtId="0" fontId="6" fillId="10" borderId="74" xfId="9" applyFont="1" applyFill="1" applyBorder="1"/>
    <xf numFmtId="3" fontId="6" fillId="10" borderId="75" xfId="7" applyNumberFormat="1" applyFont="1" applyFill="1" applyBorder="1" applyAlignment="1">
      <alignment vertical="center"/>
    </xf>
    <xf numFmtId="0" fontId="0" fillId="3" borderId="76" xfId="0" applyFill="1" applyBorder="1"/>
    <xf numFmtId="0" fontId="0" fillId="3" borderId="77" xfId="0" applyFill="1" applyBorder="1"/>
    <xf numFmtId="0" fontId="0" fillId="0" borderId="80" xfId="0" applyBorder="1"/>
    <xf numFmtId="0" fontId="0" fillId="0" borderId="81" xfId="0" applyBorder="1"/>
    <xf numFmtId="164" fontId="12" fillId="5" borderId="82" xfId="0" applyNumberFormat="1" applyFont="1" applyFill="1" applyBorder="1"/>
    <xf numFmtId="164" fontId="0" fillId="3" borderId="84" xfId="0" applyNumberForma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1" fillId="0" borderId="70" xfId="7" applyFont="1" applyBorder="1" applyAlignment="1">
      <alignment vertical="center"/>
    </xf>
    <xf numFmtId="165" fontId="0" fillId="0" borderId="70" xfId="0" applyNumberFormat="1" applyBorder="1"/>
    <xf numFmtId="0" fontId="0" fillId="3" borderId="7" xfId="0" applyFill="1" applyBorder="1"/>
    <xf numFmtId="0" fontId="1" fillId="3" borderId="10" xfId="7" applyFont="1" applyFill="1" applyBorder="1" applyAlignment="1">
      <alignment horizontal="center" vertical="center"/>
    </xf>
    <xf numFmtId="165" fontId="6" fillId="7" borderId="10" xfId="7" applyNumberFormat="1" applyFont="1" applyFill="1" applyBorder="1" applyAlignment="1">
      <alignment vertical="center"/>
    </xf>
    <xf numFmtId="165" fontId="6" fillId="9" borderId="10" xfId="9" applyNumberFormat="1" applyFont="1" applyFill="1" applyBorder="1" applyAlignment="1">
      <alignment vertical="center"/>
    </xf>
    <xf numFmtId="165" fontId="6" fillId="15" borderId="10" xfId="9" applyNumberFormat="1" applyFont="1" applyFill="1" applyBorder="1" applyAlignment="1">
      <alignment vertical="center"/>
    </xf>
    <xf numFmtId="165" fontId="9" fillId="5" borderId="10" xfId="7" applyNumberFormat="1" applyFont="1" applyFill="1" applyBorder="1" applyAlignment="1">
      <alignment vertical="center"/>
    </xf>
    <xf numFmtId="42" fontId="6" fillId="5" borderId="0" xfId="7" applyNumberFormat="1" applyFont="1" applyFill="1" applyAlignment="1">
      <alignment vertical="center"/>
    </xf>
    <xf numFmtId="42" fontId="4" fillId="5" borderId="59" xfId="0" applyNumberFormat="1" applyFont="1" applyFill="1" applyBorder="1"/>
    <xf numFmtId="42" fontId="6" fillId="10" borderId="10" xfId="7" applyNumberFormat="1" applyFont="1" applyFill="1" applyBorder="1" applyAlignment="1">
      <alignment vertical="center"/>
    </xf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1" fillId="0" borderId="92" xfId="7" applyFont="1" applyBorder="1" applyAlignment="1">
      <alignment vertical="center"/>
    </xf>
    <xf numFmtId="0" fontId="0" fillId="0" borderId="93" xfId="0" applyBorder="1"/>
    <xf numFmtId="9" fontId="6" fillId="0" borderId="92" xfId="7" applyNumberFormat="1" applyFont="1" applyBorder="1" applyAlignment="1">
      <alignment vertical="center"/>
    </xf>
    <xf numFmtId="9" fontId="30" fillId="0" borderId="92" xfId="0" applyNumberFormat="1" applyFont="1" applyBorder="1"/>
    <xf numFmtId="0" fontId="1" fillId="0" borderId="70" xfId="0" applyFont="1" applyBorder="1"/>
    <xf numFmtId="0" fontId="1" fillId="0" borderId="93" xfId="0" applyFont="1" applyBorder="1"/>
    <xf numFmtId="0" fontId="1" fillId="16" borderId="83" xfId="0" applyFont="1" applyFill="1" applyBorder="1" applyAlignment="1">
      <alignment horizontal="right"/>
    </xf>
    <xf numFmtId="0" fontId="1" fillId="16" borderId="94" xfId="0" applyFont="1" applyFill="1" applyBorder="1" applyAlignment="1">
      <alignment horizontal="center"/>
    </xf>
    <xf numFmtId="0" fontId="1" fillId="16" borderId="95" xfId="0" applyFont="1" applyFill="1" applyBorder="1" applyAlignment="1">
      <alignment horizontal="right"/>
    </xf>
    <xf numFmtId="0" fontId="16" fillId="16" borderId="70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42" fontId="6" fillId="10" borderId="13" xfId="7" applyNumberFormat="1" applyFont="1" applyFill="1" applyBorder="1" applyAlignment="1">
      <alignment vertical="center"/>
    </xf>
    <xf numFmtId="9" fontId="6" fillId="0" borderId="98" xfId="7" applyNumberFormat="1" applyFont="1" applyBorder="1" applyAlignment="1">
      <alignment vertical="center"/>
    </xf>
    <xf numFmtId="0" fontId="0" fillId="0" borderId="71" xfId="0" applyBorder="1"/>
    <xf numFmtId="0" fontId="0" fillId="0" borderId="99" xfId="0" applyBorder="1"/>
    <xf numFmtId="0" fontId="0" fillId="0" borderId="101" xfId="0" applyBorder="1"/>
    <xf numFmtId="0" fontId="0" fillId="0" borderId="102" xfId="0" applyBorder="1"/>
    <xf numFmtId="9" fontId="6" fillId="0" borderId="100" xfId="7" applyNumberFormat="1" applyFont="1" applyBorder="1" applyAlignment="1">
      <alignment vertical="center"/>
    </xf>
    <xf numFmtId="42" fontId="15" fillId="17" borderId="2" xfId="0" applyNumberFormat="1" applyFont="1" applyFill="1" applyBorder="1"/>
    <xf numFmtId="42" fontId="15" fillId="17" borderId="74" xfId="0" applyNumberFormat="1" applyFont="1" applyFill="1" applyBorder="1"/>
    <xf numFmtId="42" fontId="15" fillId="17" borderId="4" xfId="0" applyNumberFormat="1" applyFont="1" applyFill="1" applyBorder="1"/>
    <xf numFmtId="42" fontId="6" fillId="15" borderId="70" xfId="7" applyNumberFormat="1" applyFont="1" applyFill="1" applyBorder="1" applyAlignment="1">
      <alignment vertical="center"/>
    </xf>
    <xf numFmtId="42" fontId="30" fillId="15" borderId="70" xfId="0" quotePrefix="1" applyNumberFormat="1" applyFont="1" applyFill="1" applyBorder="1"/>
    <xf numFmtId="42" fontId="30" fillId="15" borderId="70" xfId="0" applyNumberFormat="1" applyFont="1" applyFill="1" applyBorder="1"/>
    <xf numFmtId="3" fontId="6" fillId="15" borderId="70" xfId="7" applyNumberFormat="1" applyFont="1" applyFill="1" applyBorder="1" applyAlignment="1">
      <alignment vertical="center"/>
    </xf>
    <xf numFmtId="165" fontId="6" fillId="15" borderId="70" xfId="7" applyNumberFormat="1" applyFont="1" applyFill="1" applyBorder="1" applyAlignment="1">
      <alignment vertical="center"/>
    </xf>
    <xf numFmtId="3" fontId="6" fillId="15" borderId="58" xfId="7" applyNumberFormat="1" applyFont="1" applyFill="1" applyBorder="1" applyAlignment="1">
      <alignment vertical="center"/>
    </xf>
    <xf numFmtId="3" fontId="6" fillId="9" borderId="103" xfId="9" applyNumberFormat="1" applyFont="1" applyFill="1" applyBorder="1" applyAlignment="1">
      <alignment vertical="center"/>
    </xf>
    <xf numFmtId="3" fontId="6" fillId="9" borderId="104" xfId="9" applyNumberFormat="1" applyFont="1" applyFill="1" applyBorder="1" applyAlignment="1">
      <alignment vertical="center"/>
    </xf>
    <xf numFmtId="165" fontId="6" fillId="9" borderId="105" xfId="9" applyNumberFormat="1" applyFont="1" applyFill="1" applyBorder="1" applyAlignment="1">
      <alignment vertical="center"/>
    </xf>
    <xf numFmtId="3" fontId="6" fillId="15" borderId="69" xfId="7" applyNumberFormat="1" applyFont="1" applyFill="1" applyBorder="1" applyAlignment="1">
      <alignment vertical="center"/>
    </xf>
    <xf numFmtId="3" fontId="6" fillId="15" borderId="73" xfId="7" applyNumberFormat="1" applyFont="1" applyFill="1" applyBorder="1" applyAlignment="1">
      <alignment vertical="center"/>
    </xf>
    <xf numFmtId="42" fontId="6" fillId="15" borderId="73" xfId="7" applyNumberFormat="1" applyFont="1" applyFill="1" applyBorder="1" applyAlignment="1">
      <alignment vertical="center"/>
    </xf>
    <xf numFmtId="165" fontId="6" fillId="15" borderId="73" xfId="7" applyNumberFormat="1" applyFont="1" applyFill="1" applyBorder="1" applyAlignment="1">
      <alignment vertical="center"/>
    </xf>
    <xf numFmtId="42" fontId="0" fillId="0" borderId="70" xfId="0" applyNumberFormat="1" applyBorder="1"/>
    <xf numFmtId="42" fontId="0" fillId="0" borderId="93" xfId="0" applyNumberFormat="1" applyBorder="1"/>
    <xf numFmtId="42" fontId="6" fillId="0" borderId="0" xfId="7" applyNumberFormat="1" applyFont="1" applyAlignment="1">
      <alignment horizontal="center" vertical="center" wrapText="1"/>
    </xf>
    <xf numFmtId="0" fontId="1" fillId="0" borderId="0" xfId="0" applyFont="1"/>
    <xf numFmtId="164" fontId="0" fillId="3" borderId="77" xfId="0" applyNumberFormat="1" applyFill="1" applyBorder="1"/>
    <xf numFmtId="164" fontId="12" fillId="5" borderId="33" xfId="0" applyNumberFormat="1" applyFont="1" applyFill="1" applyBorder="1"/>
    <xf numFmtId="164" fontId="15" fillId="3" borderId="82" xfId="0" applyNumberFormat="1" applyFont="1" applyFill="1" applyBorder="1"/>
    <xf numFmtId="0" fontId="32" fillId="0" borderId="6" xfId="0" applyFont="1" applyBorder="1" applyAlignment="1">
      <alignment horizontal="center"/>
    </xf>
    <xf numFmtId="165" fontId="6" fillId="15" borderId="64" xfId="9" applyNumberFormat="1" applyFont="1" applyFill="1" applyBorder="1" applyAlignment="1">
      <alignment vertical="center"/>
    </xf>
    <xf numFmtId="165" fontId="30" fillId="15" borderId="70" xfId="0" applyNumberFormat="1" applyFont="1" applyFill="1" applyBorder="1"/>
    <xf numFmtId="0" fontId="6" fillId="15" borderId="5" xfId="7" applyFont="1" applyFill="1" applyBorder="1" applyAlignment="1">
      <alignment vertical="center"/>
    </xf>
    <xf numFmtId="165" fontId="6" fillId="15" borderId="28" xfId="7" applyNumberFormat="1" applyFont="1" applyFill="1" applyBorder="1" applyAlignment="1">
      <alignment vertical="center"/>
    </xf>
    <xf numFmtId="42" fontId="6" fillId="15" borderId="106" xfId="7" applyNumberFormat="1" applyFont="1" applyFill="1" applyBorder="1" applyAlignment="1">
      <alignment vertical="center"/>
    </xf>
    <xf numFmtId="0" fontId="6" fillId="15" borderId="31" xfId="7" applyFont="1" applyFill="1" applyBorder="1" applyAlignment="1">
      <alignment vertical="center"/>
    </xf>
    <xf numFmtId="0" fontId="6" fillId="15" borderId="24" xfId="7" applyFont="1" applyFill="1" applyBorder="1" applyAlignment="1">
      <alignment vertical="center"/>
    </xf>
    <xf numFmtId="1" fontId="6" fillId="15" borderId="70" xfId="7" applyNumberFormat="1" applyFont="1" applyFill="1" applyBorder="1" applyAlignment="1">
      <alignment vertical="center"/>
    </xf>
    <xf numFmtId="165" fontId="6" fillId="15" borderId="70" xfId="9" applyNumberFormat="1" applyFont="1" applyFill="1" applyBorder="1" applyAlignment="1">
      <alignment vertical="center"/>
    </xf>
    <xf numFmtId="165" fontId="6" fillId="15" borderId="82" xfId="7" applyNumberFormat="1" applyFont="1" applyFill="1" applyBorder="1" applyAlignment="1">
      <alignment vertical="center"/>
    </xf>
    <xf numFmtId="1" fontId="6" fillId="15" borderId="88" xfId="7" applyNumberFormat="1" applyFont="1" applyFill="1" applyBorder="1" applyAlignment="1">
      <alignment vertical="center"/>
    </xf>
    <xf numFmtId="0" fontId="6" fillId="15" borderId="71" xfId="9" applyFont="1" applyFill="1" applyBorder="1" applyAlignment="1">
      <alignment vertical="center"/>
    </xf>
    <xf numFmtId="165" fontId="6" fillId="15" borderId="41" xfId="7" applyNumberFormat="1" applyFont="1" applyFill="1" applyBorder="1" applyAlignment="1">
      <alignment vertical="center"/>
    </xf>
    <xf numFmtId="165" fontId="6" fillId="15" borderId="23" xfId="9" applyNumberFormat="1" applyFont="1" applyFill="1" applyBorder="1" applyAlignment="1">
      <alignment vertical="center"/>
    </xf>
    <xf numFmtId="1" fontId="6" fillId="15" borderId="75" xfId="7" applyNumberFormat="1" applyFont="1" applyFill="1" applyBorder="1" applyAlignment="1">
      <alignment vertical="center"/>
    </xf>
    <xf numFmtId="164" fontId="0" fillId="0" borderId="0" xfId="0" applyNumberFormat="1"/>
    <xf numFmtId="165" fontId="37" fillId="0" borderId="6" xfId="0" applyNumberFormat="1" applyFont="1" applyBorder="1" applyAlignment="1">
      <alignment horizontal="center"/>
    </xf>
    <xf numFmtId="165" fontId="36" fillId="0" borderId="6" xfId="0" applyNumberFormat="1" applyFont="1" applyBorder="1" applyAlignment="1">
      <alignment horizontal="center"/>
    </xf>
    <xf numFmtId="0" fontId="20" fillId="0" borderId="13" xfId="7" applyFont="1" applyBorder="1" applyAlignment="1">
      <alignment wrapText="1"/>
    </xf>
    <xf numFmtId="0" fontId="0" fillId="18" borderId="0" xfId="0" applyFill="1"/>
    <xf numFmtId="0" fontId="4" fillId="3" borderId="8" xfId="7" applyFill="1" applyBorder="1" applyAlignment="1">
      <alignment horizontal="center" vertical="center"/>
    </xf>
    <xf numFmtId="0" fontId="4" fillId="3" borderId="16" xfId="7" applyFill="1" applyBorder="1" applyAlignment="1">
      <alignment horizontal="center" vertical="center"/>
    </xf>
    <xf numFmtId="0" fontId="6" fillId="7" borderId="72" xfId="9" applyFont="1" applyFill="1" applyBorder="1" applyAlignment="1">
      <alignment horizontal="left"/>
    </xf>
    <xf numFmtId="0" fontId="6" fillId="7" borderId="55" xfId="9" applyFont="1" applyFill="1" applyBorder="1" applyAlignment="1">
      <alignment horizontal="left"/>
    </xf>
    <xf numFmtId="0" fontId="6" fillId="7" borderId="56" xfId="9" applyFont="1" applyFill="1" applyBorder="1" applyAlignment="1">
      <alignment horizontal="left"/>
    </xf>
    <xf numFmtId="0" fontId="6" fillId="9" borderId="72" xfId="9" applyFont="1" applyFill="1" applyBorder="1" applyAlignment="1">
      <alignment vertical="center" wrapText="1"/>
    </xf>
    <xf numFmtId="0" fontId="6" fillId="9" borderId="55" xfId="9" applyFont="1" applyFill="1" applyBorder="1" applyAlignment="1">
      <alignment vertical="center" wrapText="1"/>
    </xf>
    <xf numFmtId="0" fontId="6" fillId="9" borderId="56" xfId="9" applyFont="1" applyFill="1" applyBorder="1" applyAlignment="1">
      <alignment vertical="center" wrapText="1"/>
    </xf>
    <xf numFmtId="0" fontId="6" fillId="6" borderId="72" xfId="9" applyFont="1" applyFill="1" applyBorder="1"/>
    <xf numFmtId="0" fontId="6" fillId="6" borderId="55" xfId="9" applyFont="1" applyFill="1" applyBorder="1"/>
    <xf numFmtId="0" fontId="6" fillId="5" borderId="107" xfId="9" applyFont="1" applyFill="1" applyBorder="1"/>
    <xf numFmtId="0" fontId="6" fillId="5" borderId="56" xfId="9" applyFont="1" applyFill="1" applyBorder="1"/>
    <xf numFmtId="0" fontId="6" fillId="10" borderId="72" xfId="9" applyFont="1" applyFill="1" applyBorder="1"/>
    <xf numFmtId="0" fontId="6" fillId="10" borderId="55" xfId="9" applyFont="1" applyFill="1" applyBorder="1"/>
    <xf numFmtId="0" fontId="6" fillId="10" borderId="56" xfId="9" applyFont="1" applyFill="1" applyBorder="1"/>
    <xf numFmtId="0" fontId="6" fillId="5" borderId="72" xfId="9" applyFont="1" applyFill="1" applyBorder="1"/>
    <xf numFmtId="0" fontId="6" fillId="5" borderId="55" xfId="9" applyFont="1" applyFill="1" applyBorder="1"/>
    <xf numFmtId="0" fontId="6" fillId="5" borderId="13" xfId="9" applyFont="1" applyFill="1" applyBorder="1"/>
    <xf numFmtId="0" fontId="6" fillId="15" borderId="72" xfId="9" applyFont="1" applyFill="1" applyBorder="1"/>
    <xf numFmtId="0" fontId="6" fillId="15" borderId="55" xfId="9" applyFont="1" applyFill="1" applyBorder="1"/>
    <xf numFmtId="0" fontId="6" fillId="10" borderId="88" xfId="9" applyFont="1" applyFill="1" applyBorder="1"/>
    <xf numFmtId="0" fontId="6" fillId="3" borderId="107" xfId="9" applyFont="1" applyFill="1" applyBorder="1"/>
    <xf numFmtId="0" fontId="27" fillId="14" borderId="41" xfId="0" applyFont="1" applyFill="1" applyBorder="1" applyAlignment="1">
      <alignment horizontal="center" vertical="center"/>
    </xf>
    <xf numFmtId="0" fontId="27" fillId="14" borderId="42" xfId="0" applyFont="1" applyFill="1" applyBorder="1" applyAlignment="1">
      <alignment horizontal="center" vertical="center"/>
    </xf>
    <xf numFmtId="0" fontId="28" fillId="0" borderId="107" xfId="0" applyFont="1" applyBorder="1" applyAlignment="1">
      <alignment horizontal="center" vertical="center"/>
    </xf>
    <xf numFmtId="0" fontId="30" fillId="0" borderId="0" xfId="0" applyFont="1"/>
    <xf numFmtId="165" fontId="6" fillId="18" borderId="19" xfId="9" applyNumberFormat="1" applyFont="1" applyFill="1" applyBorder="1" applyAlignment="1">
      <alignment vertical="center"/>
    </xf>
    <xf numFmtId="165" fontId="6" fillId="18" borderId="6" xfId="9" applyNumberFormat="1" applyFont="1" applyFill="1" applyBorder="1" applyAlignment="1">
      <alignment vertical="center"/>
    </xf>
    <xf numFmtId="165" fontId="6" fillId="18" borderId="26" xfId="9" applyNumberFormat="1" applyFont="1" applyFill="1" applyBorder="1" applyAlignment="1">
      <alignment vertical="center"/>
    </xf>
    <xf numFmtId="165" fontId="6" fillId="18" borderId="19" xfId="7" applyNumberFormat="1" applyFont="1" applyFill="1" applyBorder="1" applyAlignment="1">
      <alignment vertical="center"/>
    </xf>
    <xf numFmtId="165" fontId="6" fillId="18" borderId="6" xfId="7" applyNumberFormat="1" applyFont="1" applyFill="1" applyBorder="1" applyAlignment="1">
      <alignment vertical="center"/>
    </xf>
    <xf numFmtId="165" fontId="6" fillId="6" borderId="64" xfId="9" applyNumberFormat="1" applyFont="1" applyFill="1" applyBorder="1" applyAlignment="1">
      <alignment vertical="center"/>
    </xf>
    <xf numFmtId="165" fontId="6" fillId="18" borderId="0" xfId="7" applyNumberFormat="1" applyFont="1" applyFill="1" applyAlignment="1">
      <alignment vertical="center"/>
    </xf>
    <xf numFmtId="165" fontId="5" fillId="18" borderId="6" xfId="7" applyNumberFormat="1" applyFont="1" applyFill="1" applyBorder="1" applyAlignment="1">
      <alignment vertical="center"/>
    </xf>
    <xf numFmtId="0" fontId="4" fillId="18" borderId="6" xfId="7" applyFill="1" applyBorder="1" applyAlignment="1">
      <alignment horizontal="left" wrapText="1"/>
    </xf>
    <xf numFmtId="0" fontId="6" fillId="18" borderId="2" xfId="9" applyFont="1" applyFill="1" applyBorder="1"/>
    <xf numFmtId="0" fontId="6" fillId="18" borderId="55" xfId="9" applyFont="1" applyFill="1" applyBorder="1"/>
    <xf numFmtId="3" fontId="6" fillId="18" borderId="19" xfId="7" applyNumberFormat="1" applyFont="1" applyFill="1" applyBorder="1" applyAlignment="1">
      <alignment vertical="center"/>
    </xf>
    <xf numFmtId="166" fontId="30" fillId="0" borderId="0" xfId="0" applyNumberFormat="1" applyFont="1"/>
    <xf numFmtId="166" fontId="0" fillId="0" borderId="0" xfId="0" applyNumberFormat="1"/>
    <xf numFmtId="167" fontId="0" fillId="0" borderId="0" xfId="0" applyNumberFormat="1"/>
    <xf numFmtId="3" fontId="6" fillId="18" borderId="26" xfId="7" applyNumberFormat="1" applyFont="1" applyFill="1" applyBorder="1" applyAlignment="1">
      <alignment vertical="center"/>
    </xf>
    <xf numFmtId="3" fontId="6" fillId="18" borderId="6" xfId="7" applyNumberFormat="1" applyFont="1" applyFill="1" applyBorder="1" applyAlignment="1">
      <alignment vertical="center"/>
    </xf>
    <xf numFmtId="0" fontId="1" fillId="18" borderId="37" xfId="7" applyFont="1" applyFill="1" applyBorder="1" applyAlignment="1">
      <alignment vertical="center" wrapText="1"/>
    </xf>
    <xf numFmtId="0" fontId="1" fillId="18" borderId="35" xfId="7" applyFont="1" applyFill="1" applyBorder="1" applyAlignment="1">
      <alignment vertical="center" wrapText="1"/>
    </xf>
    <xf numFmtId="0" fontId="13" fillId="18" borderId="52" xfId="0" applyFont="1" applyFill="1" applyBorder="1"/>
    <xf numFmtId="9" fontId="13" fillId="18" borderId="37" xfId="0" applyNumberFormat="1" applyFont="1" applyFill="1" applyBorder="1"/>
    <xf numFmtId="9" fontId="13" fillId="18" borderId="53" xfId="0" applyNumberFormat="1" applyFont="1" applyFill="1" applyBorder="1"/>
    <xf numFmtId="0" fontId="1" fillId="18" borderId="15" xfId="7" applyFont="1" applyFill="1" applyBorder="1" applyAlignment="1">
      <alignment vertical="center" wrapText="1"/>
    </xf>
    <xf numFmtId="0" fontId="13" fillId="18" borderId="61" xfId="0" applyFont="1" applyFill="1" applyBorder="1"/>
    <xf numFmtId="3" fontId="6" fillId="18" borderId="18" xfId="7" applyNumberFormat="1" applyFont="1" applyFill="1" applyBorder="1" applyAlignment="1">
      <alignment vertical="center"/>
    </xf>
    <xf numFmtId="164" fontId="6" fillId="18" borderId="3" xfId="0" applyNumberFormat="1" applyFont="1" applyFill="1" applyBorder="1" applyAlignment="1">
      <alignment vertical="center"/>
    </xf>
    <xf numFmtId="168" fontId="0" fillId="0" borderId="0" xfId="0" applyNumberFormat="1"/>
    <xf numFmtId="169" fontId="0" fillId="0" borderId="0" xfId="0" applyNumberFormat="1"/>
    <xf numFmtId="0" fontId="25" fillId="0" borderId="13" xfId="0" applyFont="1" applyBorder="1"/>
    <xf numFmtId="165" fontId="0" fillId="0" borderId="71" xfId="0" applyNumberFormat="1" applyBorder="1"/>
    <xf numFmtId="165" fontId="0" fillId="0" borderId="97" xfId="0" applyNumberFormat="1" applyBorder="1"/>
    <xf numFmtId="168" fontId="0" fillId="18" borderId="0" xfId="0" applyNumberFormat="1" applyFill="1"/>
    <xf numFmtId="10" fontId="0" fillId="0" borderId="0" xfId="0" applyNumberFormat="1"/>
    <xf numFmtId="0" fontId="4" fillId="8" borderId="61" xfId="7" applyFill="1" applyBorder="1" applyAlignment="1">
      <alignment horizontal="center" vertical="center"/>
    </xf>
    <xf numFmtId="0" fontId="0" fillId="8" borderId="70" xfId="0" applyFill="1" applyBorder="1"/>
    <xf numFmtId="164" fontId="14" fillId="0" borderId="78" xfId="0" applyNumberFormat="1" applyFont="1" applyBorder="1" applyAlignment="1">
      <alignment vertical="center" wrapText="1"/>
    </xf>
    <xf numFmtId="0" fontId="14" fillId="0" borderId="78" xfId="0" applyFont="1" applyBorder="1" applyAlignment="1">
      <alignment vertical="center"/>
    </xf>
    <xf numFmtId="0" fontId="34" fillId="0" borderId="79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4" fillId="0" borderId="81" xfId="0" applyFont="1" applyBorder="1" applyAlignment="1">
      <alignment vertical="center"/>
    </xf>
    <xf numFmtId="0" fontId="12" fillId="0" borderId="81" xfId="0" applyFont="1" applyBorder="1" applyAlignment="1">
      <alignment vertical="center"/>
    </xf>
    <xf numFmtId="10" fontId="0" fillId="18" borderId="0" xfId="0" applyNumberFormat="1" applyFill="1"/>
    <xf numFmtId="1" fontId="12" fillId="18" borderId="18" xfId="0" applyNumberFormat="1" applyFont="1" applyFill="1" applyBorder="1"/>
    <xf numFmtId="0" fontId="30" fillId="0" borderId="0" xfId="0" quotePrefix="1" applyFont="1"/>
    <xf numFmtId="1" fontId="30" fillId="0" borderId="0" xfId="0" quotePrefix="1" applyNumberFormat="1" applyFont="1"/>
    <xf numFmtId="165" fontId="0" fillId="18" borderId="0" xfId="0" applyNumberFormat="1" applyFill="1"/>
    <xf numFmtId="3" fontId="5" fillId="7" borderId="68" xfId="9" applyNumberFormat="1" applyFont="1" applyFill="1" applyBorder="1" applyAlignment="1">
      <alignment vertical="center"/>
    </xf>
    <xf numFmtId="3" fontId="5" fillId="7" borderId="69" xfId="9" applyNumberFormat="1" applyFont="1" applyFill="1" applyBorder="1" applyAlignment="1">
      <alignment vertical="center"/>
    </xf>
    <xf numFmtId="3" fontId="5" fillId="7" borderId="10" xfId="9" applyNumberFormat="1" applyFont="1" applyFill="1" applyBorder="1" applyAlignment="1">
      <alignment vertical="center"/>
    </xf>
    <xf numFmtId="3" fontId="6" fillId="9" borderId="68" xfId="9" applyNumberFormat="1" applyFont="1" applyFill="1" applyBorder="1" applyAlignment="1">
      <alignment vertical="center"/>
    </xf>
    <xf numFmtId="3" fontId="6" fillId="9" borderId="69" xfId="9" applyNumberFormat="1" applyFont="1" applyFill="1" applyBorder="1" applyAlignment="1">
      <alignment vertical="center"/>
    </xf>
    <xf numFmtId="3" fontId="6" fillId="9" borderId="10" xfId="9" applyNumberFormat="1" applyFont="1" applyFill="1" applyBorder="1" applyAlignment="1">
      <alignment vertical="center"/>
    </xf>
    <xf numFmtId="3" fontId="6" fillId="6" borderId="69" xfId="7" applyNumberFormat="1" applyFont="1" applyFill="1" applyBorder="1" applyAlignment="1">
      <alignment vertical="center"/>
    </xf>
    <xf numFmtId="3" fontId="6" fillId="10" borderId="69" xfId="7" applyNumberFormat="1" applyFont="1" applyFill="1" applyBorder="1" applyAlignment="1">
      <alignment vertical="center"/>
    </xf>
    <xf numFmtId="3" fontId="6" fillId="10" borderId="10" xfId="7" applyNumberFormat="1" applyFont="1" applyFill="1" applyBorder="1" applyAlignment="1">
      <alignment vertical="center"/>
    </xf>
    <xf numFmtId="3" fontId="6" fillId="3" borderId="10" xfId="7" applyNumberFormat="1" applyFont="1" applyFill="1" applyBorder="1" applyAlignment="1">
      <alignment vertical="center"/>
    </xf>
    <xf numFmtId="6" fontId="23" fillId="0" borderId="0" xfId="0" applyNumberFormat="1" applyFont="1"/>
    <xf numFmtId="6" fontId="0" fillId="0" borderId="0" xfId="0" applyNumberFormat="1"/>
    <xf numFmtId="0" fontId="0" fillId="0" borderId="6" xfId="0" applyBorder="1"/>
    <xf numFmtId="9" fontId="0" fillId="0" borderId="6" xfId="0" applyNumberFormat="1" applyBorder="1"/>
    <xf numFmtId="0" fontId="38" fillId="0" borderId="0" xfId="0" applyFont="1"/>
    <xf numFmtId="0" fontId="39" fillId="0" borderId="0" xfId="0" applyFont="1"/>
    <xf numFmtId="0" fontId="42" fillId="14" borderId="33" xfId="0" applyFont="1" applyFill="1" applyBorder="1" applyAlignment="1">
      <alignment horizontal="center" vertical="center"/>
    </xf>
    <xf numFmtId="0" fontId="39" fillId="0" borderId="52" xfId="0" applyFont="1" applyBorder="1"/>
    <xf numFmtId="0" fontId="39" fillId="0" borderId="19" xfId="0" applyFont="1" applyBorder="1"/>
    <xf numFmtId="165" fontId="39" fillId="0" borderId="52" xfId="0" applyNumberFormat="1" applyFont="1" applyBorder="1" applyAlignment="1">
      <alignment horizontal="center"/>
    </xf>
    <xf numFmtId="0" fontId="39" fillId="11" borderId="52" xfId="0" applyFont="1" applyFill="1" applyBorder="1" applyAlignment="1">
      <alignment horizontal="center"/>
    </xf>
    <xf numFmtId="1" fontId="39" fillId="11" borderId="19" xfId="0" applyNumberFormat="1" applyFont="1" applyFill="1" applyBorder="1" applyAlignment="1">
      <alignment horizontal="center"/>
    </xf>
    <xf numFmtId="165" fontId="43" fillId="0" borderId="52" xfId="0" applyNumberFormat="1" applyFont="1" applyBorder="1" applyAlignment="1">
      <alignment horizontal="center"/>
    </xf>
    <xf numFmtId="165" fontId="25" fillId="0" borderId="52" xfId="0" applyNumberFormat="1" applyFont="1" applyBorder="1" applyAlignment="1">
      <alignment horizontal="center"/>
    </xf>
    <xf numFmtId="0" fontId="39" fillId="11" borderId="19" xfId="0" applyFont="1" applyFill="1" applyBorder="1"/>
    <xf numFmtId="0" fontId="25" fillId="11" borderId="35" xfId="0" applyFont="1" applyFill="1" applyBorder="1" applyAlignment="1">
      <alignment horizontal="center"/>
    </xf>
    <xf numFmtId="8" fontId="33" fillId="0" borderId="57" xfId="0" applyNumberFormat="1" applyFont="1" applyBorder="1"/>
    <xf numFmtId="0" fontId="39" fillId="0" borderId="74" xfId="0" applyFont="1" applyBorder="1"/>
    <xf numFmtId="0" fontId="39" fillId="0" borderId="6" xfId="0" applyFont="1" applyBorder="1"/>
    <xf numFmtId="165" fontId="39" fillId="0" borderId="34" xfId="0" applyNumberFormat="1" applyFont="1" applyBorder="1" applyAlignment="1">
      <alignment horizontal="center"/>
    </xf>
    <xf numFmtId="0" fontId="39" fillId="11" borderId="6" xfId="0" applyFont="1" applyFill="1" applyBorder="1" applyAlignment="1">
      <alignment horizontal="center"/>
    </xf>
    <xf numFmtId="1" fontId="39" fillId="11" borderId="6" xfId="0" applyNumberFormat="1" applyFont="1" applyFill="1" applyBorder="1" applyAlignment="1">
      <alignment horizontal="center"/>
    </xf>
    <xf numFmtId="165" fontId="43" fillId="0" borderId="6" xfId="0" applyNumberFormat="1" applyFont="1" applyBorder="1" applyAlignment="1">
      <alignment horizontal="center"/>
    </xf>
    <xf numFmtId="165" fontId="25" fillId="0" borderId="6" xfId="0" applyNumberFormat="1" applyFont="1" applyBorder="1" applyAlignment="1">
      <alignment horizontal="center"/>
    </xf>
    <xf numFmtId="0" fontId="39" fillId="11" borderId="6" xfId="0" applyFont="1" applyFill="1" applyBorder="1"/>
    <xf numFmtId="0" fontId="25" fillId="11" borderId="22" xfId="0" applyFont="1" applyFill="1" applyBorder="1" applyAlignment="1">
      <alignment horizontal="center"/>
    </xf>
    <xf numFmtId="0" fontId="39" fillId="0" borderId="33" xfId="0" applyFont="1" applyBorder="1" applyAlignment="1">
      <alignment vertical="top"/>
    </xf>
    <xf numFmtId="0" fontId="39" fillId="0" borderId="55" xfId="0" applyFont="1" applyBorder="1"/>
    <xf numFmtId="0" fontId="39" fillId="11" borderId="2" xfId="0" applyFont="1" applyFill="1" applyBorder="1"/>
    <xf numFmtId="0" fontId="25" fillId="11" borderId="24" xfId="0" applyFont="1" applyFill="1" applyBorder="1" applyAlignment="1">
      <alignment horizontal="center"/>
    </xf>
    <xf numFmtId="165" fontId="39" fillId="11" borderId="66" xfId="0" applyNumberFormat="1" applyFont="1" applyFill="1" applyBorder="1" applyAlignment="1">
      <alignment horizontal="center"/>
    </xf>
    <xf numFmtId="0" fontId="39" fillId="0" borderId="39" xfId="0" applyFont="1" applyBorder="1" applyAlignment="1">
      <alignment horizontal="center"/>
    </xf>
    <xf numFmtId="1" fontId="44" fillId="11" borderId="26" xfId="0" applyNumberFormat="1" applyFont="1" applyFill="1" applyBorder="1" applyAlignment="1">
      <alignment horizontal="center"/>
    </xf>
    <xf numFmtId="165" fontId="20" fillId="0" borderId="67" xfId="0" applyNumberFormat="1" applyFont="1" applyBorder="1" applyAlignment="1">
      <alignment horizontal="center"/>
    </xf>
    <xf numFmtId="165" fontId="20" fillId="0" borderId="28" xfId="0" applyNumberFormat="1" applyFont="1" applyBorder="1" applyAlignment="1">
      <alignment horizontal="center"/>
    </xf>
    <xf numFmtId="0" fontId="6" fillId="0" borderId="13" xfId="0" applyFont="1" applyBorder="1"/>
    <xf numFmtId="0" fontId="5" fillId="0" borderId="14" xfId="0" applyFont="1" applyBorder="1"/>
    <xf numFmtId="165" fontId="45" fillId="0" borderId="67" xfId="0" applyNumberFormat="1" applyFont="1" applyBorder="1" applyAlignment="1">
      <alignment horizontal="center"/>
    </xf>
    <xf numFmtId="165" fontId="25" fillId="0" borderId="28" xfId="0" applyNumberFormat="1" applyFont="1" applyBorder="1" applyAlignment="1">
      <alignment horizontal="center"/>
    </xf>
    <xf numFmtId="0" fontId="39" fillId="0" borderId="26" xfId="0" applyFont="1" applyBorder="1"/>
    <xf numFmtId="0" fontId="25" fillId="0" borderId="24" xfId="0" applyFont="1" applyBorder="1" applyAlignment="1">
      <alignment horizontal="center"/>
    </xf>
    <xf numFmtId="6" fontId="33" fillId="0" borderId="57" xfId="0" applyNumberFormat="1" applyFont="1" applyBorder="1"/>
    <xf numFmtId="165" fontId="43" fillId="0" borderId="19" xfId="0" applyNumberFormat="1" applyFont="1" applyBorder="1" applyAlignment="1">
      <alignment horizontal="center"/>
    </xf>
    <xf numFmtId="165" fontId="39" fillId="11" borderId="34" xfId="0" applyNumberFormat="1" applyFont="1" applyFill="1" applyBorder="1" applyAlignment="1">
      <alignment horizontal="center"/>
    </xf>
    <xf numFmtId="0" fontId="39" fillId="0" borderId="34" xfId="0" applyFont="1" applyBorder="1" applyAlignment="1">
      <alignment horizontal="center"/>
    </xf>
    <xf numFmtId="1" fontId="44" fillId="11" borderId="33" xfId="0" applyNumberFormat="1" applyFont="1" applyFill="1" applyBorder="1" applyAlignment="1">
      <alignment horizontal="center"/>
    </xf>
    <xf numFmtId="165" fontId="20" fillId="0" borderId="33" xfId="0" applyNumberFormat="1" applyFont="1" applyBorder="1" applyAlignment="1">
      <alignment horizontal="center"/>
    </xf>
    <xf numFmtId="165" fontId="45" fillId="0" borderId="33" xfId="0" applyNumberFormat="1" applyFont="1" applyBorder="1" applyAlignment="1">
      <alignment horizontal="center"/>
    </xf>
    <xf numFmtId="0" fontId="39" fillId="0" borderId="33" xfId="0" applyFont="1" applyBorder="1"/>
    <xf numFmtId="165" fontId="39" fillId="0" borderId="19" xfId="0" applyNumberFormat="1" applyFont="1" applyBorder="1"/>
    <xf numFmtId="165" fontId="43" fillId="0" borderId="19" xfId="0" applyNumberFormat="1" applyFont="1" applyBorder="1"/>
    <xf numFmtId="165" fontId="25" fillId="0" borderId="19" xfId="0" applyNumberFormat="1" applyFont="1" applyBorder="1"/>
    <xf numFmtId="0" fontId="39" fillId="11" borderId="54" xfId="0" applyFont="1" applyFill="1" applyBorder="1"/>
    <xf numFmtId="165" fontId="39" fillId="0" borderId="6" xfId="0" applyNumberFormat="1" applyFont="1" applyBorder="1"/>
    <xf numFmtId="165" fontId="43" fillId="0" borderId="6" xfId="0" applyNumberFormat="1" applyFont="1" applyBorder="1"/>
    <xf numFmtId="165" fontId="25" fillId="0" borderId="6" xfId="0" applyNumberFormat="1" applyFont="1" applyBorder="1"/>
    <xf numFmtId="6" fontId="46" fillId="0" borderId="6" xfId="0" applyNumberFormat="1" applyFont="1" applyBorder="1"/>
    <xf numFmtId="0" fontId="25" fillId="11" borderId="22" xfId="0" applyFont="1" applyFill="1" applyBorder="1" applyAlignment="1">
      <alignment horizontal="center" wrapText="1"/>
    </xf>
    <xf numFmtId="0" fontId="39" fillId="0" borderId="74" xfId="0" applyFont="1" applyBorder="1" applyAlignment="1">
      <alignment wrapText="1"/>
    </xf>
    <xf numFmtId="0" fontId="39" fillId="0" borderId="41" xfId="0" applyFont="1" applyBorder="1"/>
    <xf numFmtId="165" fontId="39" fillId="0" borderId="33" xfId="0" applyNumberFormat="1" applyFont="1" applyBorder="1"/>
    <xf numFmtId="0" fontId="39" fillId="11" borderId="33" xfId="0" applyFont="1" applyFill="1" applyBorder="1" applyAlignment="1">
      <alignment horizontal="center"/>
    </xf>
    <xf numFmtId="0" fontId="39" fillId="11" borderId="33" xfId="0" applyFont="1" applyFill="1" applyBorder="1"/>
    <xf numFmtId="165" fontId="43" fillId="0" borderId="33" xfId="0" applyNumberFormat="1" applyFont="1" applyBorder="1"/>
    <xf numFmtId="165" fontId="25" fillId="0" borderId="33" xfId="0" applyNumberFormat="1" applyFont="1" applyBorder="1"/>
    <xf numFmtId="0" fontId="39" fillId="11" borderId="74" xfId="0" applyFont="1" applyFill="1" applyBorder="1"/>
    <xf numFmtId="0" fontId="25" fillId="11" borderId="108" xfId="0" applyFont="1" applyFill="1" applyBorder="1" applyAlignment="1">
      <alignment horizontal="center"/>
    </xf>
    <xf numFmtId="6" fontId="33" fillId="0" borderId="0" xfId="0" applyNumberFormat="1" applyFont="1"/>
    <xf numFmtId="0" fontId="39" fillId="11" borderId="26" xfId="0" applyFont="1" applyFill="1" applyBorder="1" applyAlignment="1">
      <alignment horizontal="center"/>
    </xf>
    <xf numFmtId="0" fontId="39" fillId="11" borderId="26" xfId="0" applyFont="1" applyFill="1" applyBorder="1"/>
    <xf numFmtId="0" fontId="43" fillId="0" borderId="26" xfId="0" applyFont="1" applyBorder="1"/>
    <xf numFmtId="0" fontId="25" fillId="0" borderId="26" xfId="0" applyFont="1" applyBorder="1"/>
    <xf numFmtId="0" fontId="39" fillId="0" borderId="39" xfId="0" applyFont="1" applyBorder="1"/>
    <xf numFmtId="0" fontId="25" fillId="3" borderId="36" xfId="0" applyFont="1" applyFill="1" applyBorder="1" applyAlignment="1">
      <alignment horizontal="center"/>
    </xf>
    <xf numFmtId="0" fontId="47" fillId="0" borderId="0" xfId="0" applyFont="1"/>
    <xf numFmtId="0" fontId="38" fillId="0" borderId="19" xfId="0" applyFont="1" applyBorder="1" applyAlignment="1">
      <alignment horizontal="center"/>
    </xf>
    <xf numFmtId="0" fontId="48" fillId="0" borderId="7" xfId="0" applyFont="1" applyBorder="1" applyAlignment="1">
      <alignment vertical="center" wrapText="1"/>
    </xf>
    <xf numFmtId="0" fontId="48" fillId="0" borderId="37" xfId="0" applyFont="1" applyBorder="1" applyAlignment="1">
      <alignment vertical="center" wrapText="1"/>
    </xf>
    <xf numFmtId="0" fontId="48" fillId="0" borderId="52" xfId="0" applyFont="1" applyBorder="1" applyAlignment="1">
      <alignment vertical="center" wrapText="1"/>
    </xf>
    <xf numFmtId="0" fontId="48" fillId="0" borderId="52" xfId="0" applyFont="1" applyBorder="1" applyAlignment="1">
      <alignment horizontal="left" vertical="center" wrapText="1"/>
    </xf>
    <xf numFmtId="0" fontId="48" fillId="0" borderId="35" xfId="0" applyFont="1" applyBorder="1" applyAlignment="1">
      <alignment horizontal="left" vertical="center" wrapText="1"/>
    </xf>
    <xf numFmtId="0" fontId="48" fillId="0" borderId="0" xfId="0" applyFont="1" applyAlignment="1">
      <alignment horizontal="left" vertical="center"/>
    </xf>
    <xf numFmtId="0" fontId="38" fillId="0" borderId="6" xfId="0" applyFont="1" applyBorder="1" applyAlignment="1">
      <alignment horizontal="center"/>
    </xf>
    <xf numFmtId="0" fontId="49" fillId="0" borderId="68" xfId="0" applyFont="1" applyBorder="1" applyAlignment="1">
      <alignment horizontal="left" vertical="center" wrapText="1"/>
    </xf>
    <xf numFmtId="6" fontId="49" fillId="0" borderId="18" xfId="0" applyNumberFormat="1" applyFont="1" applyBorder="1" applyAlignment="1">
      <alignment horizontal="left" vertical="center" wrapText="1"/>
    </xf>
    <xf numFmtId="6" fontId="49" fillId="0" borderId="19" xfId="0" applyNumberFormat="1" applyFont="1" applyBorder="1" applyAlignment="1">
      <alignment horizontal="left" vertical="center" wrapText="1"/>
    </xf>
    <xf numFmtId="6" fontId="49" fillId="0" borderId="20" xfId="0" applyNumberFormat="1" applyFont="1" applyBorder="1" applyAlignment="1">
      <alignment horizontal="left" vertical="center" wrapText="1"/>
    </xf>
    <xf numFmtId="0" fontId="48" fillId="0" borderId="58" xfId="0" applyFont="1" applyBorder="1" applyAlignment="1">
      <alignment horizontal="left" vertical="center"/>
    </xf>
    <xf numFmtId="3" fontId="49" fillId="0" borderId="21" xfId="0" applyNumberFormat="1" applyFont="1" applyBorder="1" applyAlignment="1">
      <alignment horizontal="left" vertical="center"/>
    </xf>
    <xf numFmtId="3" fontId="48" fillId="0" borderId="6" xfId="0" applyNumberFormat="1" applyFont="1" applyBorder="1" applyAlignment="1">
      <alignment horizontal="left" vertical="center" wrapText="1"/>
    </xf>
    <xf numFmtId="3" fontId="48" fillId="0" borderId="6" xfId="0" applyNumberFormat="1" applyFont="1" applyBorder="1" applyAlignment="1">
      <alignment horizontal="left" vertical="center"/>
    </xf>
    <xf numFmtId="0" fontId="48" fillId="0" borderId="6" xfId="0" applyFont="1" applyBorder="1" applyAlignment="1">
      <alignment horizontal="left" vertical="center"/>
    </xf>
    <xf numFmtId="3" fontId="49" fillId="0" borderId="22" xfId="0" applyNumberFormat="1" applyFont="1" applyBorder="1" applyAlignment="1">
      <alignment horizontal="left" vertical="center"/>
    </xf>
    <xf numFmtId="0" fontId="49" fillId="0" borderId="58" xfId="0" applyFont="1" applyBorder="1" applyAlignment="1">
      <alignment horizontal="left" vertical="center" wrapText="1"/>
    </xf>
    <xf numFmtId="6" fontId="49" fillId="0" borderId="21" xfId="0" applyNumberFormat="1" applyFont="1" applyBorder="1" applyAlignment="1">
      <alignment horizontal="left" vertical="center" wrapText="1"/>
    </xf>
    <xf numFmtId="6" fontId="49" fillId="0" borderId="6" xfId="0" applyNumberFormat="1" applyFont="1" applyBorder="1" applyAlignment="1">
      <alignment horizontal="left" vertical="center"/>
    </xf>
    <xf numFmtId="6" fontId="49" fillId="0" borderId="22" xfId="0" applyNumberFormat="1" applyFont="1" applyBorder="1" applyAlignment="1">
      <alignment horizontal="left" vertical="center"/>
    </xf>
    <xf numFmtId="0" fontId="48" fillId="0" borderId="59" xfId="0" applyFont="1" applyBorder="1" applyAlignment="1">
      <alignment horizontal="left" vertical="center"/>
    </xf>
    <xf numFmtId="165" fontId="48" fillId="0" borderId="25" xfId="0" applyNumberFormat="1" applyFont="1" applyBorder="1" applyAlignment="1">
      <alignment horizontal="left" vertical="center"/>
    </xf>
    <xf numFmtId="165" fontId="48" fillId="0" borderId="26" xfId="0" applyNumberFormat="1" applyFont="1" applyBorder="1" applyAlignment="1">
      <alignment horizontal="left" vertical="center"/>
    </xf>
    <xf numFmtId="165" fontId="48" fillId="0" borderId="27" xfId="0" applyNumberFormat="1" applyFont="1" applyBorder="1" applyAlignment="1">
      <alignment horizontal="left" vertical="center"/>
    </xf>
    <xf numFmtId="0" fontId="38" fillId="3" borderId="6" xfId="0" applyFont="1" applyFill="1" applyBorder="1" applyAlignment="1">
      <alignment horizontal="center"/>
    </xf>
    <xf numFmtId="0" fontId="48" fillId="0" borderId="7" xfId="0" applyFont="1" applyBorder="1" applyAlignment="1">
      <alignment horizontal="left" vertical="center"/>
    </xf>
    <xf numFmtId="9" fontId="48" fillId="0" borderId="37" xfId="0" applyNumberFormat="1" applyFont="1" applyBorder="1" applyAlignment="1">
      <alignment horizontal="left" vertical="center"/>
    </xf>
    <xf numFmtId="0" fontId="48" fillId="0" borderId="52" xfId="0" applyFont="1" applyBorder="1" applyAlignment="1">
      <alignment horizontal="left" vertical="center"/>
    </xf>
    <xf numFmtId="0" fontId="48" fillId="0" borderId="35" xfId="0" applyFont="1" applyBorder="1" applyAlignment="1">
      <alignment horizontal="left" vertical="center"/>
    </xf>
    <xf numFmtId="0" fontId="48" fillId="0" borderId="68" xfId="0" applyFont="1" applyBorder="1" applyAlignment="1">
      <alignment horizontal="left" vertical="center"/>
    </xf>
    <xf numFmtId="9" fontId="48" fillId="0" borderId="18" xfId="0" applyNumberFormat="1" applyFont="1" applyBorder="1" applyAlignment="1">
      <alignment horizontal="left" vertical="center"/>
    </xf>
    <xf numFmtId="9" fontId="48" fillId="0" borderId="19" xfId="0" applyNumberFormat="1" applyFont="1" applyBorder="1" applyAlignment="1">
      <alignment horizontal="left" vertical="center"/>
    </xf>
    <xf numFmtId="9" fontId="48" fillId="0" borderId="20" xfId="0" applyNumberFormat="1" applyFont="1" applyBorder="1" applyAlignment="1">
      <alignment horizontal="left" vertical="center"/>
    </xf>
    <xf numFmtId="0" fontId="38" fillId="0" borderId="26" xfId="0" applyFont="1" applyBorder="1" applyAlignment="1">
      <alignment horizontal="center"/>
    </xf>
    <xf numFmtId="9" fontId="48" fillId="0" borderId="21" xfId="0" applyNumberFormat="1" applyFont="1" applyBorder="1" applyAlignment="1">
      <alignment horizontal="left" vertical="center"/>
    </xf>
    <xf numFmtId="9" fontId="48" fillId="0" borderId="6" xfId="0" applyNumberFormat="1" applyFont="1" applyBorder="1" applyAlignment="1">
      <alignment horizontal="left" vertical="center"/>
    </xf>
    <xf numFmtId="9" fontId="48" fillId="0" borderId="22" xfId="0" applyNumberFormat="1" applyFont="1" applyBorder="1" applyAlignment="1">
      <alignment horizontal="left" vertical="center"/>
    </xf>
    <xf numFmtId="0" fontId="48" fillId="0" borderId="21" xfId="0" applyFont="1" applyBorder="1" applyAlignment="1">
      <alignment horizontal="left" vertical="center"/>
    </xf>
    <xf numFmtId="0" fontId="48" fillId="0" borderId="22" xfId="0" applyFont="1" applyBorder="1" applyAlignment="1">
      <alignment horizontal="left" vertical="center"/>
    </xf>
    <xf numFmtId="165" fontId="48" fillId="0" borderId="21" xfId="0" applyNumberFormat="1" applyFont="1" applyBorder="1" applyAlignment="1">
      <alignment horizontal="left" vertical="center"/>
    </xf>
    <xf numFmtId="6" fontId="48" fillId="0" borderId="6" xfId="0" applyNumberFormat="1" applyFont="1" applyBorder="1" applyAlignment="1">
      <alignment horizontal="left" vertical="center"/>
    </xf>
    <xf numFmtId="165" fontId="48" fillId="0" borderId="6" xfId="0" applyNumberFormat="1" applyFont="1" applyBorder="1" applyAlignment="1">
      <alignment horizontal="left" vertical="center"/>
    </xf>
    <xf numFmtId="165" fontId="48" fillId="0" borderId="22" xfId="0" applyNumberFormat="1" applyFont="1" applyBorder="1" applyAlignment="1">
      <alignment horizontal="left" vertical="center"/>
    </xf>
    <xf numFmtId="6" fontId="48" fillId="0" borderId="25" xfId="0" applyNumberFormat="1" applyFont="1" applyBorder="1" applyAlignment="1">
      <alignment horizontal="left" vertical="center"/>
    </xf>
    <xf numFmtId="6" fontId="48" fillId="0" borderId="26" xfId="0" applyNumberFormat="1" applyFont="1" applyBorder="1" applyAlignment="1">
      <alignment horizontal="left" vertical="center"/>
    </xf>
    <xf numFmtId="0" fontId="15" fillId="8" borderId="33" xfId="0" applyFont="1" applyFill="1" applyBorder="1" applyAlignment="1">
      <alignment vertical="center" wrapText="1"/>
    </xf>
    <xf numFmtId="166" fontId="15" fillId="8" borderId="33" xfId="0" applyNumberFormat="1" applyFont="1" applyFill="1" applyBorder="1" applyAlignment="1">
      <alignment vertical="center" wrapText="1"/>
    </xf>
    <xf numFmtId="170" fontId="0" fillId="0" borderId="0" xfId="0" applyNumberFormat="1"/>
    <xf numFmtId="164" fontId="14" fillId="3" borderId="0" xfId="0" applyNumberFormat="1" applyFont="1" applyFill="1" applyAlignment="1">
      <alignment vertical="center" wrapText="1"/>
    </xf>
    <xf numFmtId="0" fontId="15" fillId="14" borderId="33" xfId="0" applyFont="1" applyFill="1" applyBorder="1" applyAlignment="1">
      <alignment vertical="center" wrapText="1"/>
    </xf>
    <xf numFmtId="166" fontId="15" fillId="14" borderId="33" xfId="0" applyNumberFormat="1" applyFont="1" applyFill="1" applyBorder="1" applyAlignment="1">
      <alignment vertical="center" wrapText="1"/>
    </xf>
    <xf numFmtId="0" fontId="1" fillId="3" borderId="0" xfId="7" applyFont="1" applyFill="1" applyAlignment="1">
      <alignment horizontal="center" vertical="center" wrapText="1"/>
    </xf>
    <xf numFmtId="0" fontId="4" fillId="3" borderId="0" xfId="7" applyFill="1" applyAlignment="1">
      <alignment horizontal="center" vertical="center"/>
    </xf>
    <xf numFmtId="165" fontId="6" fillId="7" borderId="44" xfId="7" applyNumberFormat="1" applyFont="1" applyFill="1" applyBorder="1" applyAlignment="1">
      <alignment vertical="center"/>
    </xf>
    <xf numFmtId="171" fontId="0" fillId="0" borderId="0" xfId="0" applyNumberFormat="1"/>
    <xf numFmtId="172" fontId="5" fillId="7" borderId="68" xfId="9" applyNumberFormat="1" applyFont="1" applyFill="1" applyBorder="1" applyAlignment="1">
      <alignment vertical="center"/>
    </xf>
    <xf numFmtId="172" fontId="5" fillId="7" borderId="69" xfId="9" applyNumberFormat="1" applyFont="1" applyFill="1" applyBorder="1" applyAlignment="1">
      <alignment vertical="center"/>
    </xf>
    <xf numFmtId="172" fontId="5" fillId="7" borderId="10" xfId="9" applyNumberFormat="1" applyFont="1" applyFill="1" applyBorder="1" applyAlignment="1">
      <alignment vertical="center"/>
    </xf>
    <xf numFmtId="172" fontId="6" fillId="9" borderId="68" xfId="9" applyNumberFormat="1" applyFont="1" applyFill="1" applyBorder="1" applyAlignment="1">
      <alignment vertical="center"/>
    </xf>
    <xf numFmtId="172" fontId="6" fillId="9" borderId="69" xfId="9" applyNumberFormat="1" applyFont="1" applyFill="1" applyBorder="1" applyAlignment="1">
      <alignment vertical="center"/>
    </xf>
    <xf numFmtId="172" fontId="6" fillId="9" borderId="10" xfId="9" applyNumberFormat="1" applyFont="1" applyFill="1" applyBorder="1" applyAlignment="1">
      <alignment vertical="center"/>
    </xf>
    <xf numFmtId="172" fontId="6" fillId="6" borderId="68" xfId="7" applyNumberFormat="1" applyFont="1" applyFill="1" applyBorder="1" applyAlignment="1">
      <alignment vertical="center"/>
    </xf>
    <xf numFmtId="172" fontId="6" fillId="6" borderId="69" xfId="7" applyNumberFormat="1" applyFont="1" applyFill="1" applyBorder="1" applyAlignment="1">
      <alignment vertical="center"/>
    </xf>
    <xf numFmtId="172" fontId="6" fillId="10" borderId="68" xfId="7" applyNumberFormat="1" applyFont="1" applyFill="1" applyBorder="1" applyAlignment="1">
      <alignment vertical="center"/>
    </xf>
    <xf numFmtId="172" fontId="6" fillId="10" borderId="69" xfId="7" applyNumberFormat="1" applyFont="1" applyFill="1" applyBorder="1" applyAlignment="1">
      <alignment vertical="center"/>
    </xf>
    <xf numFmtId="172" fontId="6" fillId="10" borderId="10" xfId="7" applyNumberFormat="1" applyFont="1" applyFill="1" applyBorder="1" applyAlignment="1">
      <alignment vertical="center"/>
    </xf>
    <xf numFmtId="172" fontId="6" fillId="3" borderId="10" xfId="7" applyNumberFormat="1" applyFont="1" applyFill="1" applyBorder="1" applyAlignment="1">
      <alignment vertical="center"/>
    </xf>
    <xf numFmtId="172" fontId="6" fillId="5" borderId="69" xfId="7" applyNumberFormat="1" applyFont="1" applyFill="1" applyBorder="1" applyAlignment="1">
      <alignment vertical="center"/>
    </xf>
    <xf numFmtId="3" fontId="6" fillId="14" borderId="49" xfId="9" applyNumberFormat="1" applyFont="1" applyFill="1" applyBorder="1" applyAlignment="1">
      <alignment vertical="center"/>
    </xf>
    <xf numFmtId="3" fontId="6" fillId="14" borderId="50" xfId="9" applyNumberFormat="1" applyFont="1" applyFill="1" applyBorder="1" applyAlignment="1">
      <alignment vertical="center"/>
    </xf>
    <xf numFmtId="3" fontId="6" fillId="14" borderId="51" xfId="9" applyNumberFormat="1" applyFont="1" applyFill="1" applyBorder="1" applyAlignment="1">
      <alignment vertical="center"/>
    </xf>
    <xf numFmtId="3" fontId="6" fillId="14" borderId="49" xfId="7" applyNumberFormat="1" applyFont="1" applyFill="1" applyBorder="1" applyAlignment="1">
      <alignment vertical="center"/>
    </xf>
    <xf numFmtId="3" fontId="6" fillId="14" borderId="50" xfId="7" applyNumberFormat="1" applyFont="1" applyFill="1" applyBorder="1" applyAlignment="1">
      <alignment vertical="center"/>
    </xf>
    <xf numFmtId="3" fontId="6" fillId="14" borderId="45" xfId="7" applyNumberFormat="1" applyFont="1" applyFill="1" applyBorder="1" applyAlignment="1">
      <alignment vertical="center"/>
    </xf>
    <xf numFmtId="173" fontId="0" fillId="0" borderId="0" xfId="0" applyNumberFormat="1"/>
    <xf numFmtId="165" fontId="38" fillId="0" borderId="0" xfId="0" applyNumberFormat="1" applyFont="1"/>
    <xf numFmtId="0" fontId="38" fillId="0" borderId="59" xfId="0" applyFont="1" applyBorder="1" applyAlignment="1"/>
    <xf numFmtId="0" fontId="38" fillId="0" borderId="56" xfId="0" applyFont="1" applyBorder="1" applyAlignment="1"/>
    <xf numFmtId="0" fontId="0" fillId="0" borderId="48" xfId="0" applyBorder="1" applyAlignment="1"/>
    <xf numFmtId="0" fontId="38" fillId="0" borderId="39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8" xfId="0" applyBorder="1" applyAlignment="1">
      <alignment horizontal="center"/>
    </xf>
    <xf numFmtId="0" fontId="38" fillId="3" borderId="26" xfId="0" applyFont="1" applyFill="1" applyBorder="1" applyAlignment="1"/>
    <xf numFmtId="0" fontId="38" fillId="3" borderId="27" xfId="0" applyFont="1" applyFill="1" applyBorder="1" applyAlignment="1"/>
    <xf numFmtId="0" fontId="38" fillId="0" borderId="58" xfId="0" applyFont="1" applyBorder="1" applyAlignment="1"/>
    <xf numFmtId="0" fontId="38" fillId="0" borderId="55" xfId="0" applyFont="1" applyBorder="1" applyAlignment="1"/>
    <xf numFmtId="0" fontId="0" fillId="0" borderId="40" xfId="0" applyBorder="1" applyAlignment="1"/>
    <xf numFmtId="0" fontId="38" fillId="3" borderId="2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0" xfId="0" applyBorder="1" applyAlignment="1">
      <alignment horizontal="center"/>
    </xf>
    <xf numFmtId="0" fontId="38" fillId="3" borderId="6" xfId="0" applyFont="1" applyFill="1" applyBorder="1" applyAlignment="1"/>
    <xf numFmtId="0" fontId="38" fillId="3" borderId="22" xfId="0" applyFont="1" applyFill="1" applyBorder="1" applyAlignment="1"/>
    <xf numFmtId="0" fontId="25" fillId="0" borderId="2" xfId="0" applyFont="1" applyBorder="1" applyAlignment="1">
      <alignment horizontal="center"/>
    </xf>
    <xf numFmtId="0" fontId="38" fillId="0" borderId="6" xfId="0" applyFont="1" applyBorder="1" applyAlignment="1"/>
    <xf numFmtId="0" fontId="38" fillId="0" borderId="22" xfId="0" applyFont="1" applyBorder="1" applyAlignment="1"/>
    <xf numFmtId="49" fontId="38" fillId="0" borderId="2" xfId="0" applyNumberFormat="1" applyFont="1" applyBorder="1" applyAlignment="1">
      <alignment horizontal="center"/>
    </xf>
    <xf numFmtId="0" fontId="47" fillId="0" borderId="0" xfId="0" applyFont="1" applyAlignment="1"/>
    <xf numFmtId="0" fontId="38" fillId="0" borderId="0" xfId="0" applyFont="1" applyAlignment="1"/>
    <xf numFmtId="0" fontId="38" fillId="0" borderId="68" xfId="0" applyFont="1" applyBorder="1" applyAlignment="1"/>
    <xf numFmtId="0" fontId="38" fillId="0" borderId="72" xfId="0" applyFont="1" applyBorder="1" applyAlignment="1"/>
    <xf numFmtId="0" fontId="0" fillId="0" borderId="47" xfId="0" applyBorder="1" applyAlignment="1"/>
    <xf numFmtId="49" fontId="38" fillId="0" borderId="54" xfId="0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47" xfId="0" applyBorder="1" applyAlignment="1">
      <alignment horizontal="center"/>
    </xf>
    <xf numFmtId="0" fontId="38" fillId="0" borderId="19" xfId="0" applyFont="1" applyBorder="1" applyAlignment="1"/>
    <xf numFmtId="0" fontId="38" fillId="0" borderId="20" xfId="0" applyFont="1" applyBorder="1" applyAlignment="1"/>
    <xf numFmtId="0" fontId="27" fillId="14" borderId="63" xfId="0" applyFont="1" applyFill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8" fillId="0" borderId="63" xfId="0" applyFont="1" applyBorder="1" applyAlignment="1">
      <alignment horizontal="center" vertical="center"/>
    </xf>
    <xf numFmtId="0" fontId="39" fillId="0" borderId="34" xfId="0" applyFont="1" applyBorder="1" applyAlignment="1"/>
    <xf numFmtId="0" fontId="39" fillId="0" borderId="28" xfId="0" applyFont="1" applyBorder="1" applyAlignment="1"/>
    <xf numFmtId="0" fontId="39" fillId="0" borderId="33" xfId="0" applyFont="1" applyBorder="1" applyAlignment="1">
      <alignment vertical="top"/>
    </xf>
    <xf numFmtId="0" fontId="39" fillId="0" borderId="34" xfId="0" applyFont="1" applyBorder="1" applyAlignment="1">
      <alignment vertical="top"/>
    </xf>
    <xf numFmtId="0" fontId="39" fillId="0" borderId="74" xfId="0" applyFont="1" applyBorder="1" applyAlignment="1"/>
    <xf numFmtId="0" fontId="39" fillId="0" borderId="41" xfId="0" applyFont="1" applyBorder="1" applyAlignment="1"/>
    <xf numFmtId="0" fontId="27" fillId="14" borderId="7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39" fillId="0" borderId="54" xfId="0" applyFont="1" applyBorder="1" applyAlignment="1"/>
    <xf numFmtId="0" fontId="39" fillId="0" borderId="2" xfId="0" applyFont="1" applyBorder="1" applyAlignment="1"/>
    <xf numFmtId="0" fontId="39" fillId="0" borderId="2" xfId="0" applyFont="1" applyBorder="1" applyAlignment="1">
      <alignment wrapText="1"/>
    </xf>
    <xf numFmtId="0" fontId="39" fillId="0" borderId="39" xfId="0" applyFont="1" applyBorder="1" applyAlignment="1"/>
    <xf numFmtId="0" fontId="39" fillId="0" borderId="48" xfId="0" applyFont="1" applyBorder="1" applyAlignment="1"/>
    <xf numFmtId="0" fontId="27" fillId="14" borderId="37" xfId="0" applyFont="1" applyFill="1" applyBorder="1" applyAlignment="1">
      <alignment horizontal="center" vertical="center" wrapText="1"/>
    </xf>
    <xf numFmtId="0" fontId="27" fillId="14" borderId="10" xfId="0" applyFont="1" applyFill="1" applyBorder="1" applyAlignment="1">
      <alignment horizontal="center" vertical="center" wrapText="1"/>
    </xf>
    <xf numFmtId="0" fontId="27" fillId="14" borderId="63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27" fillId="14" borderId="52" xfId="0" applyFont="1" applyFill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27" fillId="14" borderId="62" xfId="0" applyFont="1" applyFill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/>
    </xf>
    <xf numFmtId="0" fontId="27" fillId="14" borderId="52" xfId="0" applyFont="1" applyFill="1" applyBorder="1" applyAlignment="1">
      <alignment horizontal="center" vertical="center" wrapText="1"/>
    </xf>
    <xf numFmtId="0" fontId="27" fillId="14" borderId="35" xfId="0" applyFont="1" applyFill="1" applyBorder="1" applyAlignment="1">
      <alignment horizontal="center" vertical="center"/>
    </xf>
    <xf numFmtId="0" fontId="42" fillId="0" borderId="108" xfId="0" applyFont="1" applyBorder="1" applyAlignment="1">
      <alignment horizontal="center" vertical="center"/>
    </xf>
    <xf numFmtId="0" fontId="27" fillId="14" borderId="35" xfId="0" applyFont="1" applyFill="1" applyBorder="1" applyAlignment="1">
      <alignment horizontal="center" vertical="center" wrapText="1"/>
    </xf>
    <xf numFmtId="0" fontId="42" fillId="0" borderId="108" xfId="0" applyFont="1" applyBorder="1" applyAlignment="1">
      <alignment horizontal="center" vertical="center" wrapText="1"/>
    </xf>
    <xf numFmtId="0" fontId="27" fillId="14" borderId="37" xfId="0" applyFont="1" applyFill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42" fillId="0" borderId="63" xfId="0" applyFont="1" applyBorder="1" applyAlignment="1">
      <alignment horizontal="center" vertical="center"/>
    </xf>
    <xf numFmtId="0" fontId="4" fillId="3" borderId="37" xfId="7" applyFill="1" applyBorder="1" applyAlignment="1">
      <alignment horizontal="center" vertical="center"/>
    </xf>
    <xf numFmtId="0" fontId="4" fillId="3" borderId="52" xfId="7" applyFill="1" applyBorder="1" applyAlignment="1">
      <alignment horizontal="center" vertical="center"/>
    </xf>
    <xf numFmtId="0" fontId="4" fillId="3" borderId="62" xfId="7" applyFill="1" applyBorder="1" applyAlignment="1">
      <alignment horizontal="center" vertical="center"/>
    </xf>
    <xf numFmtId="0" fontId="1" fillId="7" borderId="18" xfId="7" applyFont="1" applyFill="1" applyBorder="1" applyAlignment="1">
      <alignment horizontal="center" vertical="center" wrapText="1"/>
    </xf>
    <xf numFmtId="0" fontId="1" fillId="7" borderId="21" xfId="7" applyFont="1" applyFill="1" applyBorder="1" applyAlignment="1">
      <alignment horizontal="center" vertical="center" wrapText="1"/>
    </xf>
    <xf numFmtId="0" fontId="1" fillId="7" borderId="25" xfId="7" applyFont="1" applyFill="1" applyBorder="1" applyAlignment="1">
      <alignment horizontal="center" vertical="center" wrapText="1"/>
    </xf>
    <xf numFmtId="0" fontId="9" fillId="9" borderId="37" xfId="9" applyFont="1" applyFill="1" applyBorder="1" applyAlignment="1">
      <alignment horizontal="center" vertical="center" wrapText="1"/>
    </xf>
    <xf numFmtId="0" fontId="9" fillId="9" borderId="63" xfId="9" applyFont="1" applyFill="1" applyBorder="1" applyAlignment="1">
      <alignment horizontal="center" vertical="center" wrapText="1"/>
    </xf>
    <xf numFmtId="0" fontId="9" fillId="9" borderId="38" xfId="9" applyFont="1" applyFill="1" applyBorder="1" applyAlignment="1">
      <alignment horizontal="center" vertical="center" wrapText="1"/>
    </xf>
    <xf numFmtId="0" fontId="1" fillId="10" borderId="37" xfId="7" applyFont="1" applyFill="1" applyBorder="1" applyAlignment="1">
      <alignment vertical="center" wrapText="1"/>
    </xf>
    <xf numFmtId="0" fontId="1" fillId="10" borderId="63" xfId="7" applyFont="1" applyFill="1" applyBorder="1" applyAlignment="1">
      <alignment vertical="center" wrapText="1"/>
    </xf>
    <xf numFmtId="0" fontId="1" fillId="10" borderId="38" xfId="7" applyFont="1" applyFill="1" applyBorder="1" applyAlignment="1">
      <alignment vertical="center" wrapText="1"/>
    </xf>
    <xf numFmtId="0" fontId="1" fillId="5" borderId="37" xfId="7" applyFont="1" applyFill="1" applyBorder="1" applyAlignment="1">
      <alignment horizontal="left" vertical="center" wrapText="1"/>
    </xf>
    <xf numFmtId="0" fontId="1" fillId="5" borderId="63" xfId="7" applyFont="1" applyFill="1" applyBorder="1" applyAlignment="1">
      <alignment horizontal="left" vertical="center" wrapText="1"/>
    </xf>
    <xf numFmtId="0" fontId="1" fillId="5" borderId="38" xfId="7" applyFont="1" applyFill="1" applyBorder="1" applyAlignment="1">
      <alignment horizontal="left" vertical="center" wrapText="1"/>
    </xf>
    <xf numFmtId="0" fontId="17" fillId="4" borderId="15" xfId="7" applyFont="1" applyFill="1" applyBorder="1" applyAlignment="1">
      <alignment horizontal="left" vertical="center" wrapText="1"/>
    </xf>
    <xf numFmtId="0" fontId="24" fillId="4" borderId="16" xfId="7" applyFont="1" applyFill="1" applyBorder="1" applyAlignment="1">
      <alignment horizontal="left" wrapText="1"/>
    </xf>
    <xf numFmtId="0" fontId="24" fillId="4" borderId="17" xfId="7" applyFont="1" applyFill="1" applyBorder="1" applyAlignment="1">
      <alignment horizontal="left" wrapText="1"/>
    </xf>
    <xf numFmtId="164" fontId="14" fillId="3" borderId="107" xfId="0" applyNumberFormat="1" applyFont="1" applyFill="1" applyBorder="1" applyAlignment="1">
      <alignment horizontal="center" vertical="center" wrapText="1"/>
    </xf>
    <xf numFmtId="164" fontId="14" fillId="3" borderId="106" xfId="0" applyNumberFormat="1" applyFont="1" applyFill="1" applyBorder="1" applyAlignment="1">
      <alignment horizontal="center" vertical="center" wrapText="1"/>
    </xf>
    <xf numFmtId="164" fontId="14" fillId="3" borderId="21" xfId="0" applyNumberFormat="1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164" fontId="14" fillId="3" borderId="6" xfId="0" applyNumberFormat="1" applyFont="1" applyFill="1" applyBorder="1" applyAlignment="1">
      <alignment horizontal="center" vertical="center" wrapText="1"/>
    </xf>
    <xf numFmtId="0" fontId="16" fillId="7" borderId="18" xfId="7" applyFont="1" applyFill="1" applyBorder="1" applyAlignment="1">
      <alignment horizontal="center" vertical="center" wrapText="1"/>
    </xf>
    <xf numFmtId="0" fontId="16" fillId="7" borderId="21" xfId="7" applyFont="1" applyFill="1" applyBorder="1" applyAlignment="1">
      <alignment horizontal="center" vertical="center" wrapText="1"/>
    </xf>
    <xf numFmtId="0" fontId="16" fillId="7" borderId="25" xfId="7" applyFont="1" applyFill="1" applyBorder="1" applyAlignment="1">
      <alignment horizontal="center" vertical="center" wrapText="1"/>
    </xf>
    <xf numFmtId="0" fontId="27" fillId="14" borderId="32" xfId="0" applyFont="1" applyFill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15" fillId="0" borderId="6" xfId="0" applyFont="1" applyBorder="1" applyAlignment="1"/>
    <xf numFmtId="0" fontId="0" fillId="0" borderId="6" xfId="0" applyBorder="1" applyAlignment="1"/>
    <xf numFmtId="0" fontId="29" fillId="0" borderId="33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32" fillId="0" borderId="6" xfId="0" applyFont="1" applyBorder="1" applyAlignment="1"/>
    <xf numFmtId="0" fontId="33" fillId="0" borderId="6" xfId="0" applyFont="1" applyBorder="1" applyAlignment="1"/>
    <xf numFmtId="0" fontId="7" fillId="0" borderId="2" xfId="0" applyFont="1" applyBorder="1" applyAlignment="1"/>
    <xf numFmtId="0" fontId="1" fillId="0" borderId="55" xfId="0" applyFont="1" applyBorder="1" applyAlignment="1"/>
    <xf numFmtId="0" fontId="27" fillId="14" borderId="6" xfId="0" applyFont="1" applyFill="1" applyBorder="1" applyAlignment="1">
      <alignment horizontal="left" vertical="center"/>
    </xf>
    <xf numFmtId="0" fontId="28" fillId="0" borderId="6" xfId="0" applyFont="1" applyBorder="1" applyAlignment="1">
      <alignment horizontal="left" vertical="center"/>
    </xf>
    <xf numFmtId="0" fontId="27" fillId="14" borderId="6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2" xfId="0" applyFont="1" applyBorder="1" applyAlignment="1">
      <alignment horizontal="center" vertical="center" wrapText="1"/>
    </xf>
    <xf numFmtId="0" fontId="14" fillId="3" borderId="96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97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20" fillId="0" borderId="13" xfId="7" applyFont="1" applyBorder="1" applyAlignment="1">
      <alignment wrapText="1"/>
    </xf>
    <xf numFmtId="0" fontId="25" fillId="0" borderId="13" xfId="0" applyFont="1" applyBorder="1" applyAlignment="1"/>
    <xf numFmtId="0" fontId="1" fillId="3" borderId="37" xfId="7" applyFont="1" applyFill="1" applyBorder="1" applyAlignment="1">
      <alignment horizontal="center" vertical="center" wrapText="1"/>
    </xf>
    <xf numFmtId="0" fontId="1" fillId="3" borderId="52" xfId="7" applyFont="1" applyFill="1" applyBorder="1" applyAlignment="1">
      <alignment horizontal="center" vertical="center" wrapText="1"/>
    </xf>
    <xf numFmtId="0" fontId="1" fillId="3" borderId="35" xfId="7" applyFont="1" applyFill="1" applyBorder="1" applyAlignment="1">
      <alignment horizontal="center" vertical="center" wrapText="1"/>
    </xf>
    <xf numFmtId="0" fontId="1" fillId="3" borderId="15" xfId="7" applyFont="1" applyFill="1" applyBorder="1" applyAlignment="1">
      <alignment horizontal="center" vertical="center" wrapText="1"/>
    </xf>
    <xf numFmtId="0" fontId="1" fillId="3" borderId="16" xfId="7" applyFont="1" applyFill="1" applyBorder="1" applyAlignment="1">
      <alignment horizontal="center" vertical="center" wrapText="1"/>
    </xf>
    <xf numFmtId="0" fontId="1" fillId="3" borderId="17" xfId="7" applyFont="1" applyFill="1" applyBorder="1" applyAlignment="1">
      <alignment horizontal="center" vertical="center" wrapText="1"/>
    </xf>
    <xf numFmtId="0" fontId="13" fillId="3" borderId="61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</cellXfs>
  <cellStyles count="13">
    <cellStyle name="Gevolgde hyperlink" xfId="6" builtinId="9" hidden="1"/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Hyperlink" xfId="5" builtinId="8" hidden="1"/>
    <cellStyle name="Normal 2" xfId="10" xr:uid="{76108EA9-819E-4CB4-A111-98286BB1C19B}"/>
    <cellStyle name="Notitie 2" xfId="9" xr:uid="{D38A693A-179E-4B24-B7F1-6F56BFC30DBE}"/>
    <cellStyle name="Procent 2" xfId="8" xr:uid="{D0F4A3B4-FE16-4059-8796-1BE278BED63E}"/>
    <cellStyle name="Standaard" xfId="0" builtinId="0"/>
    <cellStyle name="Standaard 2" xfId="7" xr:uid="{E871279A-E9A6-4D86-86DE-C3825867232E}"/>
    <cellStyle name="Standaard 24" xfId="12" xr:uid="{29482E0B-31F3-4B91-8F10-E2AB774AA75D}"/>
    <cellStyle name="Standaard 3 2" xfId="11" xr:uid="{AD9230E2-F145-47D4-A6DB-C08A7EB0CD84}"/>
  </cellStyles>
  <dxfs count="0"/>
  <tableStyles count="0" defaultTableStyle="TableStyleMedium9" defaultPivotStyle="PivotStyleMedium4"/>
  <colors>
    <mruColors>
      <color rgb="FFFFFF66"/>
      <color rgb="FFF9FC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704850</xdr:colOff>
      <xdr:row>101</xdr:row>
      <xdr:rowOff>61383</xdr:rowOff>
    </xdr:from>
    <xdr:to>
      <xdr:col>35</xdr:col>
      <xdr:colOff>438528</xdr:colOff>
      <xdr:row>120</xdr:row>
      <xdr:rowOff>60008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17837367-0298-4FEC-8DBA-3F74681480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79" r="11363"/>
        <a:stretch/>
      </xdr:blipFill>
      <xdr:spPr>
        <a:xfrm>
          <a:off x="17087850" y="9176808"/>
          <a:ext cx="6352192" cy="4129753"/>
        </a:xfrm>
        <a:prstGeom prst="rect">
          <a:avLst/>
        </a:prstGeom>
        <a:ln w="38100">
          <a:solidFill>
            <a:srgbClr val="00B050"/>
          </a:solidFill>
        </a:ln>
      </xdr:spPr>
    </xdr:pic>
    <xdr:clientData/>
  </xdr:twoCellAnchor>
  <xdr:twoCellAnchor>
    <xdr:from>
      <xdr:col>23</xdr:col>
      <xdr:colOff>964784</xdr:colOff>
      <xdr:row>106</xdr:row>
      <xdr:rowOff>6047</xdr:rowOff>
    </xdr:from>
    <xdr:to>
      <xdr:col>26</xdr:col>
      <xdr:colOff>51404</xdr:colOff>
      <xdr:row>117</xdr:row>
      <xdr:rowOff>202216</xdr:rowOff>
    </xdr:to>
    <xdr:sp macro="" textlink="">
      <xdr:nvSpPr>
        <xdr:cNvPr id="3" name="Pijl: rechts 2">
          <a:extLst>
            <a:ext uri="{FF2B5EF4-FFF2-40B4-BE49-F238E27FC236}">
              <a16:creationId xmlns:a16="http://schemas.microsoft.com/office/drawing/2014/main" id="{89400FBF-8F9C-4F39-A8C7-E515055C5F70}"/>
            </a:ext>
          </a:extLst>
        </xdr:cNvPr>
        <xdr:cNvSpPr/>
      </xdr:nvSpPr>
      <xdr:spPr>
        <a:xfrm>
          <a:off x="24110534" y="23600833"/>
          <a:ext cx="3821906" cy="2441347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400" b="1">
              <a:solidFill>
                <a:srgbClr val="FFFF00"/>
              </a:solidFill>
            </a:rPr>
            <a:t>zie invul instructie / tips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0163-B482-4510-9F9A-27C14E4B102D}">
  <dimension ref="A1:U66"/>
  <sheetViews>
    <sheetView tabSelected="1" topLeftCell="G31" zoomScale="70" zoomScaleNormal="70" workbookViewId="0">
      <selection activeCell="G31" sqref="G31"/>
    </sheetView>
  </sheetViews>
  <sheetFormatPr defaultRowHeight="15.75" x14ac:dyDescent="0.25"/>
  <cols>
    <col min="1" max="1" width="41.75" bestFit="1" customWidth="1"/>
    <col min="2" max="2" width="18.5" bestFit="1" customWidth="1"/>
    <col min="3" max="3" width="18.625" bestFit="1" customWidth="1"/>
    <col min="4" max="4" width="14.25" bestFit="1" customWidth="1"/>
    <col min="5" max="5" width="29.25" bestFit="1" customWidth="1"/>
    <col min="6" max="6" width="4.875" bestFit="1" customWidth="1"/>
    <col min="7" max="8" width="14.25" bestFit="1" customWidth="1"/>
    <col min="9" max="9" width="12.875" bestFit="1" customWidth="1"/>
    <col min="10" max="10" width="8" bestFit="1" customWidth="1"/>
    <col min="11" max="11" width="73.25" bestFit="1" customWidth="1"/>
    <col min="15" max="15" width="26.375" bestFit="1" customWidth="1"/>
    <col min="16" max="16" width="13" customWidth="1"/>
    <col min="17" max="17" width="11.875" customWidth="1"/>
    <col min="18" max="18" width="10.875" customWidth="1"/>
  </cols>
  <sheetData>
    <row r="1" spans="1:21" ht="18.75" x14ac:dyDescent="0.3">
      <c r="A1" s="570" t="s">
        <v>0</v>
      </c>
      <c r="B1" s="571"/>
      <c r="C1" s="571"/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  <c r="O1" s="570"/>
      <c r="P1" s="570"/>
      <c r="Q1" s="570"/>
      <c r="R1" s="570"/>
      <c r="S1" s="570"/>
      <c r="T1" s="570"/>
      <c r="U1" s="570"/>
    </row>
    <row r="2" spans="1:21" ht="19.5" thickBot="1" x14ac:dyDescent="0.35">
      <c r="A2" s="570"/>
      <c r="B2" s="571"/>
      <c r="C2" s="571"/>
      <c r="D2" s="570"/>
      <c r="E2" s="570"/>
      <c r="F2" s="570"/>
      <c r="G2" s="570"/>
      <c r="H2" s="570"/>
      <c r="I2" s="570"/>
      <c r="J2" s="570"/>
      <c r="K2" s="570"/>
      <c r="L2" s="570"/>
      <c r="M2" s="570"/>
      <c r="N2" s="570"/>
      <c r="O2" s="570"/>
      <c r="P2" s="570"/>
      <c r="Q2" s="570"/>
      <c r="R2" s="570"/>
      <c r="S2" s="570"/>
      <c r="T2" s="570"/>
      <c r="U2" s="570"/>
    </row>
    <row r="3" spans="1:21" ht="18.75" x14ac:dyDescent="0.3">
      <c r="A3" s="778" t="s">
        <v>1</v>
      </c>
      <c r="B3" s="769" t="s">
        <v>2</v>
      </c>
      <c r="C3" s="769" t="s">
        <v>3</v>
      </c>
      <c r="D3" s="769" t="s">
        <v>4</v>
      </c>
      <c r="E3" s="773" t="s">
        <v>5</v>
      </c>
      <c r="F3" s="769" t="s">
        <v>6</v>
      </c>
      <c r="G3" s="769" t="s">
        <v>7</v>
      </c>
      <c r="H3" s="771" t="s">
        <v>8</v>
      </c>
      <c r="I3" s="772"/>
      <c r="J3" s="773" t="s">
        <v>9</v>
      </c>
      <c r="K3" s="774" t="s">
        <v>10</v>
      </c>
      <c r="L3" s="570"/>
      <c r="M3" s="570"/>
      <c r="N3" s="570"/>
      <c r="O3" s="776" t="s">
        <v>11</v>
      </c>
      <c r="P3" s="570"/>
      <c r="Q3" s="570"/>
      <c r="R3" s="570"/>
      <c r="S3" s="570"/>
      <c r="T3" s="570"/>
      <c r="U3" s="570"/>
    </row>
    <row r="4" spans="1:21" ht="19.5" thickBot="1" x14ac:dyDescent="0.35">
      <c r="A4" s="780"/>
      <c r="B4" s="770"/>
      <c r="C4" s="770"/>
      <c r="D4" s="770"/>
      <c r="E4" s="770"/>
      <c r="F4" s="770"/>
      <c r="G4" s="770"/>
      <c r="H4" s="572" t="s">
        <v>12</v>
      </c>
      <c r="I4" s="572" t="s">
        <v>13</v>
      </c>
      <c r="J4" s="770"/>
      <c r="K4" s="775"/>
      <c r="L4" s="570"/>
      <c r="M4" s="570" t="s">
        <v>14</v>
      </c>
      <c r="N4" s="570"/>
      <c r="O4" s="777"/>
      <c r="P4" s="570"/>
      <c r="Q4" s="570"/>
      <c r="R4" s="570"/>
      <c r="S4" s="570"/>
      <c r="T4" s="570"/>
      <c r="U4" s="570"/>
    </row>
    <row r="5" spans="1:21" ht="19.5" thickBot="1" x14ac:dyDescent="0.35">
      <c r="A5" s="778" t="s">
        <v>15</v>
      </c>
      <c r="B5" s="573" t="s">
        <v>16</v>
      </c>
      <c r="C5" s="574" t="s">
        <v>17</v>
      </c>
      <c r="D5" s="575"/>
      <c r="E5" s="576" t="s">
        <v>12</v>
      </c>
      <c r="F5" s="577">
        <f>(100-F8)/2</f>
        <v>43.935515756852119</v>
      </c>
      <c r="G5" s="578">
        <f>F5*D13/100</f>
        <v>362236.21</v>
      </c>
      <c r="H5" s="578">
        <f>G5</f>
        <v>362236.21</v>
      </c>
      <c r="I5" s="579">
        <v>0</v>
      </c>
      <c r="J5" s="580"/>
      <c r="K5" s="581" t="s">
        <v>18</v>
      </c>
      <c r="L5" s="570"/>
      <c r="M5" s="570" t="s">
        <v>12</v>
      </c>
      <c r="N5" s="570"/>
      <c r="O5" s="582">
        <v>724472.42</v>
      </c>
      <c r="P5" s="570"/>
      <c r="Q5" s="570"/>
      <c r="R5" s="570"/>
      <c r="S5" s="570"/>
      <c r="T5" s="570"/>
      <c r="U5" s="570"/>
    </row>
    <row r="6" spans="1:21" ht="18.75" x14ac:dyDescent="0.3">
      <c r="A6" s="750"/>
      <c r="B6" s="583" t="s">
        <v>19</v>
      </c>
      <c r="C6" s="584" t="s">
        <v>20</v>
      </c>
      <c r="D6" s="585"/>
      <c r="E6" s="586" t="s">
        <v>13</v>
      </c>
      <c r="F6" s="587">
        <v>0</v>
      </c>
      <c r="G6" s="588">
        <f>F6*D13/100</f>
        <v>0</v>
      </c>
      <c r="H6" s="588" t="s">
        <v>21</v>
      </c>
      <c r="I6" s="589">
        <f t="shared" ref="I6:I12" si="0">G6</f>
        <v>0</v>
      </c>
      <c r="J6" s="590"/>
      <c r="K6" s="591" t="s">
        <v>22</v>
      </c>
      <c r="L6" s="570"/>
      <c r="M6" s="570" t="s">
        <v>13</v>
      </c>
      <c r="N6" s="570"/>
      <c r="O6" s="570"/>
      <c r="P6" s="570"/>
      <c r="Q6" s="570"/>
      <c r="R6" s="570"/>
      <c r="S6" s="570"/>
      <c r="T6" s="570"/>
      <c r="U6" s="570"/>
    </row>
    <row r="7" spans="1:21" ht="18.75" x14ac:dyDescent="0.3">
      <c r="A7" s="750"/>
      <c r="B7" s="752"/>
      <c r="C7" s="584" t="s">
        <v>23</v>
      </c>
      <c r="D7" s="585"/>
      <c r="E7" s="586" t="s">
        <v>13</v>
      </c>
      <c r="F7" s="587">
        <v>0</v>
      </c>
      <c r="G7" s="588">
        <f>F7*D13/100</f>
        <v>0</v>
      </c>
      <c r="H7" s="588" t="s">
        <v>21</v>
      </c>
      <c r="I7" s="589">
        <f t="shared" si="0"/>
        <v>0</v>
      </c>
      <c r="J7" s="590"/>
      <c r="K7" s="591" t="s">
        <v>22</v>
      </c>
      <c r="L7" s="570"/>
      <c r="M7" s="570"/>
      <c r="N7" s="570"/>
      <c r="O7" s="570"/>
      <c r="P7" s="570"/>
      <c r="Q7" s="570"/>
      <c r="R7" s="570"/>
      <c r="S7" s="570"/>
      <c r="T7" s="570"/>
      <c r="U7" s="570"/>
    </row>
    <row r="8" spans="1:21" ht="18.75" x14ac:dyDescent="0.3">
      <c r="A8" s="750"/>
      <c r="B8" s="753"/>
      <c r="C8" s="584" t="s">
        <v>24</v>
      </c>
      <c r="D8" s="585"/>
      <c r="E8" s="586" t="s">
        <v>12</v>
      </c>
      <c r="F8" s="587">
        <f>G8/D13*100</f>
        <v>12.128968486295758</v>
      </c>
      <c r="G8" s="588">
        <v>100000</v>
      </c>
      <c r="H8" s="588" t="s">
        <v>21</v>
      </c>
      <c r="I8" s="589">
        <f t="shared" si="0"/>
        <v>100000</v>
      </c>
      <c r="J8" s="590"/>
      <c r="K8" s="591" t="s">
        <v>25</v>
      </c>
      <c r="L8" s="570"/>
      <c r="M8" s="570"/>
      <c r="N8" s="570"/>
      <c r="O8" s="570"/>
      <c r="P8" s="570"/>
      <c r="Q8" s="570"/>
      <c r="R8" s="570"/>
      <c r="S8" s="570"/>
      <c r="T8" s="570"/>
      <c r="U8" s="570"/>
    </row>
    <row r="9" spans="1:21" ht="18.75" x14ac:dyDescent="0.3">
      <c r="A9" s="749"/>
      <c r="B9" s="592" t="s">
        <v>26</v>
      </c>
      <c r="C9" s="584" t="s">
        <v>27</v>
      </c>
      <c r="D9" s="585"/>
      <c r="E9" s="586" t="s">
        <v>12</v>
      </c>
      <c r="F9" s="587">
        <f>(100-F8)/2</f>
        <v>43.935515756852119</v>
      </c>
      <c r="G9" s="588">
        <f>F9*D13/100</f>
        <v>362236.21</v>
      </c>
      <c r="H9" s="588">
        <f>G9</f>
        <v>362236.21</v>
      </c>
      <c r="I9" s="589">
        <v>0</v>
      </c>
      <c r="J9" s="590"/>
      <c r="K9" s="591" t="s">
        <v>18</v>
      </c>
      <c r="L9" s="570"/>
      <c r="M9" s="570"/>
      <c r="N9" s="570"/>
      <c r="O9" s="570"/>
      <c r="P9" s="570"/>
      <c r="Q9" s="570"/>
      <c r="R9" s="570"/>
      <c r="S9" s="570"/>
      <c r="T9" s="570"/>
      <c r="U9" s="570"/>
    </row>
    <row r="10" spans="1:21" ht="18.75" x14ac:dyDescent="0.3">
      <c r="A10" s="749"/>
      <c r="B10" s="754" t="s">
        <v>28</v>
      </c>
      <c r="C10" s="593" t="s">
        <v>29</v>
      </c>
      <c r="D10" s="585"/>
      <c r="E10" s="586" t="s">
        <v>13</v>
      </c>
      <c r="F10" s="587">
        <v>0</v>
      </c>
      <c r="G10" s="588">
        <f>F10*D13/100</f>
        <v>0</v>
      </c>
      <c r="H10" s="588" t="s">
        <v>21</v>
      </c>
      <c r="I10" s="589">
        <f t="shared" si="0"/>
        <v>0</v>
      </c>
      <c r="J10" s="594"/>
      <c r="K10" s="591" t="s">
        <v>22</v>
      </c>
      <c r="L10" s="570"/>
      <c r="M10" s="570"/>
      <c r="N10" s="570"/>
      <c r="O10" s="570"/>
      <c r="P10" s="570"/>
      <c r="Q10" s="570"/>
      <c r="R10" s="570"/>
      <c r="S10" s="570"/>
      <c r="T10" s="570"/>
      <c r="U10" s="570"/>
    </row>
    <row r="11" spans="1:21" ht="18.75" x14ac:dyDescent="0.3">
      <c r="A11" s="749"/>
      <c r="B11" s="755"/>
      <c r="C11" s="593" t="s">
        <v>30</v>
      </c>
      <c r="D11" s="585"/>
      <c r="E11" s="586" t="s">
        <v>13</v>
      </c>
      <c r="F11" s="587">
        <v>0</v>
      </c>
      <c r="G11" s="588">
        <f>F11*D13/100</f>
        <v>0</v>
      </c>
      <c r="H11" s="588" t="s">
        <v>21</v>
      </c>
      <c r="I11" s="589">
        <f t="shared" si="0"/>
        <v>0</v>
      </c>
      <c r="J11" s="594"/>
      <c r="K11" s="591" t="s">
        <v>22</v>
      </c>
      <c r="L11" s="570"/>
      <c r="M11" s="570"/>
      <c r="N11" s="570"/>
      <c r="O11" s="570"/>
      <c r="P11" s="570"/>
      <c r="Q11" s="570"/>
      <c r="R11" s="570"/>
      <c r="S11" s="570"/>
      <c r="T11" s="570"/>
      <c r="U11" s="570"/>
    </row>
    <row r="12" spans="1:21" ht="18.75" x14ac:dyDescent="0.3">
      <c r="A12" s="749"/>
      <c r="B12" s="755"/>
      <c r="C12" s="593" t="s">
        <v>31</v>
      </c>
      <c r="D12" s="585"/>
      <c r="E12" s="586" t="s">
        <v>13</v>
      </c>
      <c r="F12" s="587">
        <v>0</v>
      </c>
      <c r="G12" s="588">
        <f>F12*D13/100</f>
        <v>0</v>
      </c>
      <c r="H12" s="588" t="s">
        <v>21</v>
      </c>
      <c r="I12" s="589">
        <f t="shared" si="0"/>
        <v>0</v>
      </c>
      <c r="J12" s="594"/>
      <c r="K12" s="595" t="s">
        <v>22</v>
      </c>
      <c r="L12" s="570"/>
      <c r="M12" s="570"/>
      <c r="N12" s="570"/>
      <c r="O12" s="570"/>
      <c r="P12" s="570"/>
      <c r="Q12" s="570"/>
      <c r="R12" s="570"/>
      <c r="S12" s="570"/>
      <c r="T12" s="570"/>
      <c r="U12" s="570"/>
    </row>
    <row r="13" spans="1:21" ht="19.5" thickBot="1" x14ac:dyDescent="0.35">
      <c r="A13" s="779"/>
      <c r="B13" s="763" t="s">
        <v>32</v>
      </c>
      <c r="C13" s="764"/>
      <c r="D13" s="596">
        <f>O5+100000</f>
        <v>824472.42</v>
      </c>
      <c r="E13" s="597"/>
      <c r="F13" s="598">
        <f>SUM(F5:F12)</f>
        <v>100</v>
      </c>
      <c r="G13" s="599">
        <f>SUM(G5:G12)</f>
        <v>824472.42</v>
      </c>
      <c r="H13" s="588">
        <f>SUM(H5:H12)</f>
        <v>724472.42</v>
      </c>
      <c r="I13" s="600">
        <f>SUM(I5:I12)</f>
        <v>100000</v>
      </c>
      <c r="J13" s="601"/>
      <c r="K13" s="602"/>
      <c r="L13" s="570"/>
      <c r="M13" s="570"/>
      <c r="N13" s="570"/>
      <c r="O13" s="570"/>
      <c r="P13" s="570"/>
      <c r="Q13" s="570"/>
      <c r="R13" s="570"/>
      <c r="S13" s="570"/>
      <c r="T13" s="570"/>
      <c r="U13" s="570"/>
    </row>
    <row r="14" spans="1:21" ht="18.75" x14ac:dyDescent="0.3">
      <c r="A14" s="749" t="s">
        <v>33</v>
      </c>
      <c r="B14" s="573" t="s">
        <v>16</v>
      </c>
      <c r="C14" s="574" t="s">
        <v>17</v>
      </c>
      <c r="D14" s="575"/>
      <c r="E14" s="586" t="s">
        <v>13</v>
      </c>
      <c r="F14" s="577">
        <v>0</v>
      </c>
      <c r="G14" s="578">
        <f>F14*D22/100</f>
        <v>0</v>
      </c>
      <c r="H14" s="578" t="s">
        <v>21</v>
      </c>
      <c r="I14" s="579">
        <f>G14</f>
        <v>0</v>
      </c>
      <c r="J14" s="580"/>
      <c r="K14" s="581" t="s">
        <v>22</v>
      </c>
      <c r="L14" s="570"/>
      <c r="M14" s="570"/>
      <c r="N14" s="570"/>
      <c r="O14" s="570"/>
      <c r="P14" s="570"/>
      <c r="Q14" s="570"/>
      <c r="R14" s="570"/>
      <c r="S14" s="570"/>
      <c r="T14" s="570"/>
      <c r="U14" s="570"/>
    </row>
    <row r="15" spans="1:21" ht="18.75" x14ac:dyDescent="0.3">
      <c r="A15" s="750"/>
      <c r="B15" s="583" t="s">
        <v>19</v>
      </c>
      <c r="C15" s="584" t="s">
        <v>20</v>
      </c>
      <c r="D15" s="585"/>
      <c r="E15" s="586" t="s">
        <v>13</v>
      </c>
      <c r="F15" s="587">
        <v>0</v>
      </c>
      <c r="G15" s="588">
        <f>F15*D22/100</f>
        <v>0</v>
      </c>
      <c r="H15" s="588" t="s">
        <v>21</v>
      </c>
      <c r="I15" s="589">
        <f t="shared" ref="I15:I22" si="1">G15</f>
        <v>0</v>
      </c>
      <c r="J15" s="590"/>
      <c r="K15" s="591" t="s">
        <v>22</v>
      </c>
      <c r="L15" s="570"/>
      <c r="M15" s="570"/>
      <c r="N15" s="570"/>
      <c r="O15" s="570"/>
      <c r="P15" s="570"/>
      <c r="Q15" s="570"/>
      <c r="R15" s="570"/>
      <c r="S15" s="570"/>
      <c r="T15" s="570"/>
      <c r="U15" s="570"/>
    </row>
    <row r="16" spans="1:21" ht="18.75" x14ac:dyDescent="0.3">
      <c r="A16" s="750"/>
      <c r="B16" s="752"/>
      <c r="C16" s="584" t="s">
        <v>23</v>
      </c>
      <c r="D16" s="585"/>
      <c r="E16" s="586" t="s">
        <v>13</v>
      </c>
      <c r="F16" s="587">
        <v>0</v>
      </c>
      <c r="G16" s="588">
        <f>F16*D22/100</f>
        <v>0</v>
      </c>
      <c r="H16" s="588" t="s">
        <v>21</v>
      </c>
      <c r="I16" s="589">
        <f t="shared" si="1"/>
        <v>0</v>
      </c>
      <c r="J16" s="590"/>
      <c r="K16" s="591" t="s">
        <v>22</v>
      </c>
      <c r="L16" s="570"/>
      <c r="M16" s="570"/>
      <c r="N16" s="570"/>
      <c r="O16" s="570"/>
      <c r="P16" s="570"/>
      <c r="Q16" s="570"/>
      <c r="R16" s="570"/>
      <c r="S16" s="570"/>
      <c r="T16" s="570"/>
      <c r="U16" s="570"/>
    </row>
    <row r="17" spans="1:21" ht="18.75" x14ac:dyDescent="0.3">
      <c r="A17" s="749"/>
      <c r="B17" s="753"/>
      <c r="C17" s="584" t="s">
        <v>24</v>
      </c>
      <c r="D17" s="585"/>
      <c r="E17" s="586" t="s">
        <v>13</v>
      </c>
      <c r="F17" s="587">
        <v>0</v>
      </c>
      <c r="G17" s="588">
        <f>F17*D22/100</f>
        <v>0</v>
      </c>
      <c r="H17" s="588" t="s">
        <v>21</v>
      </c>
      <c r="I17" s="589">
        <f t="shared" si="1"/>
        <v>0</v>
      </c>
      <c r="J17" s="590"/>
      <c r="K17" s="591" t="s">
        <v>22</v>
      </c>
      <c r="L17" s="570"/>
      <c r="M17" s="570"/>
      <c r="N17" s="570"/>
      <c r="O17" s="570"/>
      <c r="P17" s="570"/>
      <c r="Q17" s="570"/>
      <c r="R17" s="570"/>
      <c r="S17" s="570"/>
      <c r="T17" s="570"/>
      <c r="U17" s="570"/>
    </row>
    <row r="18" spans="1:21" ht="18.75" x14ac:dyDescent="0.3">
      <c r="A18" s="749"/>
      <c r="B18" s="592" t="s">
        <v>26</v>
      </c>
      <c r="C18" s="584" t="s">
        <v>27</v>
      </c>
      <c r="D18" s="585"/>
      <c r="E18" s="586" t="s">
        <v>13</v>
      </c>
      <c r="F18" s="587">
        <v>0</v>
      </c>
      <c r="G18" s="588">
        <f>F18*D22/100</f>
        <v>0</v>
      </c>
      <c r="H18" s="588" t="s">
        <v>21</v>
      </c>
      <c r="I18" s="589">
        <f t="shared" si="1"/>
        <v>0</v>
      </c>
      <c r="J18" s="590"/>
      <c r="K18" s="591" t="s">
        <v>22</v>
      </c>
      <c r="L18" s="570"/>
      <c r="M18" s="570"/>
      <c r="N18" s="570"/>
      <c r="O18" s="570"/>
      <c r="P18" s="570"/>
      <c r="Q18" s="570"/>
      <c r="R18" s="570"/>
      <c r="S18" s="570"/>
      <c r="T18" s="570"/>
      <c r="U18" s="570"/>
    </row>
    <row r="19" spans="1:21" ht="18.75" x14ac:dyDescent="0.3">
      <c r="A19" s="749"/>
      <c r="B19" s="754" t="s">
        <v>28</v>
      </c>
      <c r="C19" s="593" t="s">
        <v>29</v>
      </c>
      <c r="D19" s="585"/>
      <c r="E19" s="586" t="s">
        <v>13</v>
      </c>
      <c r="F19" s="587">
        <v>0</v>
      </c>
      <c r="G19" s="588">
        <f>F19*D22/100</f>
        <v>0</v>
      </c>
      <c r="H19" s="588" t="s">
        <v>21</v>
      </c>
      <c r="I19" s="589">
        <f t="shared" si="1"/>
        <v>0</v>
      </c>
      <c r="J19" s="594"/>
      <c r="K19" s="591" t="s">
        <v>22</v>
      </c>
      <c r="L19" s="570"/>
      <c r="M19" s="570"/>
      <c r="N19" s="570"/>
      <c r="O19" s="570"/>
      <c r="P19" s="570"/>
      <c r="Q19" s="570"/>
      <c r="R19" s="570"/>
      <c r="S19" s="570"/>
      <c r="T19" s="570"/>
      <c r="U19" s="570"/>
    </row>
    <row r="20" spans="1:21" ht="18.75" x14ac:dyDescent="0.3">
      <c r="A20" s="749"/>
      <c r="B20" s="755"/>
      <c r="C20" s="593" t="s">
        <v>30</v>
      </c>
      <c r="D20" s="585"/>
      <c r="E20" s="586" t="s">
        <v>13</v>
      </c>
      <c r="F20" s="587">
        <v>0</v>
      </c>
      <c r="G20" s="588">
        <f>F20*D22/100</f>
        <v>0</v>
      </c>
      <c r="H20" s="588" t="s">
        <v>21</v>
      </c>
      <c r="I20" s="589">
        <f t="shared" si="1"/>
        <v>0</v>
      </c>
      <c r="J20" s="594"/>
      <c r="K20" s="591" t="s">
        <v>22</v>
      </c>
      <c r="L20" s="570"/>
      <c r="M20" s="570"/>
      <c r="N20" s="570"/>
      <c r="O20" s="570"/>
      <c r="P20" s="570"/>
      <c r="Q20" s="570"/>
      <c r="R20" s="570"/>
      <c r="S20" s="570"/>
      <c r="T20" s="570"/>
      <c r="U20" s="570"/>
    </row>
    <row r="21" spans="1:21" ht="18.75" x14ac:dyDescent="0.3">
      <c r="A21" s="749"/>
      <c r="B21" s="755"/>
      <c r="C21" s="593" t="s">
        <v>31</v>
      </c>
      <c r="D21" s="585"/>
      <c r="E21" s="586" t="s">
        <v>13</v>
      </c>
      <c r="F21" s="587">
        <v>0</v>
      </c>
      <c r="G21" s="588">
        <f>F21*D22/100</f>
        <v>0</v>
      </c>
      <c r="H21" s="588" t="s">
        <v>21</v>
      </c>
      <c r="I21" s="589">
        <f t="shared" si="1"/>
        <v>0</v>
      </c>
      <c r="J21" s="594"/>
      <c r="K21" s="591" t="s">
        <v>22</v>
      </c>
      <c r="L21" s="570"/>
      <c r="M21" s="570"/>
      <c r="N21" s="570"/>
      <c r="O21" s="570"/>
      <c r="P21" s="570"/>
      <c r="Q21" s="570"/>
      <c r="R21" s="570"/>
      <c r="S21" s="570"/>
      <c r="T21" s="570"/>
      <c r="U21" s="570"/>
    </row>
    <row r="22" spans="1:21" ht="19.5" thickBot="1" x14ac:dyDescent="0.35">
      <c r="A22" s="751"/>
      <c r="B22" s="763" t="s">
        <v>32</v>
      </c>
      <c r="C22" s="764"/>
      <c r="D22" s="596">
        <v>400</v>
      </c>
      <c r="E22" s="597"/>
      <c r="F22" s="598">
        <f>SUM(F14:F21)</f>
        <v>0</v>
      </c>
      <c r="G22" s="603">
        <f>SUM(G14:G21)</f>
        <v>0</v>
      </c>
      <c r="H22" s="588" t="s">
        <v>21</v>
      </c>
      <c r="I22" s="604">
        <f t="shared" si="1"/>
        <v>0</v>
      </c>
      <c r="J22" s="605"/>
      <c r="K22" s="606"/>
      <c r="L22" s="570"/>
      <c r="M22" s="570"/>
      <c r="N22" s="570"/>
      <c r="O22" s="570"/>
      <c r="P22" s="570"/>
      <c r="Q22" s="570"/>
      <c r="R22" s="570"/>
      <c r="S22" s="570"/>
      <c r="T22" s="570"/>
      <c r="U22" s="570"/>
    </row>
    <row r="23" spans="1:21" ht="19.5" thickBot="1" x14ac:dyDescent="0.35">
      <c r="A23" s="765" t="s">
        <v>34</v>
      </c>
      <c r="B23" s="573" t="s">
        <v>16</v>
      </c>
      <c r="C23" s="574" t="s">
        <v>17</v>
      </c>
      <c r="D23" s="575"/>
      <c r="E23" s="576" t="s">
        <v>12</v>
      </c>
      <c r="F23" s="577">
        <f>100-SUM(F24:F30)</f>
        <v>77.526001153813155</v>
      </c>
      <c r="G23" s="578">
        <f>D31*F23/100</f>
        <v>4673901</v>
      </c>
      <c r="H23" s="578">
        <f>G23</f>
        <v>4673901</v>
      </c>
      <c r="I23" s="579">
        <v>0</v>
      </c>
      <c r="J23" s="580"/>
      <c r="K23" s="581" t="s">
        <v>22</v>
      </c>
      <c r="L23" s="570"/>
      <c r="M23" s="570"/>
      <c r="N23" s="570"/>
      <c r="O23" s="607">
        <v>4673901</v>
      </c>
      <c r="P23" s="570"/>
      <c r="Q23" s="570"/>
      <c r="R23" s="570"/>
      <c r="S23" s="570"/>
      <c r="T23" s="570"/>
      <c r="U23" s="570"/>
    </row>
    <row r="24" spans="1:21" ht="18.75" x14ac:dyDescent="0.3">
      <c r="A24" s="766"/>
      <c r="B24" s="583" t="s">
        <v>19</v>
      </c>
      <c r="C24" s="584" t="s">
        <v>20</v>
      </c>
      <c r="D24" s="585"/>
      <c r="E24" s="586" t="s">
        <v>12</v>
      </c>
      <c r="F24" s="587">
        <f>(P56+Q56)/2*100</f>
        <v>6.4594117289987265</v>
      </c>
      <c r="G24" s="588">
        <f>F24*D31/100</f>
        <v>389426.13433240307</v>
      </c>
      <c r="H24" s="588">
        <v>0</v>
      </c>
      <c r="I24" s="589">
        <f>G24</f>
        <v>389426.13433240307</v>
      </c>
      <c r="J24" s="590"/>
      <c r="K24" s="591" t="s">
        <v>35</v>
      </c>
      <c r="L24" s="570"/>
      <c r="M24" s="570"/>
      <c r="N24" s="570"/>
      <c r="O24" s="570"/>
      <c r="P24" s="570"/>
      <c r="Q24" s="570"/>
      <c r="R24" s="570"/>
      <c r="S24" s="570"/>
      <c r="T24" s="570"/>
      <c r="U24" s="570"/>
    </row>
    <row r="25" spans="1:21" ht="18.75" x14ac:dyDescent="0.3">
      <c r="A25" s="766"/>
      <c r="B25" s="752"/>
      <c r="C25" s="584" t="s">
        <v>23</v>
      </c>
      <c r="D25" s="585"/>
      <c r="E25" s="586" t="s">
        <v>12</v>
      </c>
      <c r="F25" s="587">
        <f>P55*100</f>
        <v>13.581497092857225</v>
      </c>
      <c r="G25" s="588">
        <f>F25*D31/100</f>
        <v>818803.6516659708</v>
      </c>
      <c r="H25" s="588">
        <v>0</v>
      </c>
      <c r="I25" s="589">
        <f>G25</f>
        <v>818803.6516659708</v>
      </c>
      <c r="J25" s="590"/>
      <c r="K25" s="591" t="s">
        <v>36</v>
      </c>
      <c r="L25" s="570"/>
      <c r="M25" s="570"/>
      <c r="N25" s="570"/>
      <c r="O25" s="570"/>
      <c r="P25" s="570"/>
      <c r="Q25" s="570"/>
      <c r="R25" s="570"/>
      <c r="S25" s="570"/>
      <c r="T25" s="570"/>
      <c r="U25" s="570"/>
    </row>
    <row r="26" spans="1:21" ht="18.75" x14ac:dyDescent="0.3">
      <c r="A26" s="767"/>
      <c r="B26" s="753"/>
      <c r="C26" s="584" t="s">
        <v>24</v>
      </c>
      <c r="D26" s="585"/>
      <c r="E26" s="586" t="s">
        <v>12</v>
      </c>
      <c r="F26" s="587">
        <f>P57*100</f>
        <v>2.4330900243308999</v>
      </c>
      <c r="G26" s="588">
        <f>F26*D31/100</f>
        <v>146686.55326679233</v>
      </c>
      <c r="H26" s="588">
        <v>0</v>
      </c>
      <c r="I26" s="589">
        <f t="shared" ref="I26:I30" si="2">G26</f>
        <v>146686.55326679233</v>
      </c>
      <c r="J26" s="590"/>
      <c r="K26" s="591" t="s">
        <v>37</v>
      </c>
      <c r="L26" s="570"/>
      <c r="M26" s="570"/>
      <c r="N26" s="570"/>
      <c r="O26" s="570"/>
      <c r="P26" s="570"/>
      <c r="Q26" s="570"/>
      <c r="R26" s="570"/>
      <c r="S26" s="570"/>
      <c r="T26" s="570"/>
      <c r="U26" s="570"/>
    </row>
    <row r="27" spans="1:21" ht="18.75" x14ac:dyDescent="0.3">
      <c r="A27" s="767"/>
      <c r="B27" s="592" t="s">
        <v>26</v>
      </c>
      <c r="C27" s="584" t="s">
        <v>27</v>
      </c>
      <c r="D27" s="585"/>
      <c r="E27" s="586" t="s">
        <v>13</v>
      </c>
      <c r="F27" s="587">
        <v>0</v>
      </c>
      <c r="G27" s="588">
        <f>F27*D31/100</f>
        <v>0</v>
      </c>
      <c r="H27" s="588" t="s">
        <v>21</v>
      </c>
      <c r="I27" s="589">
        <f t="shared" si="2"/>
        <v>0</v>
      </c>
      <c r="J27" s="590"/>
      <c r="K27" s="591" t="s">
        <v>22</v>
      </c>
      <c r="L27" s="570"/>
      <c r="M27" s="570"/>
      <c r="N27" s="570"/>
      <c r="O27" s="570"/>
      <c r="P27" s="570"/>
      <c r="Q27" s="570"/>
      <c r="R27" s="570"/>
      <c r="S27" s="570"/>
      <c r="T27" s="570"/>
      <c r="U27" s="570"/>
    </row>
    <row r="28" spans="1:21" ht="18.75" x14ac:dyDescent="0.3">
      <c r="A28" s="767"/>
      <c r="B28" s="754" t="s">
        <v>28</v>
      </c>
      <c r="C28" s="593" t="s">
        <v>29</v>
      </c>
      <c r="D28" s="585"/>
      <c r="E28" s="586" t="s">
        <v>13</v>
      </c>
      <c r="F28" s="587">
        <v>0</v>
      </c>
      <c r="G28" s="588">
        <f>F28*D31/100</f>
        <v>0</v>
      </c>
      <c r="H28" s="588" t="s">
        <v>21</v>
      </c>
      <c r="I28" s="589">
        <f t="shared" si="2"/>
        <v>0</v>
      </c>
      <c r="J28" s="594"/>
      <c r="K28" s="591" t="s">
        <v>22</v>
      </c>
      <c r="L28" s="570"/>
      <c r="M28" s="570"/>
      <c r="N28" s="570"/>
      <c r="O28" s="570"/>
      <c r="P28" s="570"/>
      <c r="Q28" s="570"/>
      <c r="R28" s="570"/>
      <c r="S28" s="570"/>
      <c r="T28" s="570"/>
      <c r="U28" s="570"/>
    </row>
    <row r="29" spans="1:21" ht="18.75" x14ac:dyDescent="0.3">
      <c r="A29" s="767"/>
      <c r="B29" s="755"/>
      <c r="C29" s="593" t="s">
        <v>30</v>
      </c>
      <c r="D29" s="585"/>
      <c r="E29" s="586" t="s">
        <v>13</v>
      </c>
      <c r="F29" s="587">
        <v>0</v>
      </c>
      <c r="G29" s="588">
        <f>F29*D31/100</f>
        <v>0</v>
      </c>
      <c r="H29" s="588" t="s">
        <v>21</v>
      </c>
      <c r="I29" s="589">
        <f t="shared" si="2"/>
        <v>0</v>
      </c>
      <c r="J29" s="594"/>
      <c r="K29" s="591" t="s">
        <v>22</v>
      </c>
      <c r="L29" s="570"/>
      <c r="M29" s="570"/>
      <c r="N29" s="570"/>
      <c r="O29" s="570"/>
      <c r="P29" s="570"/>
      <c r="Q29" s="570"/>
      <c r="R29" s="570"/>
      <c r="S29" s="570"/>
      <c r="T29" s="570"/>
      <c r="U29" s="570"/>
    </row>
    <row r="30" spans="1:21" ht="18.75" x14ac:dyDescent="0.3">
      <c r="A30" s="767"/>
      <c r="B30" s="755"/>
      <c r="C30" s="593" t="s">
        <v>31</v>
      </c>
      <c r="D30" s="585"/>
      <c r="E30" s="586" t="s">
        <v>13</v>
      </c>
      <c r="F30" s="587">
        <v>0</v>
      </c>
      <c r="G30" s="588">
        <f>F30*D31/100</f>
        <v>0</v>
      </c>
      <c r="H30" s="588" t="s">
        <v>21</v>
      </c>
      <c r="I30" s="589">
        <f t="shared" si="2"/>
        <v>0</v>
      </c>
      <c r="J30" s="594"/>
      <c r="K30" s="591" t="s">
        <v>22</v>
      </c>
      <c r="L30" s="570"/>
      <c r="M30" s="570"/>
      <c r="N30" s="570"/>
      <c r="O30" s="570"/>
      <c r="P30" s="570"/>
      <c r="Q30" s="570"/>
      <c r="R30" s="570"/>
      <c r="S30" s="570"/>
      <c r="T30" s="570"/>
      <c r="U30" s="570"/>
    </row>
    <row r="31" spans="1:21" ht="19.5" thickBot="1" x14ac:dyDescent="0.35">
      <c r="A31" s="768"/>
      <c r="B31" s="763" t="s">
        <v>32</v>
      </c>
      <c r="C31" s="764"/>
      <c r="D31" s="596">
        <f>100*O23/F23</f>
        <v>6028817.3392651659</v>
      </c>
      <c r="E31" s="597"/>
      <c r="F31" s="598">
        <f>SUM(F23:F30)</f>
        <v>100</v>
      </c>
      <c r="G31" s="599">
        <f>SUM(G23:G30)</f>
        <v>6028817.3392651668</v>
      </c>
      <c r="H31" s="588">
        <f>SUM(H23:H30)</f>
        <v>4673901</v>
      </c>
      <c r="I31" s="600">
        <f>SUM(I23:I30)</f>
        <v>1354916.3392651661</v>
      </c>
      <c r="J31" s="605"/>
      <c r="K31" s="606"/>
      <c r="L31" s="570"/>
      <c r="M31" s="570"/>
      <c r="N31" s="570"/>
      <c r="O31" s="570"/>
      <c r="P31" s="570"/>
      <c r="Q31" s="570"/>
      <c r="R31" s="570"/>
      <c r="S31" s="570"/>
      <c r="T31" s="570"/>
      <c r="U31" s="570"/>
    </row>
    <row r="32" spans="1:21" ht="19.5" thickBot="1" x14ac:dyDescent="0.35">
      <c r="A32" s="749" t="s">
        <v>38</v>
      </c>
      <c r="B32" s="573" t="s">
        <v>16</v>
      </c>
      <c r="C32" s="574" t="s">
        <v>17</v>
      </c>
      <c r="D32" s="575"/>
      <c r="E32" s="576" t="s">
        <v>12</v>
      </c>
      <c r="F32" s="577">
        <f>100-SUM(F33:F39)</f>
        <v>80.651088570796603</v>
      </c>
      <c r="G32" s="578">
        <f>F32*D40/100</f>
        <v>33327135</v>
      </c>
      <c r="H32" s="608">
        <f>G32</f>
        <v>33327135</v>
      </c>
      <c r="I32" s="579">
        <v>0</v>
      </c>
      <c r="J32" s="580"/>
      <c r="K32" s="581" t="s">
        <v>22</v>
      </c>
      <c r="L32" s="570"/>
      <c r="M32" s="570"/>
      <c r="N32" s="570"/>
      <c r="O32" s="607">
        <v>33327135</v>
      </c>
      <c r="P32" s="570"/>
      <c r="Q32" s="570"/>
      <c r="R32" s="570"/>
      <c r="S32" s="570"/>
      <c r="T32" s="570"/>
      <c r="U32" s="570"/>
    </row>
    <row r="33" spans="1:21" ht="18.75" x14ac:dyDescent="0.3">
      <c r="A33" s="750"/>
      <c r="B33" s="583" t="s">
        <v>19</v>
      </c>
      <c r="C33" s="584" t="s">
        <v>20</v>
      </c>
      <c r="D33" s="585"/>
      <c r="E33" s="586" t="s">
        <v>12</v>
      </c>
      <c r="F33" s="587">
        <f>R56*100</f>
        <v>4.4982146806964325</v>
      </c>
      <c r="G33" s="588">
        <f>F33*D40/100</f>
        <v>1858779.7211311862</v>
      </c>
      <c r="H33" s="588"/>
      <c r="I33" s="589">
        <f t="shared" ref="I33:I39" si="3">G33</f>
        <v>1858779.7211311862</v>
      </c>
      <c r="J33" s="590"/>
      <c r="K33" s="591" t="s">
        <v>22</v>
      </c>
      <c r="L33" s="570"/>
      <c r="M33" s="570"/>
      <c r="N33" s="570"/>
      <c r="O33" s="570"/>
      <c r="P33" s="570"/>
      <c r="Q33" s="570"/>
      <c r="R33" s="570"/>
      <c r="S33" s="570"/>
      <c r="T33" s="570"/>
      <c r="U33" s="570"/>
    </row>
    <row r="34" spans="1:21" ht="18.75" x14ac:dyDescent="0.3">
      <c r="A34" s="750"/>
      <c r="B34" s="752"/>
      <c r="C34" s="584" t="s">
        <v>23</v>
      </c>
      <c r="D34" s="585"/>
      <c r="E34" s="586" t="s">
        <v>12</v>
      </c>
      <c r="F34" s="587">
        <f>R55*100</f>
        <v>12.417606724176068</v>
      </c>
      <c r="G34" s="588">
        <f>F34*D40/100</f>
        <v>5131279.2301649647</v>
      </c>
      <c r="H34" s="588"/>
      <c r="I34" s="589">
        <f t="shared" si="3"/>
        <v>5131279.2301649647</v>
      </c>
      <c r="J34" s="590"/>
      <c r="K34" s="591" t="s">
        <v>22</v>
      </c>
      <c r="L34" s="570"/>
      <c r="M34" s="570"/>
      <c r="N34" s="570"/>
      <c r="O34" s="570"/>
      <c r="P34" s="570"/>
      <c r="Q34" s="570"/>
      <c r="R34" s="570"/>
      <c r="S34" s="570"/>
      <c r="T34" s="570"/>
      <c r="U34" s="570"/>
    </row>
    <row r="35" spans="1:21" ht="18.75" x14ac:dyDescent="0.3">
      <c r="A35" s="749"/>
      <c r="B35" s="753"/>
      <c r="C35" s="584" t="s">
        <v>24</v>
      </c>
      <c r="D35" s="585"/>
      <c r="E35" s="586" t="s">
        <v>12</v>
      </c>
      <c r="F35" s="587">
        <f>R57*100</f>
        <v>2.4330900243308999</v>
      </c>
      <c r="G35" s="588">
        <f>F35*D40/100</f>
        <v>1005416.3080123727</v>
      </c>
      <c r="H35" s="588"/>
      <c r="I35" s="589">
        <f t="shared" si="3"/>
        <v>1005416.3080123727</v>
      </c>
      <c r="J35" s="590"/>
      <c r="K35" s="591" t="s">
        <v>37</v>
      </c>
      <c r="L35" s="570"/>
      <c r="M35" s="570"/>
      <c r="N35" s="570"/>
      <c r="O35" s="570"/>
      <c r="P35" s="570"/>
      <c r="Q35" s="570"/>
      <c r="R35" s="570"/>
      <c r="S35" s="570"/>
      <c r="T35" s="570"/>
      <c r="U35" s="570"/>
    </row>
    <row r="36" spans="1:21" ht="18.75" x14ac:dyDescent="0.3">
      <c r="A36" s="749"/>
      <c r="B36" s="592" t="s">
        <v>26</v>
      </c>
      <c r="C36" s="584" t="s">
        <v>27</v>
      </c>
      <c r="D36" s="585"/>
      <c r="E36" s="586" t="s">
        <v>13</v>
      </c>
      <c r="F36" s="587">
        <v>0</v>
      </c>
      <c r="G36" s="588">
        <f>F36*D40/100</f>
        <v>0</v>
      </c>
      <c r="H36" s="588"/>
      <c r="I36" s="589">
        <f t="shared" si="3"/>
        <v>0</v>
      </c>
      <c r="J36" s="590"/>
      <c r="K36" s="591" t="s">
        <v>22</v>
      </c>
      <c r="L36" s="570"/>
      <c r="M36" s="570"/>
      <c r="N36" s="570"/>
      <c r="O36" s="570"/>
      <c r="P36" s="570"/>
      <c r="Q36" s="570"/>
      <c r="R36" s="570"/>
      <c r="S36" s="570"/>
      <c r="T36" s="570"/>
      <c r="U36" s="570"/>
    </row>
    <row r="37" spans="1:21" ht="18.75" x14ac:dyDescent="0.3">
      <c r="A37" s="749"/>
      <c r="B37" s="754" t="s">
        <v>28</v>
      </c>
      <c r="C37" s="593" t="s">
        <v>29</v>
      </c>
      <c r="D37" s="585"/>
      <c r="E37" s="586" t="s">
        <v>13</v>
      </c>
      <c r="F37" s="587">
        <v>0</v>
      </c>
      <c r="G37" s="588">
        <f>F37*D40/100</f>
        <v>0</v>
      </c>
      <c r="H37" s="588"/>
      <c r="I37" s="589">
        <f t="shared" si="3"/>
        <v>0</v>
      </c>
      <c r="J37" s="594"/>
      <c r="K37" s="591" t="s">
        <v>22</v>
      </c>
      <c r="L37" s="570"/>
      <c r="M37" s="570"/>
      <c r="N37" s="570"/>
      <c r="O37" s="570"/>
      <c r="P37" s="570"/>
      <c r="Q37" s="570"/>
      <c r="R37" s="570"/>
      <c r="S37" s="570"/>
      <c r="T37" s="570"/>
      <c r="U37" s="570"/>
    </row>
    <row r="38" spans="1:21" ht="18.75" x14ac:dyDescent="0.3">
      <c r="A38" s="749"/>
      <c r="B38" s="755"/>
      <c r="C38" s="593" t="s">
        <v>30</v>
      </c>
      <c r="D38" s="585"/>
      <c r="E38" s="586" t="s">
        <v>39</v>
      </c>
      <c r="F38" s="587">
        <v>0</v>
      </c>
      <c r="G38" s="588">
        <f>F38*D40/100</f>
        <v>0</v>
      </c>
      <c r="H38" s="588"/>
      <c r="I38" s="589">
        <f t="shared" si="3"/>
        <v>0</v>
      </c>
      <c r="J38" s="594"/>
      <c r="K38" s="591" t="s">
        <v>22</v>
      </c>
      <c r="L38" s="570"/>
      <c r="M38" s="570"/>
      <c r="N38" s="570"/>
      <c r="O38" s="570"/>
      <c r="P38" s="570"/>
      <c r="Q38" s="570"/>
      <c r="R38" s="570"/>
      <c r="S38" s="570"/>
      <c r="T38" s="570"/>
      <c r="U38" s="570"/>
    </row>
    <row r="39" spans="1:21" ht="18.75" x14ac:dyDescent="0.3">
      <c r="A39" s="749"/>
      <c r="B39" s="755"/>
      <c r="C39" s="593" t="s">
        <v>31</v>
      </c>
      <c r="D39" s="585"/>
      <c r="E39" s="586" t="s">
        <v>39</v>
      </c>
      <c r="F39" s="587">
        <v>0</v>
      </c>
      <c r="G39" s="588">
        <f>F39*D40/100</f>
        <v>0</v>
      </c>
      <c r="H39" s="588"/>
      <c r="I39" s="589">
        <f t="shared" si="3"/>
        <v>0</v>
      </c>
      <c r="J39" s="594"/>
      <c r="K39" s="591" t="s">
        <v>22</v>
      </c>
      <c r="L39" s="570"/>
      <c r="M39" s="570"/>
      <c r="N39" s="570"/>
      <c r="O39" s="570"/>
      <c r="P39" s="570"/>
      <c r="Q39" s="570"/>
      <c r="R39" s="570"/>
      <c r="S39" s="570"/>
      <c r="T39" s="570"/>
      <c r="U39" s="570"/>
    </row>
    <row r="40" spans="1:21" ht="19.5" thickBot="1" x14ac:dyDescent="0.35">
      <c r="A40" s="751"/>
      <c r="B40" s="756" t="s">
        <v>32</v>
      </c>
      <c r="C40" s="757"/>
      <c r="D40" s="609">
        <f>100*O32/F32</f>
        <v>41322610.259308524</v>
      </c>
      <c r="E40" s="610"/>
      <c r="F40" s="611">
        <f>SUM(F32:F39)</f>
        <v>100</v>
      </c>
      <c r="G40" s="612">
        <f>SUM(G32:G39)</f>
        <v>41322610.259308524</v>
      </c>
      <c r="H40" s="613">
        <f>SUM(H32:H39)</f>
        <v>33327135</v>
      </c>
      <c r="I40" s="600">
        <f>SUM(I32:I39)</f>
        <v>7995475.2593085235</v>
      </c>
      <c r="J40" s="614"/>
      <c r="K40" s="606"/>
      <c r="L40" s="570"/>
      <c r="M40" s="570"/>
      <c r="N40" s="570"/>
      <c r="O40" s="570"/>
      <c r="P40" s="570"/>
      <c r="Q40" s="570"/>
      <c r="R40" s="570"/>
      <c r="S40" s="570"/>
      <c r="T40" s="570"/>
      <c r="U40" s="570"/>
    </row>
    <row r="41" spans="1:21" ht="18.75" x14ac:dyDescent="0.3">
      <c r="A41" s="758" t="s">
        <v>40</v>
      </c>
      <c r="B41" s="760" t="s">
        <v>41</v>
      </c>
      <c r="C41" s="743"/>
      <c r="D41" s="615"/>
      <c r="E41" s="576" t="s">
        <v>13</v>
      </c>
      <c r="F41" s="580"/>
      <c r="G41" s="616"/>
      <c r="H41" s="616"/>
      <c r="I41" s="617"/>
      <c r="J41" s="618"/>
      <c r="K41" s="581" t="s">
        <v>22</v>
      </c>
      <c r="L41" s="570"/>
      <c r="M41" s="570"/>
      <c r="N41" s="570"/>
      <c r="O41" s="570"/>
      <c r="P41" s="570"/>
      <c r="Q41" s="570"/>
      <c r="R41" s="570"/>
      <c r="S41" s="570"/>
      <c r="T41" s="570"/>
      <c r="U41" s="570"/>
    </row>
    <row r="42" spans="1:21" ht="19.5" thickBot="1" x14ac:dyDescent="0.35">
      <c r="A42" s="750"/>
      <c r="B42" s="761" t="s">
        <v>42</v>
      </c>
      <c r="C42" s="729"/>
      <c r="D42" s="619"/>
      <c r="E42" s="586" t="s">
        <v>13</v>
      </c>
      <c r="F42" s="590"/>
      <c r="G42" s="620"/>
      <c r="H42" s="620"/>
      <c r="I42" s="621"/>
      <c r="J42" s="594"/>
      <c r="K42" s="591" t="s">
        <v>43</v>
      </c>
      <c r="L42" s="570"/>
      <c r="M42" s="570"/>
      <c r="N42" s="570"/>
      <c r="O42" s="570"/>
      <c r="P42" s="570"/>
      <c r="Q42" s="570"/>
      <c r="R42" s="570"/>
      <c r="S42" s="570"/>
      <c r="T42" s="570"/>
      <c r="U42" s="570"/>
    </row>
    <row r="43" spans="1:21" ht="57" thickBot="1" x14ac:dyDescent="0.35">
      <c r="A43" s="750"/>
      <c r="B43" s="762" t="s">
        <v>44</v>
      </c>
      <c r="C43" s="729"/>
      <c r="D43" s="619">
        <v>8300000</v>
      </c>
      <c r="E43" s="586" t="s">
        <v>12</v>
      </c>
      <c r="F43" s="590"/>
      <c r="G43" s="620"/>
      <c r="H43" s="620">
        <f>D43-I43</f>
        <v>3028000</v>
      </c>
      <c r="I43" s="622">
        <v>5272000</v>
      </c>
      <c r="J43" s="594"/>
      <c r="K43" s="623" t="s">
        <v>45</v>
      </c>
      <c r="L43" s="570"/>
      <c r="M43" s="570"/>
      <c r="N43" s="570"/>
      <c r="O43" s="607">
        <v>5272000</v>
      </c>
      <c r="P43" s="570"/>
      <c r="Q43" s="570"/>
      <c r="R43" s="570"/>
      <c r="S43" s="570"/>
      <c r="T43" s="570"/>
      <c r="U43" s="570"/>
    </row>
    <row r="44" spans="1:21" ht="56.25" x14ac:dyDescent="0.3">
      <c r="A44" s="750"/>
      <c r="B44" s="624" t="s">
        <v>46</v>
      </c>
      <c r="C44" s="625"/>
      <c r="D44" s="626"/>
      <c r="E44" s="627" t="s">
        <v>13</v>
      </c>
      <c r="F44" s="628"/>
      <c r="G44" s="629"/>
      <c r="H44" s="629"/>
      <c r="I44" s="630"/>
      <c r="J44" s="631"/>
      <c r="K44" s="632"/>
      <c r="L44" s="570"/>
      <c r="M44" s="570"/>
      <c r="N44" s="570"/>
      <c r="O44" s="633"/>
      <c r="P44" s="570"/>
      <c r="Q44" s="570"/>
      <c r="R44" s="570"/>
      <c r="S44" s="570"/>
      <c r="T44" s="570"/>
      <c r="U44" s="570"/>
    </row>
    <row r="45" spans="1:21" ht="19.5" thickBot="1" x14ac:dyDescent="0.35">
      <c r="A45" s="759"/>
      <c r="B45" s="763" t="s">
        <v>47</v>
      </c>
      <c r="C45" s="764"/>
      <c r="D45" s="605"/>
      <c r="E45" s="634" t="s">
        <v>48</v>
      </c>
      <c r="F45" s="635"/>
      <c r="G45" s="636"/>
      <c r="H45" s="636"/>
      <c r="I45" s="637"/>
      <c r="J45" s="638"/>
      <c r="K45" s="639" t="s">
        <v>49</v>
      </c>
      <c r="L45" s="570"/>
      <c r="M45" s="570"/>
      <c r="N45" s="570"/>
      <c r="O45" s="570"/>
      <c r="P45" s="570"/>
      <c r="Q45" s="570"/>
      <c r="R45" s="570"/>
      <c r="S45" s="570"/>
      <c r="T45" s="570"/>
      <c r="U45" s="570"/>
    </row>
    <row r="46" spans="1:21" ht="18.75" x14ac:dyDescent="0.3">
      <c r="A46" s="570"/>
      <c r="B46" s="571"/>
      <c r="C46" s="571"/>
      <c r="D46" s="718">
        <f>SUM(D5:D45)</f>
        <v>56476300.018573686</v>
      </c>
      <c r="E46" s="570"/>
      <c r="F46" s="570"/>
      <c r="G46" s="570"/>
      <c r="H46" s="570"/>
      <c r="I46" s="570"/>
      <c r="J46" s="570"/>
      <c r="K46" s="570"/>
      <c r="L46" s="570"/>
      <c r="M46" s="570"/>
      <c r="N46" s="570"/>
      <c r="O46" s="570"/>
      <c r="P46" s="570"/>
      <c r="Q46" s="570"/>
      <c r="R46" s="570"/>
      <c r="S46" s="570"/>
      <c r="T46" s="570"/>
      <c r="U46" s="570"/>
    </row>
    <row r="47" spans="1:21" ht="19.5" thickBot="1" x14ac:dyDescent="0.35">
      <c r="A47" s="739" t="s">
        <v>50</v>
      </c>
      <c r="B47" s="740"/>
      <c r="C47" s="740"/>
      <c r="D47" s="740"/>
      <c r="E47" s="570"/>
      <c r="F47" s="640"/>
      <c r="G47" s="640"/>
      <c r="H47" s="640"/>
      <c r="I47" s="640"/>
      <c r="J47" s="570"/>
      <c r="K47" s="570"/>
      <c r="L47" s="570"/>
      <c r="M47" s="570"/>
      <c r="N47" s="570"/>
      <c r="O47" s="570"/>
      <c r="P47" s="570"/>
      <c r="Q47" s="570"/>
      <c r="R47" s="570"/>
      <c r="S47" s="570"/>
      <c r="T47" s="570"/>
      <c r="U47" s="570"/>
    </row>
    <row r="48" spans="1:21" ht="39" thickBot="1" x14ac:dyDescent="0.35">
      <c r="A48" s="741" t="s">
        <v>51</v>
      </c>
      <c r="B48" s="742"/>
      <c r="C48" s="742"/>
      <c r="D48" s="742"/>
      <c r="E48" s="743"/>
      <c r="F48" s="744">
        <v>21</v>
      </c>
      <c r="G48" s="745"/>
      <c r="H48" s="746"/>
      <c r="I48" s="641" t="s">
        <v>6</v>
      </c>
      <c r="J48" s="747" t="s">
        <v>52</v>
      </c>
      <c r="K48" s="748"/>
      <c r="L48" s="570"/>
      <c r="M48" s="570"/>
      <c r="N48" s="570"/>
      <c r="O48" s="642" t="s">
        <v>53</v>
      </c>
      <c r="P48" s="643" t="s">
        <v>54</v>
      </c>
      <c r="Q48" s="644" t="s">
        <v>55</v>
      </c>
      <c r="R48" s="645" t="s">
        <v>56</v>
      </c>
      <c r="S48" s="645" t="s">
        <v>57</v>
      </c>
      <c r="T48" s="646" t="s">
        <v>58</v>
      </c>
      <c r="U48" s="647"/>
    </row>
    <row r="49" spans="1:21" ht="18.75" x14ac:dyDescent="0.3">
      <c r="A49" s="727" t="s">
        <v>59</v>
      </c>
      <c r="B49" s="728"/>
      <c r="C49" s="728"/>
      <c r="D49" s="728"/>
      <c r="E49" s="729"/>
      <c r="F49" s="738" t="s">
        <v>60</v>
      </c>
      <c r="G49" s="731"/>
      <c r="H49" s="732"/>
      <c r="I49" s="648" t="s">
        <v>6</v>
      </c>
      <c r="J49" s="736" t="s">
        <v>61</v>
      </c>
      <c r="K49" s="737"/>
      <c r="L49" s="570"/>
      <c r="M49" s="570"/>
      <c r="N49" s="570"/>
      <c r="O49" s="649" t="s">
        <v>62</v>
      </c>
      <c r="P49" s="650">
        <v>4260000</v>
      </c>
      <c r="Q49" s="651">
        <v>593000</v>
      </c>
      <c r="R49" s="651">
        <v>212000</v>
      </c>
      <c r="S49" s="651">
        <v>15000</v>
      </c>
      <c r="T49" s="652">
        <v>3440000</v>
      </c>
      <c r="U49" s="647"/>
    </row>
    <row r="50" spans="1:21" ht="18.75" x14ac:dyDescent="0.3">
      <c r="A50" s="727" t="s">
        <v>63</v>
      </c>
      <c r="B50" s="728"/>
      <c r="C50" s="728"/>
      <c r="D50" s="728"/>
      <c r="E50" s="729"/>
      <c r="F50" s="738" t="s">
        <v>64</v>
      </c>
      <c r="G50" s="731"/>
      <c r="H50" s="732"/>
      <c r="I50" s="648" t="s">
        <v>6</v>
      </c>
      <c r="J50" s="736" t="s">
        <v>61</v>
      </c>
      <c r="K50" s="737"/>
      <c r="L50" s="570"/>
      <c r="M50" s="570"/>
      <c r="N50" s="570"/>
      <c r="O50" s="653" t="s">
        <v>65</v>
      </c>
      <c r="P50" s="654">
        <v>12100000</v>
      </c>
      <c r="Q50" s="655">
        <v>8620000</v>
      </c>
      <c r="R50" s="656">
        <v>1000000</v>
      </c>
      <c r="S50" s="657"/>
      <c r="T50" s="658">
        <v>2480000</v>
      </c>
      <c r="U50" s="647"/>
    </row>
    <row r="51" spans="1:21" ht="18.75" x14ac:dyDescent="0.3">
      <c r="A51" s="727" t="s">
        <v>66</v>
      </c>
      <c r="B51" s="728"/>
      <c r="C51" s="728"/>
      <c r="D51" s="728"/>
      <c r="E51" s="729"/>
      <c r="F51" s="738" t="s">
        <v>67</v>
      </c>
      <c r="G51" s="731"/>
      <c r="H51" s="732"/>
      <c r="I51" s="648" t="s">
        <v>6</v>
      </c>
      <c r="J51" s="736" t="s">
        <v>61</v>
      </c>
      <c r="K51" s="737"/>
      <c r="L51" s="570"/>
      <c r="M51" s="570"/>
      <c r="N51" s="570"/>
      <c r="O51" s="659" t="s">
        <v>68</v>
      </c>
      <c r="P51" s="660">
        <v>7700000</v>
      </c>
      <c r="Q51" s="661">
        <v>980000</v>
      </c>
      <c r="R51" s="661">
        <v>355000</v>
      </c>
      <c r="S51" s="657"/>
      <c r="T51" s="662">
        <v>6365000</v>
      </c>
      <c r="U51" s="647"/>
    </row>
    <row r="52" spans="1:21" ht="19.5" thickBot="1" x14ac:dyDescent="0.35">
      <c r="A52" s="727" t="s">
        <v>69</v>
      </c>
      <c r="B52" s="728"/>
      <c r="C52" s="728"/>
      <c r="D52" s="728"/>
      <c r="E52" s="729"/>
      <c r="F52" s="735"/>
      <c r="G52" s="731"/>
      <c r="H52" s="732"/>
      <c r="I52" s="648"/>
      <c r="J52" s="736" t="s">
        <v>70</v>
      </c>
      <c r="K52" s="737"/>
      <c r="L52" s="570"/>
      <c r="M52" s="570"/>
      <c r="N52" s="570"/>
      <c r="O52" s="663" t="s">
        <v>71</v>
      </c>
      <c r="P52" s="664">
        <v>700000</v>
      </c>
      <c r="Q52" s="665"/>
      <c r="R52" s="665"/>
      <c r="S52" s="665">
        <f>P52/2</f>
        <v>350000</v>
      </c>
      <c r="T52" s="666">
        <f>P52/2</f>
        <v>350000</v>
      </c>
      <c r="U52" s="647" t="s">
        <v>72</v>
      </c>
    </row>
    <row r="53" spans="1:21" ht="19.5" thickBot="1" x14ac:dyDescent="0.35">
      <c r="A53" s="727" t="s">
        <v>73</v>
      </c>
      <c r="B53" s="728"/>
      <c r="C53" s="728"/>
      <c r="D53" s="728"/>
      <c r="E53" s="729"/>
      <c r="F53" s="730"/>
      <c r="G53" s="731"/>
      <c r="H53" s="732"/>
      <c r="I53" s="667" t="s">
        <v>6</v>
      </c>
      <c r="J53" s="733" t="s">
        <v>74</v>
      </c>
      <c r="K53" s="734"/>
      <c r="L53" s="570"/>
      <c r="M53" s="570"/>
      <c r="N53" s="570"/>
      <c r="O53" s="647"/>
      <c r="P53" s="647"/>
      <c r="Q53" s="647"/>
      <c r="R53" s="647"/>
      <c r="S53" s="647"/>
      <c r="T53" s="647"/>
      <c r="U53" s="647"/>
    </row>
    <row r="54" spans="1:21" ht="19.5" thickBot="1" x14ac:dyDescent="0.35">
      <c r="A54" s="727" t="s">
        <v>75</v>
      </c>
      <c r="B54" s="728"/>
      <c r="C54" s="728"/>
      <c r="D54" s="728"/>
      <c r="E54" s="729"/>
      <c r="F54" s="730"/>
      <c r="G54" s="731"/>
      <c r="H54" s="732"/>
      <c r="I54" s="667" t="s">
        <v>6</v>
      </c>
      <c r="J54" s="733" t="s">
        <v>74</v>
      </c>
      <c r="K54" s="734"/>
      <c r="L54" s="570"/>
      <c r="M54" s="570"/>
      <c r="N54" s="570"/>
      <c r="O54" s="668"/>
      <c r="P54" s="669" t="s">
        <v>76</v>
      </c>
      <c r="Q54" s="670" t="s">
        <v>77</v>
      </c>
      <c r="R54" s="670" t="s">
        <v>78</v>
      </c>
      <c r="S54" s="671" t="s">
        <v>79</v>
      </c>
      <c r="T54" s="647"/>
      <c r="U54" s="647"/>
    </row>
    <row r="55" spans="1:21" ht="18.75" x14ac:dyDescent="0.3">
      <c r="A55" s="727" t="s">
        <v>80</v>
      </c>
      <c r="B55" s="728"/>
      <c r="C55" s="728"/>
      <c r="D55" s="728"/>
      <c r="E55" s="729"/>
      <c r="F55" s="730"/>
      <c r="G55" s="731"/>
      <c r="H55" s="732"/>
      <c r="I55" s="667" t="s">
        <v>6</v>
      </c>
      <c r="J55" s="733" t="s">
        <v>74</v>
      </c>
      <c r="K55" s="734"/>
      <c r="L55" s="570"/>
      <c r="M55" s="570"/>
      <c r="N55" s="570"/>
      <c r="O55" s="672" t="s">
        <v>81</v>
      </c>
      <c r="P55" s="673">
        <f>Q49/P64</f>
        <v>0.13581497092857225</v>
      </c>
      <c r="Q55" s="674">
        <f>Q50/Q64</f>
        <v>0.69506344131427078</v>
      </c>
      <c r="R55" s="674">
        <f>Q51/R64</f>
        <v>0.12417606724176067</v>
      </c>
      <c r="S55" s="675">
        <v>0</v>
      </c>
      <c r="T55" s="647"/>
      <c r="U55" s="647"/>
    </row>
    <row r="56" spans="1:21" ht="19.5" thickBot="1" x14ac:dyDescent="0.35">
      <c r="A56" s="719" t="s">
        <v>82</v>
      </c>
      <c r="B56" s="720"/>
      <c r="C56" s="720"/>
      <c r="D56" s="720"/>
      <c r="E56" s="721"/>
      <c r="F56" s="722">
        <v>10</v>
      </c>
      <c r="G56" s="723"/>
      <c r="H56" s="724"/>
      <c r="I56" s="676" t="s">
        <v>6</v>
      </c>
      <c r="J56" s="725" t="s">
        <v>83</v>
      </c>
      <c r="K56" s="726"/>
      <c r="L56" s="570"/>
      <c r="M56" s="570"/>
      <c r="N56" s="570"/>
      <c r="O56" s="653" t="s">
        <v>84</v>
      </c>
      <c r="P56" s="677">
        <f>R49/P64</f>
        <v>4.8554424682727346E-2</v>
      </c>
      <c r="Q56" s="678">
        <f>R50/Q64</f>
        <v>8.0633809897247194E-2</v>
      </c>
      <c r="R56" s="678">
        <f>R51/R64</f>
        <v>4.4982146806964322E-2</v>
      </c>
      <c r="S56" s="679">
        <v>0</v>
      </c>
      <c r="T56" s="647"/>
      <c r="U56" s="647"/>
    </row>
    <row r="57" spans="1:21" ht="18.75" x14ac:dyDescent="0.3">
      <c r="A57" s="570"/>
      <c r="B57" s="571"/>
      <c r="C57" s="571"/>
      <c r="D57" s="570"/>
      <c r="E57" s="570"/>
      <c r="F57" s="570"/>
      <c r="G57" s="570"/>
      <c r="H57" s="570"/>
      <c r="I57" s="570"/>
      <c r="J57" s="570"/>
      <c r="K57" s="570"/>
      <c r="L57" s="570"/>
      <c r="M57" s="570"/>
      <c r="N57" s="570"/>
      <c r="O57" s="653" t="s">
        <v>85</v>
      </c>
      <c r="P57" s="677">
        <f>P63/P64</f>
        <v>2.4330900243309E-2</v>
      </c>
      <c r="Q57" s="678">
        <f>Q63/Q64</f>
        <v>2.4330900243309004E-2</v>
      </c>
      <c r="R57" s="678">
        <f>R63/R64</f>
        <v>2.4330900243309E-2</v>
      </c>
      <c r="S57" s="679">
        <f>S63/S64</f>
        <v>0.125</v>
      </c>
      <c r="T57" s="647"/>
      <c r="U57" s="647"/>
    </row>
    <row r="58" spans="1:21" ht="18.75" x14ac:dyDescent="0.3">
      <c r="A58" s="570"/>
      <c r="B58" s="571"/>
      <c r="C58" s="571"/>
      <c r="D58" s="570"/>
      <c r="E58" s="570"/>
      <c r="F58" s="570"/>
      <c r="G58" s="570"/>
      <c r="H58" s="570"/>
      <c r="I58" s="570"/>
      <c r="J58" s="570"/>
      <c r="K58" s="570"/>
      <c r="L58" s="570"/>
      <c r="M58" s="570"/>
      <c r="N58" s="570"/>
      <c r="O58" s="653" t="s">
        <v>86</v>
      </c>
      <c r="P58" s="677">
        <f>S49/P64</f>
        <v>3.435454576608067E-3</v>
      </c>
      <c r="Q58" s="678">
        <v>0</v>
      </c>
      <c r="R58" s="678">
        <v>0</v>
      </c>
      <c r="S58" s="679">
        <f>S52/S64</f>
        <v>0.4375</v>
      </c>
      <c r="T58" s="647"/>
      <c r="U58" s="647"/>
    </row>
    <row r="59" spans="1:21" ht="18.75" x14ac:dyDescent="0.3">
      <c r="A59" s="570"/>
      <c r="B59" s="571"/>
      <c r="C59" s="571"/>
      <c r="D59" s="570"/>
      <c r="E59" s="570"/>
      <c r="F59" s="570"/>
      <c r="G59" s="570"/>
      <c r="H59" s="570"/>
      <c r="I59" s="570"/>
      <c r="J59" s="570"/>
      <c r="K59" s="570"/>
      <c r="L59" s="570"/>
      <c r="M59" s="570"/>
      <c r="N59" s="570"/>
      <c r="O59" s="653" t="s">
        <v>87</v>
      </c>
      <c r="P59" s="677">
        <f>T49/P64</f>
        <v>0.78786424956878331</v>
      </c>
      <c r="Q59" s="678">
        <f>T50/Q64</f>
        <v>0.19997184854517303</v>
      </c>
      <c r="R59" s="678">
        <f>T51/R64</f>
        <v>0.80651088570796603</v>
      </c>
      <c r="S59" s="679">
        <f>T52/S64</f>
        <v>0.4375</v>
      </c>
      <c r="T59" s="647"/>
      <c r="U59" s="647"/>
    </row>
    <row r="60" spans="1:21" ht="18.75" x14ac:dyDescent="0.3">
      <c r="A60" s="570"/>
      <c r="B60" s="571"/>
      <c r="C60" s="571"/>
      <c r="D60" s="570"/>
      <c r="E60" s="570"/>
      <c r="F60" s="570"/>
      <c r="G60" s="570"/>
      <c r="H60" s="570"/>
      <c r="I60" s="570"/>
      <c r="J60" s="570"/>
      <c r="K60" s="570"/>
      <c r="L60" s="570"/>
      <c r="M60" s="570"/>
      <c r="N60" s="570"/>
      <c r="O60" s="653"/>
      <c r="P60" s="677"/>
      <c r="Q60" s="678"/>
      <c r="R60" s="678"/>
      <c r="S60" s="679"/>
      <c r="T60" s="647"/>
      <c r="U60" s="647"/>
    </row>
    <row r="61" spans="1:21" ht="18.75" x14ac:dyDescent="0.3">
      <c r="A61" s="570"/>
      <c r="B61" s="571"/>
      <c r="C61" s="571"/>
      <c r="D61" s="570"/>
      <c r="E61" s="570"/>
      <c r="F61" s="570"/>
      <c r="G61" s="570"/>
      <c r="H61" s="570"/>
      <c r="I61" s="570"/>
      <c r="J61" s="570"/>
      <c r="K61" s="570"/>
      <c r="L61" s="570"/>
      <c r="M61" s="570"/>
      <c r="N61" s="570"/>
      <c r="O61" s="653" t="s">
        <v>88</v>
      </c>
      <c r="P61" s="677">
        <f>SUM(P55:P60)</f>
        <v>1</v>
      </c>
      <c r="Q61" s="678">
        <f t="shared" ref="Q61:S61" si="4">SUM(Q55:Q60)</f>
        <v>1</v>
      </c>
      <c r="R61" s="678">
        <f t="shared" si="4"/>
        <v>1</v>
      </c>
      <c r="S61" s="679">
        <f t="shared" si="4"/>
        <v>1</v>
      </c>
      <c r="T61" s="647"/>
      <c r="U61" s="647"/>
    </row>
    <row r="62" spans="1:21" ht="18.75" x14ac:dyDescent="0.3">
      <c r="A62" s="570"/>
      <c r="B62" s="571"/>
      <c r="C62" s="571"/>
      <c r="D62" s="570"/>
      <c r="E62" s="570"/>
      <c r="F62" s="570"/>
      <c r="G62" s="570"/>
      <c r="H62" s="570"/>
      <c r="I62" s="570"/>
      <c r="J62" s="570"/>
      <c r="K62" s="570"/>
      <c r="L62" s="570"/>
      <c r="M62" s="570"/>
      <c r="N62" s="570"/>
      <c r="O62" s="653"/>
      <c r="P62" s="680"/>
      <c r="Q62" s="657"/>
      <c r="R62" s="657"/>
      <c r="S62" s="681"/>
      <c r="T62" s="647"/>
      <c r="U62" s="647"/>
    </row>
    <row r="63" spans="1:21" ht="18.75" x14ac:dyDescent="0.3">
      <c r="A63" s="570"/>
      <c r="B63" s="571"/>
      <c r="C63" s="571"/>
      <c r="D63" s="570"/>
      <c r="E63" s="570"/>
      <c r="F63" s="570"/>
      <c r="G63" s="570"/>
      <c r="H63" s="570"/>
      <c r="I63" s="570"/>
      <c r="J63" s="570"/>
      <c r="K63" s="570"/>
      <c r="L63" s="570"/>
      <c r="M63" s="570"/>
      <c r="N63" s="570"/>
      <c r="O63" s="653" t="s">
        <v>89</v>
      </c>
      <c r="P63" s="682">
        <f>600000*P49/(P49+P50+P51)</f>
        <v>106234.41396508728</v>
      </c>
      <c r="Q63" s="683">
        <f>600000*P50/(P49+P50+P51)</f>
        <v>301745.63591022446</v>
      </c>
      <c r="R63" s="684">
        <f>600000*P51/(P49+P50+P51)</f>
        <v>192019.95012468827</v>
      </c>
      <c r="S63" s="685">
        <f>100000</f>
        <v>100000</v>
      </c>
      <c r="T63" s="647"/>
      <c r="U63" s="647"/>
    </row>
    <row r="64" spans="1:21" ht="19.5" thickBot="1" x14ac:dyDescent="0.35">
      <c r="A64" s="570"/>
      <c r="B64" s="571"/>
      <c r="C64" s="571"/>
      <c r="D64" s="570"/>
      <c r="E64" s="570"/>
      <c r="F64" s="570"/>
      <c r="G64" s="570"/>
      <c r="H64" s="570"/>
      <c r="I64" s="570"/>
      <c r="J64" s="570"/>
      <c r="K64" s="570"/>
      <c r="L64" s="570"/>
      <c r="M64" s="570"/>
      <c r="N64" s="570"/>
      <c r="O64" s="663" t="s">
        <v>90</v>
      </c>
      <c r="P64" s="686">
        <f>P49+P63</f>
        <v>4366234.4139650874</v>
      </c>
      <c r="Q64" s="687">
        <f>P50+Q63</f>
        <v>12401745.635910224</v>
      </c>
      <c r="R64" s="687">
        <f>P51+R63</f>
        <v>7892019.9501246884</v>
      </c>
      <c r="S64" s="666">
        <f>P52+S63</f>
        <v>800000</v>
      </c>
      <c r="T64" s="647"/>
      <c r="U64" s="647"/>
    </row>
    <row r="65" spans="1:21" ht="18.75" x14ac:dyDescent="0.3">
      <c r="A65" s="570"/>
      <c r="B65" s="571"/>
      <c r="C65" s="571"/>
      <c r="D65" s="570"/>
      <c r="E65" s="570"/>
      <c r="F65" s="570"/>
      <c r="G65" s="570"/>
      <c r="H65" s="570"/>
      <c r="I65" s="570"/>
      <c r="J65" s="570"/>
      <c r="K65" s="570"/>
      <c r="L65" s="570"/>
      <c r="M65" s="570"/>
      <c r="N65" s="570"/>
      <c r="O65" s="647"/>
      <c r="P65" s="647"/>
      <c r="Q65" s="647"/>
      <c r="R65" s="647"/>
      <c r="S65" s="647"/>
      <c r="T65" s="647"/>
      <c r="U65" s="647"/>
    </row>
    <row r="66" spans="1:21" ht="18.75" x14ac:dyDescent="0.3">
      <c r="A66" s="570"/>
      <c r="B66" s="571"/>
      <c r="C66" s="571"/>
      <c r="D66" s="570"/>
      <c r="E66" s="570"/>
      <c r="F66" s="570"/>
      <c r="G66" s="570"/>
      <c r="H66" s="570"/>
      <c r="I66" s="570"/>
      <c r="J66" s="570"/>
      <c r="K66" s="570"/>
      <c r="L66" s="570"/>
      <c r="M66" s="570"/>
      <c r="N66" s="570"/>
      <c r="O66" s="647"/>
      <c r="P66" s="647"/>
      <c r="Q66" s="647" t="s">
        <v>91</v>
      </c>
      <c r="R66" s="647"/>
      <c r="S66" s="647"/>
      <c r="T66" s="647"/>
      <c r="U66" s="647"/>
    </row>
  </sheetData>
  <mergeCells count="60">
    <mergeCell ref="D3:D4"/>
    <mergeCell ref="E3:E4"/>
    <mergeCell ref="F3:F4"/>
    <mergeCell ref="A5:A13"/>
    <mergeCell ref="B7:B8"/>
    <mergeCell ref="B10:B12"/>
    <mergeCell ref="B13:C13"/>
    <mergeCell ref="A3:A4"/>
    <mergeCell ref="B3:B4"/>
    <mergeCell ref="C3:C4"/>
    <mergeCell ref="G3:G4"/>
    <mergeCell ref="H3:I3"/>
    <mergeCell ref="J3:J4"/>
    <mergeCell ref="K3:K4"/>
    <mergeCell ref="O3:O4"/>
    <mergeCell ref="A14:A22"/>
    <mergeCell ref="B16:B17"/>
    <mergeCell ref="B19:B21"/>
    <mergeCell ref="B22:C22"/>
    <mergeCell ref="A23:A31"/>
    <mergeCell ref="B25:B26"/>
    <mergeCell ref="B28:B30"/>
    <mergeCell ref="B31:C31"/>
    <mergeCell ref="A32:A40"/>
    <mergeCell ref="B34:B35"/>
    <mergeCell ref="B37:B39"/>
    <mergeCell ref="B40:C40"/>
    <mergeCell ref="A41:A45"/>
    <mergeCell ref="B41:C41"/>
    <mergeCell ref="B42:C42"/>
    <mergeCell ref="B43:C43"/>
    <mergeCell ref="B45:C45"/>
    <mergeCell ref="A47:D47"/>
    <mergeCell ref="A48:E48"/>
    <mergeCell ref="F48:H48"/>
    <mergeCell ref="J48:K48"/>
    <mergeCell ref="A49:E49"/>
    <mergeCell ref="F49:H49"/>
    <mergeCell ref="J49:K49"/>
    <mergeCell ref="A50:E50"/>
    <mergeCell ref="F50:H50"/>
    <mergeCell ref="J50:K50"/>
    <mergeCell ref="A51:E51"/>
    <mergeCell ref="F51:H51"/>
    <mergeCell ref="J51:K51"/>
    <mergeCell ref="A52:E52"/>
    <mergeCell ref="F52:H52"/>
    <mergeCell ref="J52:K52"/>
    <mergeCell ref="A53:E53"/>
    <mergeCell ref="F53:H53"/>
    <mergeCell ref="J53:K53"/>
    <mergeCell ref="A56:E56"/>
    <mergeCell ref="F56:H56"/>
    <mergeCell ref="J56:K56"/>
    <mergeCell ref="A54:E54"/>
    <mergeCell ref="F54:H54"/>
    <mergeCell ref="J54:K54"/>
    <mergeCell ref="A55:E55"/>
    <mergeCell ref="F55:H55"/>
    <mergeCell ref="J55:K55"/>
  </mergeCells>
  <dataValidations count="1">
    <dataValidation type="list" allowBlank="1" showInputMessage="1" showErrorMessage="1" sqref="E5:E12 E41:E45 E32:E39 E23:E30 E14:E21" xr:uid="{98B954E5-0A7B-4924-A630-1CF522334B12}">
      <formula1>$N$5:$N$6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0B72-0AEA-41B5-94B2-FB544A56C7DD}">
  <dimension ref="A1:AG176"/>
  <sheetViews>
    <sheetView topLeftCell="T57" zoomScale="70" zoomScaleNormal="70" workbookViewId="0">
      <selection activeCell="AA145" sqref="AA145"/>
    </sheetView>
  </sheetViews>
  <sheetFormatPr defaultRowHeight="15.75" x14ac:dyDescent="0.25"/>
  <cols>
    <col min="1" max="1" width="14.5" customWidth="1"/>
    <col min="2" max="2" width="14" bestFit="1" customWidth="1"/>
    <col min="3" max="3" width="28.75" bestFit="1" customWidth="1"/>
    <col min="4" max="4" width="28.75" customWidth="1"/>
    <col min="5" max="5" width="10.75" customWidth="1"/>
    <col min="6" max="6" width="14.875" customWidth="1"/>
    <col min="7" max="7" width="9.75" customWidth="1"/>
    <col min="8" max="8" width="8.375" customWidth="1"/>
    <col min="9" max="9" width="17.75" customWidth="1"/>
    <col min="11" max="11" width="11.5" customWidth="1"/>
    <col min="12" max="12" width="5.625" customWidth="1"/>
    <col min="13" max="13" width="18.625" customWidth="1"/>
    <col min="14" max="14" width="16.625" customWidth="1"/>
    <col min="15" max="15" width="13.125" customWidth="1"/>
    <col min="16" max="16" width="6.875" customWidth="1"/>
    <col min="17" max="17" width="13.5" bestFit="1" customWidth="1"/>
    <col min="18" max="18" width="12" bestFit="1" customWidth="1"/>
    <col min="19" max="19" width="9.125" customWidth="1"/>
    <col min="20" max="20" width="12" bestFit="1" customWidth="1"/>
    <col min="21" max="21" width="13.5" bestFit="1" customWidth="1"/>
    <col min="22" max="22" width="16.125" style="9" customWidth="1"/>
    <col min="23" max="23" width="15.375" style="9" customWidth="1"/>
    <col min="24" max="25" width="23.625" customWidth="1"/>
    <col min="26" max="26" width="15" customWidth="1"/>
    <col min="27" max="28" width="12.625" customWidth="1"/>
    <col min="29" max="29" width="13" customWidth="1"/>
    <col min="30" max="30" width="11.5" customWidth="1"/>
    <col min="31" max="31" width="12.5" customWidth="1"/>
    <col min="33" max="33" width="8.875" bestFit="1" customWidth="1"/>
    <col min="34" max="34" width="5.625" customWidth="1"/>
    <col min="35" max="35" width="13.5" bestFit="1" customWidth="1"/>
    <col min="37" max="37" width="8.75" customWidth="1"/>
    <col min="38" max="38" width="6" customWidth="1"/>
    <col min="39" max="39" width="12.5" bestFit="1" customWidth="1"/>
    <col min="41" max="41" width="12.75" bestFit="1" customWidth="1"/>
    <col min="42" max="42" width="5.25" customWidth="1"/>
    <col min="43" max="43" width="13.5" bestFit="1" customWidth="1"/>
    <col min="45" max="45" width="8.875" bestFit="1" customWidth="1"/>
    <col min="46" max="46" width="5.75" customWidth="1"/>
    <col min="47" max="47" width="13.5" bestFit="1" customWidth="1"/>
    <col min="48" max="48" width="11.5" bestFit="1" customWidth="1"/>
  </cols>
  <sheetData>
    <row r="1" spans="1:31" ht="18.75" customHeight="1" x14ac:dyDescent="0.3">
      <c r="A1" s="481" t="s">
        <v>92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29">
        <f>M57</f>
        <v>0.28000000000000003</v>
      </c>
      <c r="N1" s="537"/>
      <c r="O1" s="537"/>
      <c r="P1" s="537"/>
      <c r="Q1" s="529">
        <f>Q57</f>
        <v>0.43</v>
      </c>
      <c r="R1" s="11"/>
      <c r="S1" s="11"/>
      <c r="T1" s="10"/>
      <c r="U1" s="530">
        <f>U57</f>
        <v>0.28999999999999998</v>
      </c>
      <c r="V1" s="12"/>
      <c r="W1" s="12"/>
      <c r="Z1" s="11"/>
    </row>
    <row r="2" spans="1:31" ht="16.5" customHeight="1" x14ac:dyDescent="0.25">
      <c r="A2" s="781" t="s">
        <v>93</v>
      </c>
      <c r="B2" s="782"/>
      <c r="C2" s="783"/>
      <c r="D2" s="483"/>
      <c r="E2" s="13" t="s">
        <v>94</v>
      </c>
      <c r="F2" s="531" t="s">
        <v>95</v>
      </c>
      <c r="G2" s="531" t="s">
        <v>96</v>
      </c>
      <c r="H2" s="531" t="s">
        <v>97</v>
      </c>
      <c r="I2" s="482"/>
      <c r="J2" s="532" t="s">
        <v>98</v>
      </c>
      <c r="K2" s="532" t="s">
        <v>99</v>
      </c>
      <c r="L2" s="532" t="s">
        <v>100</v>
      </c>
      <c r="N2" s="532" t="s">
        <v>101</v>
      </c>
      <c r="O2" s="532" t="s">
        <v>102</v>
      </c>
      <c r="P2" s="532" t="s">
        <v>103</v>
      </c>
      <c r="R2" s="532" t="s">
        <v>104</v>
      </c>
      <c r="S2" s="532" t="s">
        <v>105</v>
      </c>
      <c r="T2" s="532" t="s">
        <v>106</v>
      </c>
      <c r="V2" s="16"/>
      <c r="W2" s="16"/>
      <c r="Z2" s="17"/>
      <c r="AA2" s="17"/>
      <c r="AB2" s="17"/>
      <c r="AC2" s="17"/>
      <c r="AD2" s="17"/>
      <c r="AE2" s="17"/>
    </row>
    <row r="3" spans="1:31" ht="47.25" x14ac:dyDescent="0.25">
      <c r="A3" s="18" t="s">
        <v>107</v>
      </c>
      <c r="B3" s="19" t="s">
        <v>108</v>
      </c>
      <c r="C3" s="20" t="s">
        <v>109</v>
      </c>
      <c r="D3" s="484" t="s">
        <v>110</v>
      </c>
      <c r="E3" s="21" t="s">
        <v>111</v>
      </c>
      <c r="F3" s="22" t="s">
        <v>112</v>
      </c>
      <c r="G3" s="23" t="s">
        <v>113</v>
      </c>
      <c r="H3" s="23" t="s">
        <v>114</v>
      </c>
      <c r="I3" s="24" t="s">
        <v>115</v>
      </c>
      <c r="J3" s="22" t="s">
        <v>112</v>
      </c>
      <c r="K3" s="23" t="s">
        <v>113</v>
      </c>
      <c r="L3" s="23" t="s">
        <v>114</v>
      </c>
      <c r="M3" s="25" t="s">
        <v>115</v>
      </c>
      <c r="N3" s="22" t="s">
        <v>112</v>
      </c>
      <c r="O3" s="23" t="s">
        <v>113</v>
      </c>
      <c r="P3" s="23" t="s">
        <v>114</v>
      </c>
      <c r="Q3" s="25" t="s">
        <v>115</v>
      </c>
      <c r="R3" s="22" t="s">
        <v>112</v>
      </c>
      <c r="S3" s="23" t="s">
        <v>113</v>
      </c>
      <c r="T3" s="23" t="s">
        <v>114</v>
      </c>
      <c r="U3" s="25" t="s">
        <v>115</v>
      </c>
      <c r="V3" s="26" t="s">
        <v>116</v>
      </c>
      <c r="W3" s="26" t="s">
        <v>117</v>
      </c>
      <c r="Z3" s="27" t="s">
        <v>118</v>
      </c>
      <c r="AA3" s="28" t="s">
        <v>119</v>
      </c>
      <c r="AB3" s="29"/>
      <c r="AC3" s="29" t="s">
        <v>120</v>
      </c>
      <c r="AD3" s="28" t="s">
        <v>121</v>
      </c>
      <c r="AE3" s="30" t="s">
        <v>122</v>
      </c>
    </row>
    <row r="4" spans="1:31" ht="15.75" customHeight="1" x14ac:dyDescent="0.25">
      <c r="A4" s="784" t="s">
        <v>123</v>
      </c>
      <c r="B4" s="31" t="s">
        <v>124</v>
      </c>
      <c r="C4" s="32" t="s">
        <v>125</v>
      </c>
      <c r="D4" s="485" t="str">
        <f>B4&amp;C4</f>
        <v xml:space="preserve">rijbaan - asfaltasfalt </v>
      </c>
      <c r="E4" s="711">
        <f>E59</f>
        <v>2622000</v>
      </c>
      <c r="F4" s="34">
        <v>45</v>
      </c>
      <c r="G4" s="35">
        <f>E4</f>
        <v>2622000</v>
      </c>
      <c r="H4" s="320">
        <v>111.38629754039999</v>
      </c>
      <c r="I4" s="37">
        <f>G4*H4</f>
        <v>292054872.1509288</v>
      </c>
      <c r="J4" s="34">
        <v>45</v>
      </c>
      <c r="K4" s="38"/>
      <c r="L4" s="36"/>
      <c r="M4" s="39"/>
      <c r="N4" s="34"/>
      <c r="O4" s="40"/>
      <c r="P4" s="36"/>
      <c r="Q4" s="41"/>
      <c r="R4" s="42"/>
      <c r="S4" s="40"/>
      <c r="T4" s="36"/>
      <c r="U4" s="41"/>
      <c r="V4" s="696">
        <f>SUM(I4,M4,Q4,U4)</f>
        <v>292054872.1509288</v>
      </c>
      <c r="W4" s="43"/>
      <c r="Y4" s="540">
        <f>$Y$29</f>
        <v>0.84146707175661584</v>
      </c>
      <c r="Z4" s="534">
        <f>I4/F4*$Y$29</f>
        <v>5461212.4013576638</v>
      </c>
      <c r="AA4" s="45"/>
      <c r="AB4" s="3"/>
      <c r="AC4" s="3"/>
      <c r="AD4" s="45"/>
      <c r="AE4" s="46"/>
    </row>
    <row r="5" spans="1:31" ht="15.75" customHeight="1" x14ac:dyDescent="0.25">
      <c r="A5" s="785"/>
      <c r="B5" s="47" t="s">
        <v>126</v>
      </c>
      <c r="C5" s="48" t="s">
        <v>127</v>
      </c>
      <c r="D5" s="486" t="str">
        <f t="shared" ref="D5:D32" si="0">B5&amp;C5</f>
        <v>rijbaan stil asfalt</v>
      </c>
      <c r="E5" s="712">
        <f t="shared" ref="E5:E27" si="1">E60</f>
        <v>349000</v>
      </c>
      <c r="F5" s="50">
        <v>45</v>
      </c>
      <c r="G5" s="51">
        <f t="shared" ref="G5:G7" si="2">E5</f>
        <v>349000</v>
      </c>
      <c r="H5" s="321">
        <v>112.07153054039999</v>
      </c>
      <c r="I5" s="53">
        <f t="shared" ref="I5:I7" si="3">G5*H5</f>
        <v>39112964.1585996</v>
      </c>
      <c r="J5" s="50">
        <v>45</v>
      </c>
      <c r="K5" s="54"/>
      <c r="L5" s="52"/>
      <c r="M5" s="55"/>
      <c r="N5" s="50"/>
      <c r="O5" s="56"/>
      <c r="P5" s="52"/>
      <c r="Q5" s="57"/>
      <c r="R5" s="58"/>
      <c r="S5" s="56"/>
      <c r="T5" s="52"/>
      <c r="U5" s="57"/>
      <c r="V5" s="43">
        <f t="shared" ref="V5:V27" si="4">SUM(I5,M5,Q5,U5)</f>
        <v>39112964.1585996</v>
      </c>
      <c r="W5" s="43"/>
      <c r="Y5" s="540">
        <f t="shared" ref="Y5:Y27" si="5">$Y$29</f>
        <v>0.84146707175661584</v>
      </c>
      <c r="Z5" s="534">
        <f>I5/F5*$Y$29</f>
        <v>731383.80929462833</v>
      </c>
      <c r="AA5" s="45"/>
      <c r="AB5" s="3"/>
      <c r="AC5" s="3"/>
      <c r="AD5" s="45"/>
      <c r="AE5" s="46"/>
    </row>
    <row r="6" spans="1:31" ht="15.75" customHeight="1" x14ac:dyDescent="0.25">
      <c r="A6" s="785"/>
      <c r="B6" s="47" t="s">
        <v>126</v>
      </c>
      <c r="C6" s="48" t="s">
        <v>128</v>
      </c>
      <c r="D6" s="486" t="str">
        <f t="shared" si="0"/>
        <v>rijbaan gefundeerde betonstraatstenen</v>
      </c>
      <c r="E6" s="712">
        <f t="shared" si="1"/>
        <v>690000</v>
      </c>
      <c r="F6" s="50">
        <v>45</v>
      </c>
      <c r="G6" s="51">
        <f t="shared" si="2"/>
        <v>690000</v>
      </c>
      <c r="H6" s="321">
        <v>109.1379</v>
      </c>
      <c r="I6" s="53">
        <f t="shared" si="3"/>
        <v>75305151</v>
      </c>
      <c r="J6" s="50">
        <v>45</v>
      </c>
      <c r="K6" s="54"/>
      <c r="L6" s="52"/>
      <c r="M6" s="55"/>
      <c r="N6" s="50"/>
      <c r="O6" s="56"/>
      <c r="P6" s="52"/>
      <c r="Q6" s="57"/>
      <c r="R6" s="58"/>
      <c r="S6" s="56"/>
      <c r="T6" s="52"/>
      <c r="U6" s="57"/>
      <c r="V6" s="43">
        <f t="shared" si="4"/>
        <v>75305151</v>
      </c>
      <c r="W6" s="43"/>
      <c r="Y6" s="540">
        <f t="shared" si="5"/>
        <v>0.84146707175661584</v>
      </c>
      <c r="Z6" s="534">
        <f>I6/F6*$Y$29</f>
        <v>1408151.2200035509</v>
      </c>
      <c r="AA6" s="45"/>
      <c r="AB6" s="3"/>
      <c r="AC6" s="3"/>
      <c r="AD6" s="45"/>
      <c r="AE6" s="46"/>
    </row>
    <row r="7" spans="1:31" ht="15.75" customHeight="1" x14ac:dyDescent="0.25">
      <c r="A7" s="786"/>
      <c r="B7" s="61" t="s">
        <v>129</v>
      </c>
      <c r="C7" s="62" t="s">
        <v>130</v>
      </c>
      <c r="D7" s="487" t="str">
        <f t="shared" si="0"/>
        <v>rijbaan sbsgefundeerde straatbakstenen</v>
      </c>
      <c r="E7" s="713">
        <f t="shared" si="1"/>
        <v>185000</v>
      </c>
      <c r="F7" s="64">
        <v>45</v>
      </c>
      <c r="G7" s="65">
        <f t="shared" si="2"/>
        <v>185000</v>
      </c>
      <c r="H7" s="322">
        <v>122.15130000000001</v>
      </c>
      <c r="I7" s="67">
        <f t="shared" si="3"/>
        <v>22597990.5</v>
      </c>
      <c r="J7" s="64">
        <v>45</v>
      </c>
      <c r="K7" s="68"/>
      <c r="L7" s="66"/>
      <c r="M7" s="69"/>
      <c r="N7" s="64"/>
      <c r="O7" s="70"/>
      <c r="P7" s="66"/>
      <c r="Q7" s="71"/>
      <c r="R7" s="72"/>
      <c r="S7" s="70"/>
      <c r="T7" s="66"/>
      <c r="U7" s="71"/>
      <c r="V7" s="73">
        <f t="shared" si="4"/>
        <v>22597990.5</v>
      </c>
      <c r="W7" s="73"/>
      <c r="X7" t="s">
        <v>131</v>
      </c>
      <c r="Y7" s="540">
        <f t="shared" si="5"/>
        <v>0.84146707175661584</v>
      </c>
      <c r="Z7" s="534">
        <f>I7/F7*$Y$29</f>
        <v>422565.88652486273</v>
      </c>
      <c r="AA7" s="45"/>
      <c r="AB7" s="3"/>
      <c r="AC7" s="3"/>
      <c r="AD7" s="45"/>
      <c r="AE7" s="46"/>
    </row>
    <row r="8" spans="1:31" ht="15.75" customHeight="1" thickBot="1" x14ac:dyDescent="0.3">
      <c r="A8" s="787" t="s">
        <v>132</v>
      </c>
      <c r="B8" s="74" t="s">
        <v>133</v>
      </c>
      <c r="C8" s="75" t="s">
        <v>125</v>
      </c>
      <c r="D8" s="488" t="str">
        <f t="shared" si="0"/>
        <v xml:space="preserve">rijwegenasfalt </v>
      </c>
      <c r="E8" s="711">
        <f t="shared" si="1"/>
        <v>841000</v>
      </c>
      <c r="F8" s="77"/>
      <c r="G8" s="78"/>
      <c r="H8" s="78"/>
      <c r="I8" s="79"/>
      <c r="J8" s="80">
        <v>60</v>
      </c>
      <c r="K8" s="81">
        <f t="shared" ref="K8:K21" si="6">E8*$M$1</f>
        <v>235480.00000000003</v>
      </c>
      <c r="L8" s="323">
        <v>117.7479</v>
      </c>
      <c r="M8" s="79">
        <f>K8*L8</f>
        <v>27727275.492000002</v>
      </c>
      <c r="N8" s="80">
        <v>40</v>
      </c>
      <c r="O8" s="81">
        <f t="shared" ref="O8:O21" si="7">E8*$Q$1</f>
        <v>361630</v>
      </c>
      <c r="P8" s="323">
        <v>117.7479</v>
      </c>
      <c r="Q8" s="79">
        <f>O8*P8</f>
        <v>42581173.077</v>
      </c>
      <c r="R8" s="83">
        <v>25</v>
      </c>
      <c r="S8" s="81">
        <f t="shared" ref="S8:S21" si="8">E8*$U$1</f>
        <v>243889.99999999997</v>
      </c>
      <c r="T8" s="323">
        <v>117.7479</v>
      </c>
      <c r="U8" s="79">
        <f>S8*T8</f>
        <v>28717535.330999997</v>
      </c>
      <c r="V8" s="84">
        <f t="shared" si="4"/>
        <v>99025983.900000006</v>
      </c>
      <c r="W8" s="84">
        <f>K8+O8+S8</f>
        <v>841000</v>
      </c>
      <c r="X8" s="509">
        <v>117.7479</v>
      </c>
      <c r="Y8" s="540">
        <f t="shared" si="5"/>
        <v>0.84146707175661584</v>
      </c>
      <c r="Z8" s="534">
        <f t="shared" ref="Z8:Z25" si="9">M8/J8*$Y$29</f>
        <v>388859.82193403703</v>
      </c>
      <c r="AA8" s="86"/>
      <c r="AD8" s="86"/>
      <c r="AE8" s="87"/>
    </row>
    <row r="9" spans="1:31" ht="15.75" customHeight="1" thickBot="1" x14ac:dyDescent="0.3">
      <c r="A9" s="788"/>
      <c r="B9" s="74" t="s">
        <v>133</v>
      </c>
      <c r="C9" s="89" t="s">
        <v>134</v>
      </c>
      <c r="D9" s="489" t="str">
        <f t="shared" si="0"/>
        <v>rijwegenbetonstraatstenen</v>
      </c>
      <c r="E9" s="712">
        <f t="shared" si="1"/>
        <v>4141000</v>
      </c>
      <c r="F9" s="91"/>
      <c r="G9" s="92"/>
      <c r="H9" s="92"/>
      <c r="I9" s="93"/>
      <c r="J9" s="94">
        <v>60</v>
      </c>
      <c r="K9" s="95">
        <f t="shared" si="6"/>
        <v>1159480</v>
      </c>
      <c r="L9" s="324">
        <v>78.732300000000009</v>
      </c>
      <c r="M9" s="93">
        <f t="shared" ref="M9:M21" si="10">K9*L9</f>
        <v>91288527.204000011</v>
      </c>
      <c r="N9" s="94">
        <v>40</v>
      </c>
      <c r="O9" s="95">
        <f t="shared" si="7"/>
        <v>1780630</v>
      </c>
      <c r="P9" s="324">
        <v>78.732300000000009</v>
      </c>
      <c r="Q9" s="93">
        <f t="shared" ref="Q9:Q21" si="11">O9*P9</f>
        <v>140193095.34900001</v>
      </c>
      <c r="R9" s="97">
        <v>25</v>
      </c>
      <c r="S9" s="95">
        <f t="shared" si="8"/>
        <v>1200890</v>
      </c>
      <c r="T9" s="324">
        <v>78.732300000000009</v>
      </c>
      <c r="U9" s="93">
        <f t="shared" ref="U9:U21" si="12">S9*T9</f>
        <v>94548831.747000009</v>
      </c>
      <c r="V9" s="84">
        <f t="shared" si="4"/>
        <v>326030454.30000007</v>
      </c>
      <c r="W9" s="84">
        <f t="shared" ref="W9:W27" si="13">K9+O9+S9</f>
        <v>4141000</v>
      </c>
      <c r="X9" s="510">
        <v>68.843100000000007</v>
      </c>
      <c r="Y9" s="540">
        <f t="shared" si="5"/>
        <v>0.84146707175661584</v>
      </c>
      <c r="Z9" s="534">
        <f t="shared" si="9"/>
        <v>1280271.4945220677</v>
      </c>
      <c r="AA9" s="86"/>
      <c r="AD9" s="86"/>
      <c r="AE9" s="87"/>
    </row>
    <row r="10" spans="1:31" ht="15.75" customHeight="1" thickBot="1" x14ac:dyDescent="0.3">
      <c r="A10" s="788"/>
      <c r="B10" s="74" t="s">
        <v>133</v>
      </c>
      <c r="C10" s="89" t="s">
        <v>135</v>
      </c>
      <c r="D10" s="489" t="str">
        <f t="shared" si="0"/>
        <v>rijwegenstraatbakstenen</v>
      </c>
      <c r="E10" s="712">
        <f t="shared" si="1"/>
        <v>737000</v>
      </c>
      <c r="F10" s="91"/>
      <c r="G10" s="92"/>
      <c r="H10" s="92"/>
      <c r="I10" s="93"/>
      <c r="J10" s="94">
        <v>60</v>
      </c>
      <c r="K10" s="95">
        <f t="shared" si="6"/>
        <v>206360.00000000003</v>
      </c>
      <c r="L10" s="324">
        <v>91.241400000000013</v>
      </c>
      <c r="M10" s="93">
        <f t="shared" si="10"/>
        <v>18828575.304000005</v>
      </c>
      <c r="N10" s="94">
        <v>40</v>
      </c>
      <c r="O10" s="95">
        <f t="shared" si="7"/>
        <v>316910</v>
      </c>
      <c r="P10" s="324">
        <v>91.241400000000013</v>
      </c>
      <c r="Q10" s="93">
        <f t="shared" si="11"/>
        <v>28915312.074000005</v>
      </c>
      <c r="R10" s="97">
        <v>25</v>
      </c>
      <c r="S10" s="95">
        <f t="shared" si="8"/>
        <v>213729.99999999997</v>
      </c>
      <c r="T10" s="324">
        <v>91.241400000000013</v>
      </c>
      <c r="U10" s="93">
        <f t="shared" si="12"/>
        <v>19501024.421999998</v>
      </c>
      <c r="V10" s="84">
        <f t="shared" si="4"/>
        <v>67244911.800000012</v>
      </c>
      <c r="W10" s="84">
        <f t="shared" si="13"/>
        <v>737000</v>
      </c>
      <c r="X10" s="510">
        <v>77.653999999999996</v>
      </c>
      <c r="Y10" s="540">
        <f t="shared" si="5"/>
        <v>0.84146707175661584</v>
      </c>
      <c r="Z10" s="534">
        <f t="shared" si="9"/>
        <v>264060.43544009695</v>
      </c>
      <c r="AA10" s="86"/>
      <c r="AD10" s="86"/>
      <c r="AE10" s="87"/>
    </row>
    <row r="11" spans="1:31" ht="15.75" customHeight="1" x14ac:dyDescent="0.25">
      <c r="A11" s="788"/>
      <c r="B11" s="74" t="s">
        <v>133</v>
      </c>
      <c r="C11" s="89" t="s">
        <v>136</v>
      </c>
      <c r="D11" s="489" t="str">
        <f t="shared" si="0"/>
        <v>rijwegenbetonstraatstenen - wpv</v>
      </c>
      <c r="E11" s="712">
        <f t="shared" si="1"/>
        <v>172000</v>
      </c>
      <c r="F11" s="91"/>
      <c r="G11" s="92"/>
      <c r="H11" s="92"/>
      <c r="I11" s="93"/>
      <c r="J11" s="94">
        <v>60</v>
      </c>
      <c r="K11" s="95">
        <f t="shared" si="6"/>
        <v>48160.000000000007</v>
      </c>
      <c r="L11" s="324">
        <v>83.418599999999984</v>
      </c>
      <c r="M11" s="93">
        <f t="shared" si="10"/>
        <v>4017439.7759999996</v>
      </c>
      <c r="N11" s="94">
        <v>40</v>
      </c>
      <c r="O11" s="95">
        <f t="shared" si="7"/>
        <v>73960</v>
      </c>
      <c r="P11" s="324">
        <v>83.418599999999984</v>
      </c>
      <c r="Q11" s="93">
        <f t="shared" si="11"/>
        <v>6169639.6559999986</v>
      </c>
      <c r="R11" s="97">
        <v>25</v>
      </c>
      <c r="S11" s="95">
        <f t="shared" si="8"/>
        <v>49880</v>
      </c>
      <c r="T11" s="324">
        <v>83.418599999999984</v>
      </c>
      <c r="U11" s="93">
        <f t="shared" si="12"/>
        <v>4160919.7679999992</v>
      </c>
      <c r="V11" s="84">
        <f t="shared" si="4"/>
        <v>14347999.199999997</v>
      </c>
      <c r="W11" s="84">
        <f t="shared" si="13"/>
        <v>172000</v>
      </c>
      <c r="X11" s="510">
        <v>71.009764242506023</v>
      </c>
      <c r="Y11" s="540">
        <f t="shared" si="5"/>
        <v>0.84146707175661584</v>
      </c>
      <c r="Z11" s="534">
        <f t="shared" si="9"/>
        <v>56342.388071154572</v>
      </c>
      <c r="AA11" s="86"/>
      <c r="AD11" s="86"/>
      <c r="AE11" s="87"/>
    </row>
    <row r="12" spans="1:31" ht="15.75" customHeight="1" x14ac:dyDescent="0.25">
      <c r="A12" s="788"/>
      <c r="B12" s="98" t="s">
        <v>137</v>
      </c>
      <c r="C12" s="89" t="s">
        <v>134</v>
      </c>
      <c r="D12" s="489" t="str">
        <f t="shared" si="0"/>
        <v>parkeervakkenbetonstraatstenen</v>
      </c>
      <c r="E12" s="712">
        <f t="shared" si="1"/>
        <v>2045000</v>
      </c>
      <c r="F12" s="91"/>
      <c r="G12" s="92"/>
      <c r="H12" s="92"/>
      <c r="I12" s="93"/>
      <c r="J12" s="94">
        <v>60</v>
      </c>
      <c r="K12" s="95">
        <f t="shared" si="6"/>
        <v>572600</v>
      </c>
      <c r="L12" s="324">
        <v>62.38393604787592</v>
      </c>
      <c r="M12" s="93">
        <f t="shared" si="10"/>
        <v>35721041.78101375</v>
      </c>
      <c r="N12" s="94">
        <v>40</v>
      </c>
      <c r="O12" s="95">
        <f t="shared" si="7"/>
        <v>879350</v>
      </c>
      <c r="P12" s="324">
        <v>62.38393604787592</v>
      </c>
      <c r="Q12" s="93">
        <f t="shared" si="11"/>
        <v>54857314.163699694</v>
      </c>
      <c r="R12" s="97">
        <v>25</v>
      </c>
      <c r="S12" s="95">
        <f t="shared" si="8"/>
        <v>593050</v>
      </c>
      <c r="T12" s="324">
        <v>62.38393604787592</v>
      </c>
      <c r="U12" s="93">
        <f t="shared" si="12"/>
        <v>36996793.273192815</v>
      </c>
      <c r="V12" s="84">
        <f t="shared" si="4"/>
        <v>127575149.21790627</v>
      </c>
      <c r="W12" s="84">
        <f t="shared" si="13"/>
        <v>2045000</v>
      </c>
      <c r="X12" s="510">
        <v>60.224311576753166</v>
      </c>
      <c r="Y12" s="540">
        <f t="shared" si="5"/>
        <v>0.84146707175661584</v>
      </c>
      <c r="Z12" s="534">
        <f t="shared" si="9"/>
        <v>500968.00712608953</v>
      </c>
      <c r="AA12" s="86"/>
      <c r="AD12" s="86"/>
      <c r="AE12" s="87"/>
    </row>
    <row r="13" spans="1:31" ht="15.75" customHeight="1" x14ac:dyDescent="0.25">
      <c r="A13" s="788"/>
      <c r="B13" s="98" t="s">
        <v>137</v>
      </c>
      <c r="C13" s="89" t="s">
        <v>135</v>
      </c>
      <c r="D13" s="489" t="str">
        <f t="shared" si="0"/>
        <v>parkeervakkenstraatbakstenen</v>
      </c>
      <c r="E13" s="712">
        <f t="shared" si="1"/>
        <v>280000</v>
      </c>
      <c r="F13" s="91"/>
      <c r="G13" s="92"/>
      <c r="H13" s="92"/>
      <c r="I13" s="93"/>
      <c r="J13" s="94">
        <v>60</v>
      </c>
      <c r="K13" s="95">
        <f t="shared" si="6"/>
        <v>78400.000000000015</v>
      </c>
      <c r="L13" s="324">
        <v>73.742133656128019</v>
      </c>
      <c r="M13" s="93">
        <f t="shared" si="10"/>
        <v>5781383.2786404379</v>
      </c>
      <c r="N13" s="94">
        <v>40</v>
      </c>
      <c r="O13" s="95">
        <f t="shared" si="7"/>
        <v>120400</v>
      </c>
      <c r="P13" s="324">
        <v>73.742133656128019</v>
      </c>
      <c r="Q13" s="93">
        <f t="shared" si="11"/>
        <v>8878552.8921978138</v>
      </c>
      <c r="R13" s="97">
        <v>25</v>
      </c>
      <c r="S13" s="95">
        <f t="shared" si="8"/>
        <v>81200</v>
      </c>
      <c r="T13" s="324">
        <v>73.742133656128019</v>
      </c>
      <c r="U13" s="93">
        <f t="shared" si="12"/>
        <v>5987861.2528775949</v>
      </c>
      <c r="V13" s="84">
        <f t="shared" si="4"/>
        <v>20647797.423715845</v>
      </c>
      <c r="W13" s="84">
        <f t="shared" si="13"/>
        <v>280000</v>
      </c>
      <c r="X13" s="510">
        <v>67.784275461215373</v>
      </c>
      <c r="Y13" s="540">
        <f t="shared" si="5"/>
        <v>0.84146707175661584</v>
      </c>
      <c r="Z13" s="534">
        <f t="shared" si="9"/>
        <v>81080.727636337208</v>
      </c>
      <c r="AA13" s="86"/>
      <c r="AD13" s="86"/>
      <c r="AE13" s="87"/>
    </row>
    <row r="14" spans="1:31" ht="15.75" customHeight="1" x14ac:dyDescent="0.25">
      <c r="A14" s="788"/>
      <c r="B14" s="98" t="s">
        <v>137</v>
      </c>
      <c r="C14" s="89" t="s">
        <v>125</v>
      </c>
      <c r="D14" s="489" t="str">
        <f t="shared" si="0"/>
        <v xml:space="preserve">parkeervakkenasfalt </v>
      </c>
      <c r="E14" s="712">
        <f t="shared" si="1"/>
        <v>123000</v>
      </c>
      <c r="F14" s="91"/>
      <c r="G14" s="92"/>
      <c r="H14" s="92"/>
      <c r="I14" s="93"/>
      <c r="J14" s="94">
        <v>60</v>
      </c>
      <c r="K14" s="95">
        <f t="shared" si="6"/>
        <v>34440</v>
      </c>
      <c r="L14" s="324">
        <v>117.7479</v>
      </c>
      <c r="M14" s="93">
        <f t="shared" si="10"/>
        <v>4055237.676</v>
      </c>
      <c r="N14" s="94">
        <v>40</v>
      </c>
      <c r="O14" s="95">
        <f t="shared" si="7"/>
        <v>52890</v>
      </c>
      <c r="P14" s="324">
        <v>117.7479</v>
      </c>
      <c r="Q14" s="93">
        <f t="shared" si="11"/>
        <v>6227686.4309999999</v>
      </c>
      <c r="R14" s="97">
        <v>25</v>
      </c>
      <c r="S14" s="95">
        <f t="shared" si="8"/>
        <v>35670</v>
      </c>
      <c r="T14" s="324">
        <v>117.7479</v>
      </c>
      <c r="U14" s="93">
        <f t="shared" si="12"/>
        <v>4200067.5930000003</v>
      </c>
      <c r="V14" s="84">
        <f t="shared" si="4"/>
        <v>14482991.700000001</v>
      </c>
      <c r="W14" s="84">
        <f t="shared" si="13"/>
        <v>123000</v>
      </c>
      <c r="X14" s="510">
        <v>117.7479</v>
      </c>
      <c r="Y14" s="540">
        <f t="shared" si="5"/>
        <v>0.84146707175661584</v>
      </c>
      <c r="Z14" s="534">
        <f t="shared" si="9"/>
        <v>56872.482875013731</v>
      </c>
      <c r="AA14" s="86"/>
      <c r="AD14" s="86"/>
      <c r="AE14" s="87"/>
    </row>
    <row r="15" spans="1:31" ht="15.75" customHeight="1" x14ac:dyDescent="0.25">
      <c r="A15" s="788"/>
      <c r="B15" s="98" t="s">
        <v>137</v>
      </c>
      <c r="C15" s="89" t="s">
        <v>138</v>
      </c>
      <c r="D15" s="489" t="str">
        <f t="shared" si="0"/>
        <v>parkeervakkendiverse verharding</v>
      </c>
      <c r="E15" s="712">
        <f t="shared" si="1"/>
        <v>194000</v>
      </c>
      <c r="F15" s="91"/>
      <c r="G15" s="92"/>
      <c r="H15" s="92"/>
      <c r="I15" s="93"/>
      <c r="J15" s="94">
        <v>60</v>
      </c>
      <c r="K15" s="95">
        <f t="shared" si="6"/>
        <v>54320.000000000007</v>
      </c>
      <c r="L15" s="324">
        <v>78.732300000000009</v>
      </c>
      <c r="M15" s="93">
        <f t="shared" si="10"/>
        <v>4276738.5360000012</v>
      </c>
      <c r="N15" s="94">
        <v>40</v>
      </c>
      <c r="O15" s="95">
        <f t="shared" si="7"/>
        <v>83420</v>
      </c>
      <c r="P15" s="324">
        <v>78.732300000000009</v>
      </c>
      <c r="Q15" s="93">
        <f t="shared" si="11"/>
        <v>6567848.4660000009</v>
      </c>
      <c r="R15" s="97">
        <v>25</v>
      </c>
      <c r="S15" s="95">
        <f t="shared" si="8"/>
        <v>56259.999999999993</v>
      </c>
      <c r="T15" s="324">
        <v>78.732300000000009</v>
      </c>
      <c r="U15" s="93">
        <f t="shared" si="12"/>
        <v>4429479.1979999999</v>
      </c>
      <c r="V15" s="84">
        <f t="shared" si="4"/>
        <v>15274066.200000003</v>
      </c>
      <c r="W15" s="84">
        <f t="shared" si="13"/>
        <v>194000</v>
      </c>
      <c r="X15" s="510">
        <v>68.843100000000007</v>
      </c>
      <c r="Y15" s="540">
        <f t="shared" si="5"/>
        <v>0.84146707175661584</v>
      </c>
      <c r="Z15" s="534">
        <f t="shared" si="9"/>
        <v>59978.910875943286</v>
      </c>
      <c r="AA15" s="86"/>
      <c r="AD15" s="86"/>
      <c r="AE15" s="87"/>
    </row>
    <row r="16" spans="1:31" ht="15.75" customHeight="1" x14ac:dyDescent="0.25">
      <c r="A16" s="788"/>
      <c r="B16" s="88" t="s">
        <v>139</v>
      </c>
      <c r="C16" s="89" t="s">
        <v>140</v>
      </c>
      <c r="D16" s="489" t="str">
        <f t="shared" si="0"/>
        <v>fietspadenrood asfalt</v>
      </c>
      <c r="E16" s="712">
        <f t="shared" si="1"/>
        <v>1516000</v>
      </c>
      <c r="F16" s="91"/>
      <c r="G16" s="92"/>
      <c r="H16" s="92"/>
      <c r="I16" s="93"/>
      <c r="J16" s="94">
        <v>60</v>
      </c>
      <c r="K16" s="95">
        <f t="shared" si="6"/>
        <v>424480.00000000006</v>
      </c>
      <c r="L16" s="324">
        <v>98.835009284008805</v>
      </c>
      <c r="M16" s="93">
        <f t="shared" si="10"/>
        <v>41953484.740876064</v>
      </c>
      <c r="N16" s="94">
        <v>40</v>
      </c>
      <c r="O16" s="95">
        <f t="shared" si="7"/>
        <v>651880</v>
      </c>
      <c r="P16" s="324">
        <v>98.835009284008805</v>
      </c>
      <c r="Q16" s="93">
        <f t="shared" si="11"/>
        <v>64428565.852059662</v>
      </c>
      <c r="R16" s="97">
        <v>25</v>
      </c>
      <c r="S16" s="95">
        <f t="shared" si="8"/>
        <v>439639.99999999994</v>
      </c>
      <c r="T16" s="324">
        <v>98.835009284008805</v>
      </c>
      <c r="U16" s="93">
        <f t="shared" si="12"/>
        <v>43451823.481621623</v>
      </c>
      <c r="V16" s="84">
        <f t="shared" si="4"/>
        <v>149833874.07455736</v>
      </c>
      <c r="W16" s="84">
        <f t="shared" si="13"/>
        <v>1516000</v>
      </c>
      <c r="X16" s="510">
        <v>98.835009284008805</v>
      </c>
      <c r="Y16" s="540">
        <f t="shared" si="5"/>
        <v>0.84146707175661584</v>
      </c>
      <c r="Z16" s="534">
        <f t="shared" si="9"/>
        <v>588374.59924818075</v>
      </c>
      <c r="AA16" s="86"/>
      <c r="AD16" s="86"/>
      <c r="AE16" s="87"/>
    </row>
    <row r="17" spans="1:31" ht="15.75" customHeight="1" x14ac:dyDescent="0.25">
      <c r="A17" s="788"/>
      <c r="B17" s="88" t="s">
        <v>139</v>
      </c>
      <c r="C17" s="89" t="s">
        <v>141</v>
      </c>
      <c r="D17" s="489" t="str">
        <f t="shared" si="0"/>
        <v>fietspadenelementverharding</v>
      </c>
      <c r="E17" s="712">
        <f t="shared" si="1"/>
        <v>185000</v>
      </c>
      <c r="F17" s="91"/>
      <c r="G17" s="92"/>
      <c r="H17" s="92"/>
      <c r="I17" s="93"/>
      <c r="J17" s="94">
        <v>60</v>
      </c>
      <c r="K17" s="95">
        <f t="shared" si="6"/>
        <v>51800.000000000007</v>
      </c>
      <c r="L17" s="324">
        <v>127.84156564843498</v>
      </c>
      <c r="M17" s="93">
        <f t="shared" si="10"/>
        <v>6622193.1005889326</v>
      </c>
      <c r="N17" s="94">
        <v>40</v>
      </c>
      <c r="O17" s="95">
        <f t="shared" si="7"/>
        <v>79550</v>
      </c>
      <c r="P17" s="324">
        <v>127.84156564843498</v>
      </c>
      <c r="Q17" s="93">
        <f t="shared" si="11"/>
        <v>10169796.547333002</v>
      </c>
      <c r="R17" s="97">
        <v>25</v>
      </c>
      <c r="S17" s="95">
        <f t="shared" si="8"/>
        <v>53649.999999999993</v>
      </c>
      <c r="T17" s="324">
        <v>127.84156564843498</v>
      </c>
      <c r="U17" s="93">
        <f t="shared" si="12"/>
        <v>6858699.9970385358</v>
      </c>
      <c r="V17" s="84">
        <f t="shared" si="4"/>
        <v>23650689.64496047</v>
      </c>
      <c r="W17" s="84">
        <f t="shared" si="13"/>
        <v>185000</v>
      </c>
      <c r="X17" s="510">
        <v>103.52055173995332</v>
      </c>
      <c r="Y17" s="540">
        <f t="shared" si="5"/>
        <v>0.84146707175661584</v>
      </c>
      <c r="Z17" s="534">
        <f t="shared" si="9"/>
        <v>92872.623949323883</v>
      </c>
      <c r="AA17" s="86"/>
      <c r="AD17" s="86"/>
      <c r="AE17" s="87"/>
    </row>
    <row r="18" spans="1:31" ht="15.75" customHeight="1" x14ac:dyDescent="0.25">
      <c r="A18" s="788"/>
      <c r="B18" s="88" t="s">
        <v>142</v>
      </c>
      <c r="C18" s="89" t="s">
        <v>143</v>
      </c>
      <c r="D18" s="489" t="str">
        <f t="shared" si="0"/>
        <v>voetpadentrotoirtegels</v>
      </c>
      <c r="E18" s="712">
        <f t="shared" si="1"/>
        <v>9091000</v>
      </c>
      <c r="F18" s="91"/>
      <c r="G18" s="92"/>
      <c r="H18" s="92"/>
      <c r="I18" s="93"/>
      <c r="J18" s="94">
        <v>60</v>
      </c>
      <c r="K18" s="95">
        <f t="shared" si="6"/>
        <v>2545480.0000000005</v>
      </c>
      <c r="L18" s="324">
        <v>63.98248064129497</v>
      </c>
      <c r="M18" s="93">
        <f t="shared" si="10"/>
        <v>162866124.82280356</v>
      </c>
      <c r="N18" s="94">
        <v>40</v>
      </c>
      <c r="O18" s="95">
        <f t="shared" si="7"/>
        <v>3909130</v>
      </c>
      <c r="P18" s="324">
        <v>63.98248064129497</v>
      </c>
      <c r="Q18" s="93">
        <f t="shared" si="11"/>
        <v>250115834.54930541</v>
      </c>
      <c r="R18" s="97">
        <v>25</v>
      </c>
      <c r="S18" s="95">
        <f t="shared" si="8"/>
        <v>2636390</v>
      </c>
      <c r="T18" s="324">
        <v>63.98248064129497</v>
      </c>
      <c r="U18" s="93">
        <f t="shared" si="12"/>
        <v>168682772.13790363</v>
      </c>
      <c r="V18" s="84">
        <f t="shared" si="4"/>
        <v>581664731.51001263</v>
      </c>
      <c r="W18" s="84">
        <f t="shared" si="13"/>
        <v>9091000</v>
      </c>
      <c r="X18" s="510">
        <v>61.373932080041662</v>
      </c>
      <c r="Y18" s="540">
        <f t="shared" si="5"/>
        <v>0.84146707175661584</v>
      </c>
      <c r="Z18" s="534">
        <f t="shared" si="9"/>
        <v>2284108.0190498666</v>
      </c>
      <c r="AA18" s="86"/>
      <c r="AD18" s="86"/>
      <c r="AE18" s="87"/>
    </row>
    <row r="19" spans="1:31" ht="15.75" customHeight="1" x14ac:dyDescent="0.25">
      <c r="A19" s="788"/>
      <c r="B19" s="88" t="s">
        <v>142</v>
      </c>
      <c r="C19" s="89" t="s">
        <v>144</v>
      </c>
      <c r="D19" s="489" t="str">
        <f t="shared" si="0"/>
        <v>voetpadennatuursteentegels gefundeerd</v>
      </c>
      <c r="E19" s="712">
        <f t="shared" si="1"/>
        <v>55000</v>
      </c>
      <c r="F19" s="91"/>
      <c r="G19" s="92"/>
      <c r="H19" s="92"/>
      <c r="I19" s="93"/>
      <c r="J19" s="94">
        <v>60</v>
      </c>
      <c r="K19" s="95">
        <f t="shared" si="6"/>
        <v>15400.000000000002</v>
      </c>
      <c r="L19" s="324">
        <v>184.09863442905561</v>
      </c>
      <c r="M19" s="93">
        <f t="shared" si="10"/>
        <v>2835118.9702074565</v>
      </c>
      <c r="N19" s="94">
        <v>40</v>
      </c>
      <c r="O19" s="95">
        <f t="shared" si="7"/>
        <v>23650</v>
      </c>
      <c r="P19" s="324">
        <v>184.09863442905561</v>
      </c>
      <c r="Q19" s="93">
        <f t="shared" si="11"/>
        <v>4353932.7042471655</v>
      </c>
      <c r="R19" s="97">
        <v>25</v>
      </c>
      <c r="S19" s="95">
        <f t="shared" si="8"/>
        <v>15949.999999999998</v>
      </c>
      <c r="T19" s="324">
        <v>184.09863442905561</v>
      </c>
      <c r="U19" s="93">
        <f t="shared" si="12"/>
        <v>2936373.2191434368</v>
      </c>
      <c r="V19" s="84">
        <f t="shared" si="4"/>
        <v>10125424.893598059</v>
      </c>
      <c r="W19" s="84">
        <f t="shared" si="13"/>
        <v>55000</v>
      </c>
      <c r="X19" s="510">
        <v>174.6309187388475</v>
      </c>
      <c r="Y19" s="540">
        <f t="shared" si="5"/>
        <v>0.84146707175661584</v>
      </c>
      <c r="Z19" s="534">
        <f t="shared" si="9"/>
        <v>39760.987632368342</v>
      </c>
      <c r="AA19" s="86"/>
      <c r="AD19" s="86"/>
      <c r="AE19" s="87"/>
    </row>
    <row r="20" spans="1:31" ht="15.75" customHeight="1" x14ac:dyDescent="0.25">
      <c r="A20" s="788"/>
      <c r="B20" s="88" t="s">
        <v>142</v>
      </c>
      <c r="C20" s="89" t="s">
        <v>145</v>
      </c>
      <c r="D20" s="489" t="str">
        <f t="shared" si="0"/>
        <v>voetpadennatuursteentegels ongefundeerd</v>
      </c>
      <c r="E20" s="712">
        <f t="shared" si="1"/>
        <v>81000</v>
      </c>
      <c r="F20" s="91"/>
      <c r="G20" s="92"/>
      <c r="H20" s="92"/>
      <c r="I20" s="93"/>
      <c r="J20" s="94">
        <v>60</v>
      </c>
      <c r="K20" s="95">
        <f t="shared" si="6"/>
        <v>22680.000000000004</v>
      </c>
      <c r="L20" s="324">
        <v>137.94871011218811</v>
      </c>
      <c r="M20" s="93">
        <f t="shared" si="10"/>
        <v>3128676.7453444269</v>
      </c>
      <c r="N20" s="94">
        <v>40</v>
      </c>
      <c r="O20" s="95">
        <f t="shared" si="7"/>
        <v>34830</v>
      </c>
      <c r="P20" s="324">
        <v>137.94871011218811</v>
      </c>
      <c r="Q20" s="93">
        <f t="shared" si="11"/>
        <v>4804753.5732075116</v>
      </c>
      <c r="R20" s="97">
        <v>25</v>
      </c>
      <c r="S20" s="95">
        <f t="shared" si="8"/>
        <v>23490</v>
      </c>
      <c r="T20" s="324">
        <v>137.94871011218811</v>
      </c>
      <c r="U20" s="93">
        <f t="shared" si="12"/>
        <v>3240415.2005352988</v>
      </c>
      <c r="V20" s="84">
        <f t="shared" si="4"/>
        <v>11173845.519087238</v>
      </c>
      <c r="W20" s="84">
        <f t="shared" si="13"/>
        <v>81000</v>
      </c>
      <c r="X20" s="510">
        <v>129.79961381355497</v>
      </c>
      <c r="Y20" s="540">
        <f t="shared" si="5"/>
        <v>0.84146707175661584</v>
      </c>
      <c r="Z20" s="534">
        <f t="shared" si="9"/>
        <v>43877.974322966569</v>
      </c>
      <c r="AA20" s="86"/>
      <c r="AD20" s="86"/>
      <c r="AE20" s="87"/>
    </row>
    <row r="21" spans="1:31" ht="15.75" customHeight="1" thickBot="1" x14ac:dyDescent="0.3">
      <c r="A21" s="789"/>
      <c r="B21" s="88" t="s">
        <v>142</v>
      </c>
      <c r="C21" s="101" t="s">
        <v>146</v>
      </c>
      <c r="D21" s="490" t="str">
        <f t="shared" si="0"/>
        <v>voetpadenafwijkende tegels (formaat, dik)</v>
      </c>
      <c r="E21" s="713">
        <f t="shared" si="1"/>
        <v>156000</v>
      </c>
      <c r="F21" s="103"/>
      <c r="G21" s="104"/>
      <c r="H21" s="104"/>
      <c r="I21" s="105"/>
      <c r="J21" s="106">
        <v>60</v>
      </c>
      <c r="K21" s="107">
        <f t="shared" si="6"/>
        <v>43680.000000000007</v>
      </c>
      <c r="L21" s="325">
        <v>97.679707187031212</v>
      </c>
      <c r="M21" s="105">
        <f t="shared" si="10"/>
        <v>4266649.6099295244</v>
      </c>
      <c r="N21" s="106">
        <v>40</v>
      </c>
      <c r="O21" s="107">
        <f t="shared" si="7"/>
        <v>67080</v>
      </c>
      <c r="P21" s="325">
        <v>97.679707187031212</v>
      </c>
      <c r="Q21" s="105">
        <f t="shared" si="11"/>
        <v>6552354.7581060538</v>
      </c>
      <c r="R21" s="109">
        <v>25</v>
      </c>
      <c r="S21" s="107">
        <f t="shared" si="8"/>
        <v>45240</v>
      </c>
      <c r="T21" s="325">
        <v>97.679707187031212</v>
      </c>
      <c r="U21" s="105">
        <f t="shared" si="12"/>
        <v>4419029.9531412916</v>
      </c>
      <c r="V21" s="84">
        <f t="shared" si="4"/>
        <v>15238034.321176868</v>
      </c>
      <c r="W21" s="84">
        <f t="shared" si="13"/>
        <v>156000</v>
      </c>
      <c r="X21" s="511">
        <v>84.34637385369787</v>
      </c>
      <c r="Y21" s="540">
        <f t="shared" si="5"/>
        <v>0.84146707175661584</v>
      </c>
      <c r="Z21" s="534">
        <f t="shared" si="9"/>
        <v>59837.419224648402</v>
      </c>
      <c r="AA21" s="86"/>
      <c r="AD21" s="86"/>
      <c r="AE21" s="87"/>
    </row>
    <row r="22" spans="1:31" ht="15.75" customHeight="1" thickBot="1" x14ac:dyDescent="0.3">
      <c r="A22" s="110" t="s">
        <v>147</v>
      </c>
      <c r="B22" s="111" t="s">
        <v>148</v>
      </c>
      <c r="C22" s="112" t="s">
        <v>149</v>
      </c>
      <c r="D22" s="491" t="str">
        <f t="shared" si="0"/>
        <v>kadeskadekeien</v>
      </c>
      <c r="E22" s="714">
        <f t="shared" si="1"/>
        <v>265000</v>
      </c>
      <c r="F22" s="533">
        <v>60</v>
      </c>
      <c r="G22" s="533">
        <f>E22</f>
        <v>265000</v>
      </c>
      <c r="H22" s="326">
        <v>107.95015002391374</v>
      </c>
      <c r="I22" s="116">
        <f>H22*G22</f>
        <v>28606789.75633714</v>
      </c>
      <c r="J22" s="117"/>
      <c r="K22" s="118"/>
      <c r="L22" s="326"/>
      <c r="M22" s="120"/>
      <c r="N22" s="117"/>
      <c r="O22" s="118"/>
      <c r="P22" s="326"/>
      <c r="Q22" s="120"/>
      <c r="R22" s="121"/>
      <c r="S22" s="118"/>
      <c r="T22" s="326"/>
      <c r="U22" s="120"/>
      <c r="V22" s="122">
        <f t="shared" si="4"/>
        <v>28606789.75633714</v>
      </c>
      <c r="W22" s="84">
        <f t="shared" si="13"/>
        <v>0</v>
      </c>
      <c r="X22" s="512">
        <v>98.536816706133322</v>
      </c>
      <c r="Y22" s="540">
        <f t="shared" si="5"/>
        <v>0.84146707175661584</v>
      </c>
      <c r="Z22" s="534" t="e">
        <f t="shared" si="9"/>
        <v>#DIV/0!</v>
      </c>
      <c r="AA22" s="86"/>
      <c r="AD22" s="86"/>
      <c r="AE22" s="87"/>
    </row>
    <row r="23" spans="1:31" ht="15.75" customHeight="1" thickBot="1" x14ac:dyDescent="0.3">
      <c r="A23" s="124"/>
      <c r="B23" s="125" t="s">
        <v>150</v>
      </c>
      <c r="C23" s="126" t="s">
        <v>151</v>
      </c>
      <c r="D23" s="492" t="str">
        <f t="shared" si="0"/>
        <v>padenhalfverharding</v>
      </c>
      <c r="E23" s="715">
        <f t="shared" si="1"/>
        <v>725000</v>
      </c>
      <c r="F23" s="533">
        <v>60</v>
      </c>
      <c r="G23" s="533">
        <f t="shared" ref="G23:G27" si="14">E23</f>
        <v>725000</v>
      </c>
      <c r="H23" s="327">
        <v>77.305678433024994</v>
      </c>
      <c r="I23" s="116">
        <f t="shared" ref="I23:I27" si="15">H23*G23</f>
        <v>56046616.863943122</v>
      </c>
      <c r="J23" s="131"/>
      <c r="K23" s="132"/>
      <c r="L23" s="327"/>
      <c r="M23" s="134"/>
      <c r="N23" s="131"/>
      <c r="O23" s="132"/>
      <c r="P23" s="327"/>
      <c r="Q23" s="134"/>
      <c r="R23" s="135"/>
      <c r="S23" s="132"/>
      <c r="T23" s="327"/>
      <c r="U23" s="134"/>
      <c r="V23" s="122">
        <f t="shared" si="4"/>
        <v>56046616.863943122</v>
      </c>
      <c r="W23" s="84">
        <f t="shared" si="13"/>
        <v>0</v>
      </c>
      <c r="X23" s="513">
        <v>77.305678433024994</v>
      </c>
      <c r="Y23" s="540">
        <f t="shared" si="5"/>
        <v>0.84146707175661584</v>
      </c>
      <c r="Z23" s="534" t="e">
        <f t="shared" si="9"/>
        <v>#DIV/0!</v>
      </c>
      <c r="AA23" s="86"/>
      <c r="AD23" s="86"/>
      <c r="AE23" s="87"/>
    </row>
    <row r="24" spans="1:31" ht="15.75" customHeight="1" thickBot="1" x14ac:dyDescent="0.3">
      <c r="A24" s="124"/>
      <c r="B24" s="125" t="s">
        <v>150</v>
      </c>
      <c r="C24" s="126" t="s">
        <v>152</v>
      </c>
      <c r="D24" s="492" t="str">
        <f t="shared" si="0"/>
        <v>padenasfalt</v>
      </c>
      <c r="E24" s="715">
        <f t="shared" si="1"/>
        <v>618000</v>
      </c>
      <c r="F24" s="533">
        <v>60</v>
      </c>
      <c r="G24" s="533">
        <f t="shared" si="14"/>
        <v>618000</v>
      </c>
      <c r="H24" s="327">
        <v>50.580205349958845</v>
      </c>
      <c r="I24" s="116">
        <f t="shared" si="15"/>
        <v>31258566.906274565</v>
      </c>
      <c r="J24" s="136"/>
      <c r="K24" s="132"/>
      <c r="L24" s="327"/>
      <c r="M24" s="134"/>
      <c r="N24" s="136"/>
      <c r="O24" s="132"/>
      <c r="P24" s="327"/>
      <c r="Q24" s="134"/>
      <c r="R24" s="137"/>
      <c r="S24" s="132"/>
      <c r="T24" s="327"/>
      <c r="U24" s="134"/>
      <c r="V24" s="122">
        <f t="shared" si="4"/>
        <v>31258566.906274565</v>
      </c>
      <c r="W24" s="84">
        <f t="shared" si="13"/>
        <v>0</v>
      </c>
      <c r="X24" s="513">
        <v>50.580205349958845</v>
      </c>
      <c r="Y24" s="540">
        <f t="shared" si="5"/>
        <v>0.84146707175661584</v>
      </c>
      <c r="Z24" s="534" t="e">
        <f t="shared" si="9"/>
        <v>#DIV/0!</v>
      </c>
      <c r="AA24" s="86"/>
      <c r="AD24" s="86"/>
      <c r="AE24" s="87"/>
    </row>
    <row r="25" spans="1:31" ht="15.75" customHeight="1" thickBot="1" x14ac:dyDescent="0.3">
      <c r="A25" s="138"/>
      <c r="B25" s="125" t="s">
        <v>153</v>
      </c>
      <c r="C25" s="126" t="s">
        <v>138</v>
      </c>
      <c r="D25" s="492" t="str">
        <f t="shared" si="0"/>
        <v>diversendiverse verharding</v>
      </c>
      <c r="E25" s="715">
        <f t="shared" si="1"/>
        <v>5550</v>
      </c>
      <c r="F25" s="533">
        <v>60</v>
      </c>
      <c r="G25" s="533">
        <f t="shared" si="14"/>
        <v>5550</v>
      </c>
      <c r="H25" s="327">
        <v>78.732300000000009</v>
      </c>
      <c r="I25" s="116">
        <f t="shared" si="15"/>
        <v>436964.26500000007</v>
      </c>
      <c r="J25" s="136"/>
      <c r="K25" s="132"/>
      <c r="L25" s="327"/>
      <c r="M25" s="134"/>
      <c r="N25" s="136"/>
      <c r="O25" s="132"/>
      <c r="P25" s="327"/>
      <c r="Q25" s="134"/>
      <c r="R25" s="137"/>
      <c r="S25" s="132"/>
      <c r="T25" s="327"/>
      <c r="U25" s="134"/>
      <c r="V25" s="122">
        <f t="shared" si="4"/>
        <v>436964.26500000007</v>
      </c>
      <c r="W25" s="84">
        <f t="shared" si="13"/>
        <v>0</v>
      </c>
      <c r="X25" s="513">
        <f>X15</f>
        <v>68.843100000000007</v>
      </c>
      <c r="Y25" s="540">
        <f t="shared" si="5"/>
        <v>0.84146707175661584</v>
      </c>
      <c r="Z25" s="534" t="e">
        <f t="shared" si="9"/>
        <v>#DIV/0!</v>
      </c>
      <c r="AA25" s="86"/>
      <c r="AD25" s="86"/>
      <c r="AE25" s="87"/>
    </row>
    <row r="26" spans="1:31" ht="15.75" customHeight="1" thickBot="1" x14ac:dyDescent="0.3">
      <c r="A26" s="138"/>
      <c r="B26" s="517" t="s">
        <v>154</v>
      </c>
      <c r="C26" s="518" t="s">
        <v>125</v>
      </c>
      <c r="D26" s="519" t="str">
        <f t="shared" si="0"/>
        <v xml:space="preserve">industriewegenasfalt </v>
      </c>
      <c r="E26" s="715">
        <f t="shared" si="1"/>
        <v>305000</v>
      </c>
      <c r="F26" s="533">
        <f>F22</f>
        <v>60</v>
      </c>
      <c r="G26" s="533">
        <f t="shared" si="14"/>
        <v>305000</v>
      </c>
      <c r="H26" s="516">
        <f>H22</f>
        <v>107.95015002391374</v>
      </c>
      <c r="I26" s="116">
        <f t="shared" si="15"/>
        <v>32924795.75729369</v>
      </c>
      <c r="J26" s="136"/>
      <c r="K26" s="132"/>
      <c r="L26" s="516"/>
      <c r="M26" s="514"/>
      <c r="N26" s="136"/>
      <c r="O26" s="132"/>
      <c r="P26" s="327"/>
      <c r="Q26" s="134"/>
      <c r="R26" s="137"/>
      <c r="S26" s="132"/>
      <c r="T26" s="327"/>
      <c r="U26" s="134"/>
      <c r="V26" s="122">
        <f t="shared" si="4"/>
        <v>32924795.75729369</v>
      </c>
      <c r="W26" s="84">
        <f t="shared" si="13"/>
        <v>0</v>
      </c>
      <c r="X26" s="515"/>
      <c r="Y26" s="540">
        <f t="shared" si="5"/>
        <v>0.84146707175661584</v>
      </c>
      <c r="Z26" s="534"/>
      <c r="AA26" s="86"/>
      <c r="AD26" s="86"/>
      <c r="AE26" s="87"/>
    </row>
    <row r="27" spans="1:31" ht="15.75" customHeight="1" thickBot="1" x14ac:dyDescent="0.3">
      <c r="A27" s="139"/>
      <c r="B27" s="140" t="s">
        <v>155</v>
      </c>
      <c r="C27" s="126"/>
      <c r="D27" s="492" t="str">
        <f t="shared" si="0"/>
        <v>begraafplaatsen</v>
      </c>
      <c r="E27" s="715">
        <f t="shared" si="1"/>
        <v>219110</v>
      </c>
      <c r="F27" s="533">
        <v>60</v>
      </c>
      <c r="G27" s="533">
        <f t="shared" si="14"/>
        <v>219110</v>
      </c>
      <c r="H27" s="327">
        <v>69</v>
      </c>
      <c r="I27" s="116">
        <f t="shared" si="15"/>
        <v>15118590</v>
      </c>
      <c r="J27" s="131"/>
      <c r="K27" s="129"/>
      <c r="L27" s="327"/>
      <c r="M27" s="141"/>
      <c r="N27" s="131"/>
      <c r="O27" s="142"/>
      <c r="P27" s="327"/>
      <c r="Q27" s="143"/>
      <c r="R27" s="135"/>
      <c r="S27" s="142"/>
      <c r="T27" s="327"/>
      <c r="U27" s="143"/>
      <c r="V27" s="144">
        <f t="shared" si="4"/>
        <v>15118590</v>
      </c>
      <c r="W27" s="84">
        <f t="shared" si="13"/>
        <v>0</v>
      </c>
      <c r="Y27" s="540">
        <f t="shared" si="5"/>
        <v>0.84146707175661584</v>
      </c>
      <c r="Z27" s="534" t="e">
        <f>M27/J27*$Y$29</f>
        <v>#DIV/0!</v>
      </c>
      <c r="AA27" s="86"/>
      <c r="AD27" s="86"/>
      <c r="AE27" s="87"/>
    </row>
    <row r="28" spans="1:31" ht="15.75" customHeight="1" thickBot="1" x14ac:dyDescent="0.3">
      <c r="A28" s="146" t="s">
        <v>88</v>
      </c>
      <c r="B28" s="147"/>
      <c r="C28" s="148" t="s">
        <v>156</v>
      </c>
      <c r="D28" s="493" t="str">
        <f t="shared" si="0"/>
        <v>areaal in m2 en waarde</v>
      </c>
      <c r="E28" s="716">
        <f>SUM(E4:E27)</f>
        <v>25600660</v>
      </c>
      <c r="F28" s="150"/>
      <c r="G28" s="151">
        <f>SUM(G4:G27)</f>
        <v>5983660</v>
      </c>
      <c r="H28" s="151"/>
      <c r="I28" s="152">
        <f>SUM(I4:I27)</f>
        <v>593463301.35837698</v>
      </c>
      <c r="J28" s="153">
        <v>60</v>
      </c>
      <c r="K28" s="151">
        <f>SUM(K4:K27)</f>
        <v>5492760</v>
      </c>
      <c r="L28" s="154"/>
      <c r="M28" s="155">
        <f>SUM(M4:M27)</f>
        <v>413368467.03740412</v>
      </c>
      <c r="N28" s="153">
        <v>40</v>
      </c>
      <c r="O28" s="151">
        <f>SUM(O4:O27)</f>
        <v>8435310</v>
      </c>
      <c r="P28" s="154"/>
      <c r="Q28" s="152">
        <f>SUM(Q4:Q27)</f>
        <v>634815860.09315634</v>
      </c>
      <c r="R28" s="156">
        <v>25</v>
      </c>
      <c r="S28" s="151">
        <f>SUM(S4:S27)</f>
        <v>5688930</v>
      </c>
      <c r="T28" s="154"/>
      <c r="U28" s="152">
        <f>SUM(U4:U27)</f>
        <v>428131626.57445425</v>
      </c>
      <c r="V28" s="157">
        <f>I28+M28+Q28+U28</f>
        <v>2069779255.0633917</v>
      </c>
      <c r="W28" s="157"/>
      <c r="Z28" s="99"/>
      <c r="AA28" s="86"/>
      <c r="AD28" s="86"/>
      <c r="AE28" s="87"/>
    </row>
    <row r="29" spans="1:31" ht="15.75" customHeight="1" x14ac:dyDescent="0.25">
      <c r="A29" s="158" t="s">
        <v>157</v>
      </c>
      <c r="B29" s="159"/>
      <c r="C29" s="160" t="s">
        <v>158</v>
      </c>
      <c r="D29" s="494" t="str">
        <f t="shared" si="0"/>
        <v>investeringen per jaar in €</v>
      </c>
      <c r="E29" s="161"/>
      <c r="F29" s="162"/>
      <c r="G29" s="163"/>
      <c r="H29" s="163"/>
      <c r="I29" s="164">
        <f>I28/F4</f>
        <v>13188073.363519488</v>
      </c>
      <c r="J29" s="165"/>
      <c r="K29" s="163"/>
      <c r="L29" s="166"/>
      <c r="M29" s="167">
        <f>M28/J8</f>
        <v>6889474.4506234024</v>
      </c>
      <c r="N29" s="165"/>
      <c r="O29" s="163"/>
      <c r="P29" s="166"/>
      <c r="Q29" s="167">
        <f>Q28/N8</f>
        <v>15870396.502328908</v>
      </c>
      <c r="R29" s="168"/>
      <c r="S29" s="163"/>
      <c r="T29" s="166"/>
      <c r="U29" s="167">
        <f>U28/R8</f>
        <v>17125265.062978171</v>
      </c>
      <c r="V29" s="169"/>
      <c r="W29" s="170">
        <f>SUM(I29:U29)</f>
        <v>53073209.379449971</v>
      </c>
      <c r="Y29" s="535">
        <f>Z29/W29</f>
        <v>0.84146707175661584</v>
      </c>
      <c r="Z29" s="171">
        <v>44659358.085251525</v>
      </c>
      <c r="AA29" s="171">
        <v>49812360.941242091</v>
      </c>
      <c r="AB29" s="171"/>
      <c r="AC29" s="171">
        <v>33494518.563938648</v>
      </c>
      <c r="AD29" s="171">
        <v>23188512.851957526</v>
      </c>
      <c r="AE29" s="171">
        <v>33494518.563938648</v>
      </c>
    </row>
    <row r="30" spans="1:31" ht="15.75" customHeight="1" x14ac:dyDescent="0.25">
      <c r="A30" s="790" t="s">
        <v>159</v>
      </c>
      <c r="B30" s="172" t="s">
        <v>160</v>
      </c>
      <c r="C30" s="173" t="s">
        <v>161</v>
      </c>
      <c r="D30" s="495" t="str">
        <f t="shared" si="0"/>
        <v>bankenstuks</v>
      </c>
      <c r="E30" s="174">
        <v>9797</v>
      </c>
      <c r="F30" s="533">
        <f>I30/W30</f>
        <v>30</v>
      </c>
      <c r="G30" s="176"/>
      <c r="H30" s="520">
        <f>I30/E30</f>
        <v>1580</v>
      </c>
      <c r="I30" s="177">
        <v>15479260</v>
      </c>
      <c r="J30" s="178"/>
      <c r="K30" s="176"/>
      <c r="L30" s="179"/>
      <c r="M30" s="177"/>
      <c r="N30" s="178"/>
      <c r="O30" s="176"/>
      <c r="P30" s="179"/>
      <c r="Q30" s="177"/>
      <c r="R30" s="180"/>
      <c r="S30" s="176"/>
      <c r="T30" s="179"/>
      <c r="U30" s="177"/>
      <c r="V30" s="181">
        <f>I30</f>
        <v>15479260</v>
      </c>
      <c r="W30" s="182">
        <v>515975.33333333331</v>
      </c>
      <c r="X30" s="536"/>
      <c r="Y30">
        <v>1</v>
      </c>
      <c r="Z30" s="171">
        <f>W30</f>
        <v>515975.33333333331</v>
      </c>
      <c r="AA30" s="183">
        <f>W30</f>
        <v>515975.33333333331</v>
      </c>
      <c r="AB30" s="457"/>
      <c r="AC30" s="9">
        <f>W30</f>
        <v>515975.33333333331</v>
      </c>
      <c r="AD30" s="184">
        <f>W30</f>
        <v>515975.33333333331</v>
      </c>
      <c r="AE30" s="185">
        <f>W30</f>
        <v>515975.33333333331</v>
      </c>
    </row>
    <row r="31" spans="1:31" ht="15.75" customHeight="1" x14ac:dyDescent="0.25">
      <c r="A31" s="791"/>
      <c r="B31" s="186" t="s">
        <v>162</v>
      </c>
      <c r="C31" s="187" t="s">
        <v>161</v>
      </c>
      <c r="D31" s="496" t="str">
        <f t="shared" si="0"/>
        <v>straatmeubilairstuks</v>
      </c>
      <c r="E31" s="188">
        <v>50000</v>
      </c>
      <c r="F31" s="533">
        <f t="shared" ref="F31:F32" si="16">I31/W31</f>
        <v>28.05523585587764</v>
      </c>
      <c r="G31" s="190"/>
      <c r="H31" s="520">
        <f t="shared" ref="H31:H32" si="17">I31/E31</f>
        <v>362.80180000000001</v>
      </c>
      <c r="I31" s="191">
        <v>18140090</v>
      </c>
      <c r="J31" s="192"/>
      <c r="K31" s="190"/>
      <c r="L31" s="193"/>
      <c r="M31" s="191"/>
      <c r="N31" s="192"/>
      <c r="O31" s="190"/>
      <c r="P31" s="193"/>
      <c r="Q31" s="191"/>
      <c r="R31" s="194"/>
      <c r="S31" s="190"/>
      <c r="T31" s="193"/>
      <c r="U31" s="191"/>
      <c r="V31" s="195">
        <f>I31</f>
        <v>18140090</v>
      </c>
      <c r="W31" s="182">
        <v>646584.83333333326</v>
      </c>
      <c r="Y31">
        <v>1</v>
      </c>
      <c r="Z31" s="171">
        <f>W31</f>
        <v>646584.83333333326</v>
      </c>
      <c r="AA31" s="183">
        <f>W31</f>
        <v>646584.83333333326</v>
      </c>
      <c r="AB31" s="457"/>
      <c r="AC31" s="9">
        <f>W31</f>
        <v>646584.83333333326</v>
      </c>
      <c r="AD31" s="184">
        <f>W31</f>
        <v>646584.83333333326</v>
      </c>
      <c r="AE31" s="185">
        <f>W31</f>
        <v>646584.83333333326</v>
      </c>
    </row>
    <row r="32" spans="1:31" ht="15.75" customHeight="1" x14ac:dyDescent="0.25">
      <c r="A32" s="792"/>
      <c r="B32" s="196" t="s">
        <v>163</v>
      </c>
      <c r="C32" s="197"/>
      <c r="D32" s="497" t="str">
        <f t="shared" si="0"/>
        <v>bewegwijzering</v>
      </c>
      <c r="E32" s="198">
        <v>15000</v>
      </c>
      <c r="F32" s="533">
        <f t="shared" si="16"/>
        <v>25.431100790767985</v>
      </c>
      <c r="G32" s="200"/>
      <c r="H32" s="520">
        <f t="shared" si="17"/>
        <v>558.98373333333336</v>
      </c>
      <c r="I32" s="201">
        <v>8384756</v>
      </c>
      <c r="J32" s="202"/>
      <c r="K32" s="200"/>
      <c r="L32" s="203"/>
      <c r="M32" s="201"/>
      <c r="N32" s="202"/>
      <c r="O32" s="200"/>
      <c r="P32" s="203"/>
      <c r="Q32" s="201"/>
      <c r="R32" s="202"/>
      <c r="S32" s="200"/>
      <c r="T32" s="203"/>
      <c r="U32" s="201"/>
      <c r="V32" s="204">
        <f>I32</f>
        <v>8384756</v>
      </c>
      <c r="W32" s="205">
        <v>329704.8</v>
      </c>
      <c r="Y32">
        <v>1</v>
      </c>
      <c r="Z32" s="171">
        <f>W32</f>
        <v>329704.8</v>
      </c>
      <c r="AA32" s="206">
        <f>W32</f>
        <v>329704.8</v>
      </c>
      <c r="AB32" s="457"/>
      <c r="AC32" s="9">
        <f>W32</f>
        <v>329704.8</v>
      </c>
      <c r="AD32" s="184">
        <f>W32</f>
        <v>329704.8</v>
      </c>
      <c r="AE32" s="185">
        <f>W32</f>
        <v>329704.8</v>
      </c>
    </row>
    <row r="33" spans="1:31" x14ac:dyDescent="0.25">
      <c r="E33" s="2"/>
      <c r="I33" s="207"/>
      <c r="J33" s="1"/>
      <c r="K33" s="1"/>
      <c r="V33" s="208">
        <f>SUM(V28:V32)</f>
        <v>2111783361.0633917</v>
      </c>
      <c r="W33" s="209">
        <f>SUM(W29:W32)</f>
        <v>54565474.34611664</v>
      </c>
      <c r="Z33" s="210">
        <f>SUM(Z29:Z32)</f>
        <v>46151623.051918194</v>
      </c>
      <c r="AA33" s="211">
        <f>SUM(AA29:AA32)</f>
        <v>51304625.90790876</v>
      </c>
      <c r="AB33" s="212"/>
      <c r="AC33" s="212">
        <f>SUM(AC29:AC32)</f>
        <v>34986783.530605316</v>
      </c>
      <c r="AD33" s="211">
        <f>SUM(AD29:AD32)</f>
        <v>24680777.818624191</v>
      </c>
      <c r="AE33" s="213">
        <f>SUM(AE29:AE32)</f>
        <v>34986783.530605316</v>
      </c>
    </row>
    <row r="34" spans="1:31" x14ac:dyDescent="0.25">
      <c r="C34" s="214" t="s">
        <v>164</v>
      </c>
      <c r="D34" s="214"/>
      <c r="E34" s="215">
        <v>0.03</v>
      </c>
      <c r="V34" s="216">
        <f>V33*E34</f>
        <v>63353500.831901751</v>
      </c>
      <c r="W34" s="217">
        <f>E34*W33</f>
        <v>1636964.2303834991</v>
      </c>
      <c r="Z34" s="218">
        <f>E34*Z33</f>
        <v>1384548.6915575457</v>
      </c>
      <c r="AA34" s="219">
        <f>E34*$AA$33</f>
        <v>1539138.7772372628</v>
      </c>
      <c r="AB34" s="219"/>
      <c r="AC34" s="219">
        <f>E34*$AC$33</f>
        <v>1049603.5059181594</v>
      </c>
      <c r="AD34" s="219">
        <f>E34*$AD$33</f>
        <v>740423.33455872571</v>
      </c>
      <c r="AE34" s="220">
        <f>E34*$AE$33</f>
        <v>1049603.5059181594</v>
      </c>
    </row>
    <row r="35" spans="1:31" x14ac:dyDescent="0.25">
      <c r="C35" s="214" t="s">
        <v>165</v>
      </c>
      <c r="D35" s="214"/>
      <c r="E35" s="215">
        <v>0.05</v>
      </c>
      <c r="V35" s="216">
        <f>V33*E35</f>
        <v>105589168.05316959</v>
      </c>
      <c r="W35" s="216">
        <f>E35*W33</f>
        <v>2728273.7173058321</v>
      </c>
      <c r="Z35" s="218">
        <f>E35*Z33</f>
        <v>2307581.1525959098</v>
      </c>
      <c r="AA35" s="221">
        <f t="shared" ref="AA35:AA38" si="18">E35*$AA$33</f>
        <v>2565231.2953954381</v>
      </c>
      <c r="AB35" s="221"/>
      <c r="AC35" s="221">
        <f t="shared" ref="AC35:AC38" si="19">E35*$AC$33</f>
        <v>1749339.1765302659</v>
      </c>
      <c r="AD35" s="221">
        <f t="shared" ref="AD35:AD38" si="20">E35*$AD$33</f>
        <v>1234038.8909312095</v>
      </c>
      <c r="AE35" s="222">
        <f t="shared" ref="AE35:AE38" si="21">E35*$AE$33</f>
        <v>1749339.1765302659</v>
      </c>
    </row>
    <row r="36" spans="1:31" x14ac:dyDescent="0.25">
      <c r="C36" s="214" t="s">
        <v>166</v>
      </c>
      <c r="D36" s="214"/>
      <c r="E36" s="215">
        <v>0.1</v>
      </c>
      <c r="V36" s="216">
        <f>V33*E36</f>
        <v>211178336.10633919</v>
      </c>
      <c r="W36" s="216">
        <f>E36*W33</f>
        <v>5456547.4346116642</v>
      </c>
      <c r="Z36" s="218">
        <f>E36*Z33</f>
        <v>4615162.3051918196</v>
      </c>
      <c r="AA36" s="221">
        <f t="shared" si="18"/>
        <v>5130462.5907908762</v>
      </c>
      <c r="AB36" s="221"/>
      <c r="AC36" s="221">
        <f t="shared" si="19"/>
        <v>3498678.3530605319</v>
      </c>
      <c r="AD36" s="221">
        <f t="shared" si="20"/>
        <v>2468077.7818624191</v>
      </c>
      <c r="AE36" s="222">
        <f t="shared" si="21"/>
        <v>3498678.3530605319</v>
      </c>
    </row>
    <row r="37" spans="1:31" x14ac:dyDescent="0.25">
      <c r="C37" s="214" t="s">
        <v>167</v>
      </c>
      <c r="D37" s="214"/>
      <c r="E37" s="215">
        <v>0.06</v>
      </c>
      <c r="V37" s="216">
        <f>V33*E37</f>
        <v>126707001.6638035</v>
      </c>
      <c r="W37" s="216">
        <f>E37*W33</f>
        <v>3273928.4607669981</v>
      </c>
      <c r="Z37" s="218">
        <f>E37*Z33</f>
        <v>2769097.3831150914</v>
      </c>
      <c r="AA37" s="221">
        <f t="shared" si="18"/>
        <v>3078277.5544745256</v>
      </c>
      <c r="AB37" s="221"/>
      <c r="AC37" s="221">
        <f t="shared" si="19"/>
        <v>2099207.0118363188</v>
      </c>
      <c r="AD37" s="221">
        <f t="shared" si="20"/>
        <v>1480846.6691174514</v>
      </c>
      <c r="AE37" s="222">
        <f t="shared" si="21"/>
        <v>2099207.0118363188</v>
      </c>
    </row>
    <row r="38" spans="1:31" x14ac:dyDescent="0.25">
      <c r="C38" s="214" t="s">
        <v>168</v>
      </c>
      <c r="D38" s="214"/>
      <c r="E38" s="215">
        <v>0.05</v>
      </c>
      <c r="V38" s="216">
        <f>V33*E38</f>
        <v>105589168.05316959</v>
      </c>
      <c r="W38" s="216">
        <f>E38*W33</f>
        <v>2728273.7173058321</v>
      </c>
      <c r="Z38" s="223">
        <f>E38*Z33</f>
        <v>2307581.1525959098</v>
      </c>
      <c r="AA38" s="224">
        <f t="shared" si="18"/>
        <v>2565231.2953954381</v>
      </c>
      <c r="AB38" s="224"/>
      <c r="AC38" s="224">
        <f t="shared" si="19"/>
        <v>1749339.1765302659</v>
      </c>
      <c r="AD38" s="224">
        <f t="shared" si="20"/>
        <v>1234038.8909312095</v>
      </c>
      <c r="AE38" s="225">
        <f t="shared" si="21"/>
        <v>1749339.1765302659</v>
      </c>
    </row>
    <row r="39" spans="1:31" x14ac:dyDescent="0.25">
      <c r="V39" s="226">
        <f>SUM(V33:V38)</f>
        <v>2724200535.7717752</v>
      </c>
      <c r="W39" s="226">
        <f>SUM(W33:W38)</f>
        <v>70389461.906490475</v>
      </c>
      <c r="Z39" s="226">
        <f>SUM(Z33:Z38)</f>
        <v>59535593.73697447</v>
      </c>
      <c r="AA39" s="226">
        <f>SUM(AA33:AA38)</f>
        <v>66182967.421202309</v>
      </c>
      <c r="AB39" s="226"/>
      <c r="AC39" s="226">
        <f>SUM(AC33:AC38)</f>
        <v>45132950.754480854</v>
      </c>
      <c r="AD39" s="226">
        <f>SUM(AD33:AD38)</f>
        <v>31838203.386025205</v>
      </c>
      <c r="AE39" s="226">
        <f>SUM(AE33:AE38)</f>
        <v>45132950.754480854</v>
      </c>
    </row>
    <row r="41" spans="1:31" x14ac:dyDescent="0.25">
      <c r="C41" s="227" t="s">
        <v>169</v>
      </c>
      <c r="D41" s="227"/>
      <c r="W41" s="228">
        <v>-6000000</v>
      </c>
      <c r="X41" s="229"/>
      <c r="Y41" s="229"/>
      <c r="Z41" s="228">
        <f>W41</f>
        <v>-6000000</v>
      </c>
      <c r="AA41" s="228">
        <f>W41</f>
        <v>-6000000</v>
      </c>
      <c r="AB41" s="228"/>
      <c r="AC41" s="228">
        <f>W41</f>
        <v>-6000000</v>
      </c>
      <c r="AD41" s="228">
        <f>W41</f>
        <v>-6000000</v>
      </c>
      <c r="AE41" s="228">
        <f>W41</f>
        <v>-6000000</v>
      </c>
    </row>
    <row r="43" spans="1:31" x14ac:dyDescent="0.25">
      <c r="W43" s="230">
        <f>W39+W41</f>
        <v>64389461.906490475</v>
      </c>
      <c r="Z43" s="231">
        <f>Z39+Z41</f>
        <v>53535593.73697447</v>
      </c>
      <c r="AA43" s="231">
        <f t="shared" ref="AA43:AD43" si="22">AA39+AA41</f>
        <v>60182967.421202309</v>
      </c>
      <c r="AB43" s="231"/>
      <c r="AC43" s="231">
        <f t="shared" si="22"/>
        <v>39132950.754480854</v>
      </c>
      <c r="AD43" s="231">
        <f t="shared" si="22"/>
        <v>25838203.386025205</v>
      </c>
      <c r="AE43" s="232">
        <f>AE39+AE41</f>
        <v>39132950.754480854</v>
      </c>
    </row>
    <row r="44" spans="1:31" x14ac:dyDescent="0.25">
      <c r="A44" s="8" t="s">
        <v>170</v>
      </c>
      <c r="W44" s="233"/>
      <c r="Z44" s="233"/>
      <c r="AA44" s="233"/>
      <c r="AB44" s="233"/>
      <c r="AC44" s="233"/>
      <c r="AD44" s="233"/>
      <c r="AE44" s="233"/>
    </row>
    <row r="45" spans="1:31" ht="15.75" customHeight="1" x14ac:dyDescent="0.25">
      <c r="A45" s="793" t="s">
        <v>170</v>
      </c>
      <c r="B45" s="234" t="s">
        <v>171</v>
      </c>
      <c r="C45" s="235" t="s">
        <v>172</v>
      </c>
      <c r="D45" s="498"/>
      <c r="E45" s="236">
        <v>2584500</v>
      </c>
      <c r="F45" s="237"/>
      <c r="G45" s="238"/>
      <c r="H45" s="238"/>
      <c r="I45" s="239"/>
      <c r="J45" s="240">
        <v>60</v>
      </c>
      <c r="K45" s="238">
        <f>E45*M1</f>
        <v>723660.00000000012</v>
      </c>
      <c r="L45" s="241">
        <f>L10-L9</f>
        <v>12.509100000000004</v>
      </c>
      <c r="M45" s="239">
        <f>K45*L45</f>
        <v>9052335.3060000036</v>
      </c>
      <c r="N45" s="240">
        <v>40</v>
      </c>
      <c r="O45" s="238">
        <f>E45*Q1</f>
        <v>1111335</v>
      </c>
      <c r="P45" s="241">
        <f>P10-P9</f>
        <v>12.509100000000004</v>
      </c>
      <c r="Q45" s="239">
        <f>O45*P45</f>
        <v>13901800.648500005</v>
      </c>
      <c r="R45" s="240">
        <v>25</v>
      </c>
      <c r="S45" s="238">
        <f>E45*U1</f>
        <v>749505</v>
      </c>
      <c r="T45" s="241">
        <f>T10-T9</f>
        <v>12.509100000000004</v>
      </c>
      <c r="U45" s="239">
        <f>S45*T45</f>
        <v>9375632.9955000021</v>
      </c>
      <c r="V45" s="242">
        <f>M45+Q45+U45</f>
        <v>32329768.95000001</v>
      </c>
      <c r="W45" s="243"/>
      <c r="Z45" s="244"/>
      <c r="AA45" s="245"/>
      <c r="AB45" s="246"/>
      <c r="AC45" s="246"/>
      <c r="AD45" s="245"/>
      <c r="AE45" s="247"/>
    </row>
    <row r="46" spans="1:31" ht="15.75" customHeight="1" x14ac:dyDescent="0.25">
      <c r="A46" s="794"/>
      <c r="B46" s="248" t="s">
        <v>127</v>
      </c>
      <c r="C46" s="249" t="s">
        <v>173</v>
      </c>
      <c r="D46" s="493"/>
      <c r="E46" s="149">
        <v>651000</v>
      </c>
      <c r="F46" s="250"/>
      <c r="G46" s="251"/>
      <c r="H46" s="251">
        <f>H5-H4</f>
        <v>0.68523299999999665</v>
      </c>
      <c r="I46" s="252">
        <f>E46*H46</f>
        <v>446086.68299999781</v>
      </c>
      <c r="J46" s="253"/>
      <c r="K46" s="251"/>
      <c r="L46" s="254"/>
      <c r="M46" s="252"/>
      <c r="N46" s="253"/>
      <c r="O46" s="251"/>
      <c r="P46" s="254"/>
      <c r="Q46" s="252"/>
      <c r="R46" s="253"/>
      <c r="S46" s="251"/>
      <c r="T46" s="254"/>
      <c r="U46" s="252"/>
      <c r="V46" s="255">
        <f>I46</f>
        <v>446086.68299999781</v>
      </c>
      <c r="W46" s="256"/>
      <c r="Z46" s="257"/>
      <c r="AA46" s="184"/>
      <c r="AB46" s="9"/>
      <c r="AC46" s="9"/>
      <c r="AD46" s="184"/>
      <c r="AE46" s="258"/>
    </row>
    <row r="47" spans="1:31" ht="15.75" customHeight="1" x14ac:dyDescent="0.25">
      <c r="A47" s="794"/>
      <c r="B47" s="259" t="s">
        <v>174</v>
      </c>
      <c r="C47" s="249" t="s">
        <v>175</v>
      </c>
      <c r="D47" s="499"/>
      <c r="E47" s="260">
        <v>1828000</v>
      </c>
      <c r="F47" s="261"/>
      <c r="G47" s="251"/>
      <c r="H47" s="251"/>
      <c r="I47" s="262"/>
      <c r="J47" s="263">
        <v>60</v>
      </c>
      <c r="K47" s="251">
        <f>E47*M1</f>
        <v>511840.00000000006</v>
      </c>
      <c r="L47" s="254">
        <f>L11-L9</f>
        <v>4.6862999999999744</v>
      </c>
      <c r="M47" s="252">
        <f>K47*L47</f>
        <v>2398635.7919999873</v>
      </c>
      <c r="N47" s="253">
        <v>40</v>
      </c>
      <c r="O47" s="251">
        <f>E47*Q1</f>
        <v>786040</v>
      </c>
      <c r="P47" s="254">
        <f>P11-P9</f>
        <v>4.6862999999999744</v>
      </c>
      <c r="Q47" s="252">
        <f>O47*P47</f>
        <v>3683619.2519999798</v>
      </c>
      <c r="R47" s="253">
        <v>25</v>
      </c>
      <c r="S47" s="251">
        <f>E47*U1</f>
        <v>530120</v>
      </c>
      <c r="T47" s="254">
        <f>T11-T9</f>
        <v>4.6862999999999744</v>
      </c>
      <c r="U47" s="252">
        <f>S47*T47</f>
        <v>2484301.3559999866</v>
      </c>
      <c r="V47" s="255">
        <f>U47+Q47+M47</f>
        <v>8566556.3999999538</v>
      </c>
      <c r="W47" s="256"/>
      <c r="Z47" s="257"/>
      <c r="AA47" s="184"/>
      <c r="AB47" s="9"/>
      <c r="AC47" s="9"/>
      <c r="AD47" s="184"/>
      <c r="AE47" s="258"/>
    </row>
    <row r="48" spans="1:31" s="275" customFormat="1" ht="15.75" customHeight="1" x14ac:dyDescent="0.25">
      <c r="A48" s="795"/>
      <c r="B48" s="264"/>
      <c r="C48" s="265"/>
      <c r="D48" s="500"/>
      <c r="E48" s="266"/>
      <c r="F48" s="267"/>
      <c r="G48" s="268"/>
      <c r="H48" s="268"/>
      <c r="I48" s="269">
        <f>SUM(I45:I47)/45</f>
        <v>9913.037399999952</v>
      </c>
      <c r="J48" s="270"/>
      <c r="K48" s="268"/>
      <c r="L48" s="271"/>
      <c r="M48" s="269">
        <f>SUM(M45:M47)/J8</f>
        <v>190849.51829999982</v>
      </c>
      <c r="N48" s="270"/>
      <c r="O48" s="268"/>
      <c r="P48" s="271"/>
      <c r="Q48" s="269">
        <f>SUM(Q45:Q47)/N8</f>
        <v>439635.49751249963</v>
      </c>
      <c r="R48" s="272"/>
      <c r="S48" s="268"/>
      <c r="T48" s="271"/>
      <c r="U48" s="269">
        <f>SUM(U45:U47)/R8</f>
        <v>474397.37405999959</v>
      </c>
      <c r="V48" s="273"/>
      <c r="W48" s="274">
        <f>SUM(I48:U48)</f>
        <v>1114795.4272724991</v>
      </c>
      <c r="Z48" s="276">
        <v>836254.88173953397</v>
      </c>
      <c r="AA48" s="277">
        <v>932745.82963255723</v>
      </c>
      <c r="AB48" s="278"/>
      <c r="AC48" s="278">
        <v>627191.1613046506</v>
      </c>
      <c r="AD48" s="277">
        <v>434209.26551860425</v>
      </c>
      <c r="AE48" s="279">
        <v>627191.1613046506</v>
      </c>
    </row>
    <row r="49" spans="1:33" x14ac:dyDescent="0.25">
      <c r="W49" s="233"/>
      <c r="Z49" s="233"/>
      <c r="AA49" s="233"/>
      <c r="AB49" s="233"/>
      <c r="AC49" s="233"/>
      <c r="AD49" s="233"/>
      <c r="AE49" s="233"/>
    </row>
    <row r="50" spans="1:33" x14ac:dyDescent="0.25">
      <c r="W50" s="233"/>
      <c r="Z50" s="233"/>
      <c r="AA50" s="233"/>
      <c r="AB50" s="233"/>
      <c r="AC50" s="233"/>
      <c r="AD50" s="233"/>
      <c r="AE50" s="233"/>
    </row>
    <row r="51" spans="1:33" x14ac:dyDescent="0.25">
      <c r="W51" s="233"/>
      <c r="Z51" s="233"/>
      <c r="AA51" s="233"/>
      <c r="AB51" s="233"/>
      <c r="AC51" s="233"/>
      <c r="AD51" s="233"/>
      <c r="AE51" s="233"/>
    </row>
    <row r="52" spans="1:33" x14ac:dyDescent="0.25">
      <c r="W52" s="233"/>
      <c r="Z52" s="233"/>
      <c r="AA52" s="233"/>
      <c r="AB52" s="233"/>
      <c r="AC52" s="233"/>
      <c r="AD52" s="233"/>
      <c r="AE52" s="233"/>
    </row>
    <row r="54" spans="1:33" x14ac:dyDescent="0.25">
      <c r="E54" t="s">
        <v>176</v>
      </c>
    </row>
    <row r="55" spans="1:33" ht="21" x14ac:dyDescent="0.35">
      <c r="A55" s="796" t="s">
        <v>177</v>
      </c>
      <c r="B55" s="797"/>
      <c r="C55" s="797"/>
      <c r="D55" s="797"/>
      <c r="E55" s="797"/>
      <c r="F55" s="797"/>
      <c r="G55" s="797"/>
      <c r="H55" s="797"/>
      <c r="I55" s="797"/>
      <c r="J55" s="797"/>
      <c r="K55" s="797"/>
      <c r="L55" s="797"/>
      <c r="M55" s="797"/>
      <c r="N55" s="797"/>
      <c r="O55" s="797"/>
      <c r="P55" s="797"/>
      <c r="Q55" s="797"/>
      <c r="R55" s="797"/>
      <c r="S55" s="797"/>
      <c r="T55" s="797"/>
      <c r="U55" s="797"/>
      <c r="V55" s="798"/>
      <c r="W55" s="280"/>
    </row>
    <row r="56" spans="1:33" x14ac:dyDescent="0.25">
      <c r="A56" s="281"/>
      <c r="B56" s="281"/>
      <c r="C56" s="281"/>
      <c r="D56" s="281"/>
      <c r="E56" s="281"/>
      <c r="F56" s="281"/>
      <c r="G56" s="282"/>
      <c r="H56" s="283"/>
      <c r="I56" s="283"/>
      <c r="J56" s="283"/>
      <c r="K56" s="283"/>
      <c r="L56" s="283"/>
      <c r="M56" s="283"/>
      <c r="N56" s="283"/>
      <c r="O56" s="283"/>
      <c r="P56" s="283"/>
      <c r="Q56" s="283"/>
      <c r="R56" s="283"/>
      <c r="S56" s="283"/>
      <c r="T56" s="283"/>
      <c r="U56" s="283"/>
      <c r="V56" s="284"/>
      <c r="W56" s="4"/>
    </row>
    <row r="57" spans="1:33" ht="15.75" customHeight="1" x14ac:dyDescent="0.25">
      <c r="A57" s="781" t="s">
        <v>93</v>
      </c>
      <c r="B57" s="782"/>
      <c r="C57" s="783"/>
      <c r="D57" s="483"/>
      <c r="E57" s="13" t="s">
        <v>94</v>
      </c>
      <c r="F57" s="526" t="s">
        <v>95</v>
      </c>
      <c r="G57" s="526" t="s">
        <v>96</v>
      </c>
      <c r="H57" s="526" t="s">
        <v>97</v>
      </c>
      <c r="I57" s="527"/>
      <c r="J57" s="528" t="s">
        <v>98</v>
      </c>
      <c r="K57" s="528" t="s">
        <v>99</v>
      </c>
      <c r="L57" s="528" t="s">
        <v>100</v>
      </c>
      <c r="M57" s="529">
        <v>0.28000000000000003</v>
      </c>
      <c r="N57" s="528" t="s">
        <v>101</v>
      </c>
      <c r="O57" s="528" t="s">
        <v>102</v>
      </c>
      <c r="P57" s="528" t="s">
        <v>103</v>
      </c>
      <c r="Q57" s="529">
        <v>0.43</v>
      </c>
      <c r="R57" s="528" t="s">
        <v>104</v>
      </c>
      <c r="S57" s="528" t="s">
        <v>105</v>
      </c>
      <c r="T57" s="528" t="s">
        <v>106</v>
      </c>
      <c r="U57" s="530">
        <v>0.28999999999999998</v>
      </c>
      <c r="V57" s="408"/>
      <c r="W57" s="417"/>
      <c r="X57" s="418"/>
      <c r="Y57" s="418"/>
      <c r="Z57" s="418"/>
      <c r="AA57" s="419"/>
    </row>
    <row r="58" spans="1:33" ht="48" customHeight="1" x14ac:dyDescent="0.25">
      <c r="A58" s="18" t="s">
        <v>107</v>
      </c>
      <c r="B58" s="19" t="s">
        <v>108</v>
      </c>
      <c r="C58" s="20" t="s">
        <v>109</v>
      </c>
      <c r="D58" s="484" t="s">
        <v>110</v>
      </c>
      <c r="E58" s="21" t="s">
        <v>111</v>
      </c>
      <c r="F58" s="22" t="s">
        <v>112</v>
      </c>
      <c r="G58" s="23" t="s">
        <v>113</v>
      </c>
      <c r="H58" s="23" t="s">
        <v>114</v>
      </c>
      <c r="I58" s="24" t="s">
        <v>178</v>
      </c>
      <c r="J58" s="22" t="s">
        <v>112</v>
      </c>
      <c r="K58" s="23" t="s">
        <v>113</v>
      </c>
      <c r="L58" s="23" t="s">
        <v>114</v>
      </c>
      <c r="M58" s="25" t="s">
        <v>115</v>
      </c>
      <c r="N58" s="22" t="s">
        <v>112</v>
      </c>
      <c r="O58" s="23" t="s">
        <v>113</v>
      </c>
      <c r="P58" s="23" t="s">
        <v>114</v>
      </c>
      <c r="Q58" s="25" t="s">
        <v>115</v>
      </c>
      <c r="R58" s="22" t="s">
        <v>112</v>
      </c>
      <c r="S58" s="23" t="s">
        <v>113</v>
      </c>
      <c r="T58" s="23" t="s">
        <v>114</v>
      </c>
      <c r="U58" s="25" t="s">
        <v>115</v>
      </c>
      <c r="V58" s="409" t="s">
        <v>179</v>
      </c>
      <c r="W58" s="420" t="s">
        <v>180</v>
      </c>
      <c r="X58" s="406" t="s">
        <v>181</v>
      </c>
      <c r="Y58" s="406"/>
      <c r="Z58" s="424" t="s">
        <v>182</v>
      </c>
      <c r="AA58" s="425" t="s">
        <v>183</v>
      </c>
      <c r="AB58" s="458" t="s">
        <v>184</v>
      </c>
      <c r="AC58" t="s">
        <v>185</v>
      </c>
      <c r="AD58" t="s">
        <v>186</v>
      </c>
      <c r="AE58" t="s">
        <v>187</v>
      </c>
      <c r="AF58" t="s">
        <v>188</v>
      </c>
      <c r="AG58" t="s">
        <v>38</v>
      </c>
    </row>
    <row r="59" spans="1:33" x14ac:dyDescent="0.25">
      <c r="A59" s="784" t="s">
        <v>123</v>
      </c>
      <c r="B59" s="31" t="s">
        <v>124</v>
      </c>
      <c r="C59" s="32" t="s">
        <v>125</v>
      </c>
      <c r="D59" s="485" t="str">
        <f>B59&amp;C59</f>
        <v xml:space="preserve">rijbaan - asfaltasfalt </v>
      </c>
      <c r="E59" s="33">
        <v>2622000</v>
      </c>
      <c r="F59" s="34">
        <v>45</v>
      </c>
      <c r="G59" s="35">
        <f>E59</f>
        <v>2622000</v>
      </c>
      <c r="H59" s="36">
        <v>56.2307838981</v>
      </c>
      <c r="I59" s="37">
        <f>G59*H59</f>
        <v>147437115.38081819</v>
      </c>
      <c r="J59" s="34">
        <v>45</v>
      </c>
      <c r="K59" s="38"/>
      <c r="L59" s="36"/>
      <c r="M59" s="39"/>
      <c r="N59" s="34"/>
      <c r="O59" s="40"/>
      <c r="P59" s="36"/>
      <c r="Q59" s="41"/>
      <c r="R59" s="42"/>
      <c r="S59" s="40"/>
      <c r="T59" s="36"/>
      <c r="U59" s="41"/>
      <c r="V59" s="410">
        <f>I59/F59</f>
        <v>3276380.3417959595</v>
      </c>
      <c r="W59" s="422">
        <v>0.1</v>
      </c>
      <c r="X59" s="407">
        <f>V59*W59</f>
        <v>327638.034179596</v>
      </c>
      <c r="Y59" s="407"/>
      <c r="Z59" s="455">
        <f>E59*(120000/25600600)</f>
        <v>12290.336945227846</v>
      </c>
      <c r="AA59" s="456">
        <f>E59*(75000/4117000)</f>
        <v>47765.363128491626</v>
      </c>
      <c r="AB59" s="456">
        <f>E59*(30000/4117000)</f>
        <v>19106.145251396647</v>
      </c>
      <c r="AD59" s="455">
        <f>E59*(366000/25600600)</f>
        <v>37485.527682944929</v>
      </c>
      <c r="AE59" s="9">
        <f>SUM(Z59:AD59)</f>
        <v>116647.37300806105</v>
      </c>
      <c r="AF59" s="551">
        <f>AE59/V59</f>
        <v>3.5602512785228219E-2</v>
      </c>
      <c r="AG59" s="541">
        <f>1-AF59-W59</f>
        <v>0.86439748721477183</v>
      </c>
    </row>
    <row r="60" spans="1:33" x14ac:dyDescent="0.25">
      <c r="A60" s="785"/>
      <c r="B60" s="47" t="s">
        <v>126</v>
      </c>
      <c r="C60" s="48" t="s">
        <v>127</v>
      </c>
      <c r="D60" s="486" t="str">
        <f t="shared" ref="D60:D91" si="23">B60&amp;C60</f>
        <v>rijbaan stil asfalt</v>
      </c>
      <c r="E60" s="49">
        <v>349000</v>
      </c>
      <c r="F60" s="50">
        <v>45</v>
      </c>
      <c r="G60" s="51">
        <f t="shared" ref="G60:G62" si="24">E60</f>
        <v>349000</v>
      </c>
      <c r="H60" s="52">
        <v>94.903030505099991</v>
      </c>
      <c r="I60" s="53">
        <f>G60*H60</f>
        <v>33121157.646279898</v>
      </c>
      <c r="J60" s="50">
        <v>45</v>
      </c>
      <c r="K60" s="54"/>
      <c r="L60" s="52"/>
      <c r="M60" s="55"/>
      <c r="N60" s="50"/>
      <c r="O60" s="56"/>
      <c r="P60" s="52"/>
      <c r="Q60" s="57"/>
      <c r="R60" s="58"/>
      <c r="S60" s="56"/>
      <c r="T60" s="52"/>
      <c r="U60" s="57"/>
      <c r="V60" s="410">
        <f t="shared" ref="V60:V62" si="25">I60/F60</f>
        <v>736025.72547288658</v>
      </c>
      <c r="W60" s="422">
        <v>0.1</v>
      </c>
      <c r="X60" s="407">
        <f t="shared" ref="X60:X82" si="26">V60*W60</f>
        <v>73602.572547288655</v>
      </c>
      <c r="Y60" s="407"/>
      <c r="Z60" s="455">
        <f t="shared" ref="Z60:Z82" si="27">E60*(120000/25600600)</f>
        <v>1635.89915861347</v>
      </c>
      <c r="AA60" s="456">
        <f>E60*(75000/4117000)</f>
        <v>6357.7847947534619</v>
      </c>
      <c r="AB60" s="456">
        <f>E60*(30000/4117000)</f>
        <v>2543.1139179013844</v>
      </c>
      <c r="AC60" s="9">
        <v>40000</v>
      </c>
      <c r="AD60" s="455">
        <f t="shared" ref="AD60:AD82" si="28">E60*(366000/25600600)</f>
        <v>4989.4924337710836</v>
      </c>
      <c r="AE60" s="9">
        <f t="shared" ref="AE60:AE91" si="29">SUM(Z60:AD60)</f>
        <v>55526.290305039402</v>
      </c>
      <c r="AF60" s="551">
        <f t="shared" ref="AF60:AF91" si="30">AE60/V60</f>
        <v>7.5440692333633458E-2</v>
      </c>
      <c r="AG60" s="541">
        <f t="shared" ref="AG60:AG91" si="31">1-AF60-W60</f>
        <v>0.82455930766636654</v>
      </c>
    </row>
    <row r="61" spans="1:33" x14ac:dyDescent="0.25">
      <c r="A61" s="785"/>
      <c r="B61" s="47" t="s">
        <v>126</v>
      </c>
      <c r="C61" s="48" t="s">
        <v>128</v>
      </c>
      <c r="D61" s="486" t="str">
        <f t="shared" si="23"/>
        <v>rijbaan gefundeerde betonstraatstenen</v>
      </c>
      <c r="E61" s="49">
        <v>690000</v>
      </c>
      <c r="F61" s="50">
        <v>45</v>
      </c>
      <c r="G61" s="51">
        <f t="shared" si="24"/>
        <v>690000</v>
      </c>
      <c r="H61" s="52">
        <v>58.056000000000004</v>
      </c>
      <c r="I61" s="53">
        <f t="shared" ref="I61" si="32">G61*H61</f>
        <v>40058640</v>
      </c>
      <c r="J61" s="50">
        <v>45</v>
      </c>
      <c r="K61" s="54"/>
      <c r="L61" s="52"/>
      <c r="M61" s="55"/>
      <c r="N61" s="50"/>
      <c r="O61" s="56"/>
      <c r="P61" s="52"/>
      <c r="Q61" s="57"/>
      <c r="R61" s="58"/>
      <c r="S61" s="56"/>
      <c r="T61" s="52"/>
      <c r="U61" s="57"/>
      <c r="V61" s="410">
        <f t="shared" si="25"/>
        <v>890192</v>
      </c>
      <c r="W61" s="422">
        <v>0.17499999999999999</v>
      </c>
      <c r="X61" s="407">
        <f t="shared" si="26"/>
        <v>155783.59999999998</v>
      </c>
      <c r="Y61" s="407"/>
      <c r="Z61" s="455">
        <f t="shared" si="27"/>
        <v>3234.2991961125908</v>
      </c>
      <c r="AA61" s="456"/>
      <c r="AB61" s="9"/>
      <c r="AD61" s="455">
        <f t="shared" si="28"/>
        <v>9864.6125481434028</v>
      </c>
      <c r="AE61" s="9">
        <f t="shared" si="29"/>
        <v>13098.911744255995</v>
      </c>
      <c r="AF61" s="551">
        <f t="shared" si="30"/>
        <v>1.4714703956288076E-2</v>
      </c>
      <c r="AG61" s="541">
        <f t="shared" si="31"/>
        <v>0.81028529604371191</v>
      </c>
    </row>
    <row r="62" spans="1:33" x14ac:dyDescent="0.25">
      <c r="A62" s="786"/>
      <c r="B62" s="61" t="s">
        <v>129</v>
      </c>
      <c r="C62" s="62" t="s">
        <v>130</v>
      </c>
      <c r="D62" s="487" t="str">
        <f t="shared" si="23"/>
        <v>rijbaan sbsgefundeerde straatbakstenen</v>
      </c>
      <c r="E62" s="63">
        <v>185000</v>
      </c>
      <c r="F62" s="64">
        <v>45</v>
      </c>
      <c r="G62" s="65">
        <f t="shared" si="24"/>
        <v>185000</v>
      </c>
      <c r="H62" s="66">
        <v>64.525800000000004</v>
      </c>
      <c r="I62" s="67">
        <f>G62*H62</f>
        <v>11937273</v>
      </c>
      <c r="J62" s="64">
        <v>45</v>
      </c>
      <c r="K62" s="354"/>
      <c r="L62" s="66"/>
      <c r="M62" s="69"/>
      <c r="N62" s="64"/>
      <c r="O62" s="355"/>
      <c r="P62" s="66"/>
      <c r="Q62" s="71"/>
      <c r="R62" s="72"/>
      <c r="S62" s="355"/>
      <c r="T62" s="66"/>
      <c r="U62" s="71"/>
      <c r="V62" s="410">
        <f t="shared" si="25"/>
        <v>265272.73333333334</v>
      </c>
      <c r="W62" s="422">
        <v>0.17499999999999999</v>
      </c>
      <c r="X62" s="407">
        <f t="shared" si="26"/>
        <v>46422.728333333333</v>
      </c>
      <c r="Y62" s="407"/>
      <c r="Z62" s="455">
        <f t="shared" si="27"/>
        <v>867.16717576931785</v>
      </c>
      <c r="AA62" s="456"/>
      <c r="AB62" s="9"/>
      <c r="AD62" s="455">
        <f t="shared" si="28"/>
        <v>2644.8598860964198</v>
      </c>
      <c r="AE62" s="9">
        <f t="shared" si="29"/>
        <v>3512.0270618657378</v>
      </c>
      <c r="AF62" s="551">
        <f t="shared" si="30"/>
        <v>1.3239306647670552E-2</v>
      </c>
      <c r="AG62" s="541">
        <f t="shared" si="31"/>
        <v>0.81176069335232937</v>
      </c>
    </row>
    <row r="63" spans="1:33" x14ac:dyDescent="0.25">
      <c r="A63" s="787" t="s">
        <v>132</v>
      </c>
      <c r="B63" s="74" t="s">
        <v>133</v>
      </c>
      <c r="C63" s="75" t="s">
        <v>125</v>
      </c>
      <c r="D63" s="488" t="str">
        <f t="shared" si="23"/>
        <v xml:space="preserve">rijwegenasfalt </v>
      </c>
      <c r="E63" s="76">
        <f>1146000-E81</f>
        <v>841000</v>
      </c>
      <c r="F63" s="77"/>
      <c r="G63" s="78"/>
      <c r="H63" s="78"/>
      <c r="I63" s="79">
        <v>200000</v>
      </c>
      <c r="J63" s="348">
        <v>60</v>
      </c>
      <c r="K63" s="347">
        <f t="shared" ref="K63:K76" si="33">E63*$M$57</f>
        <v>235480.00000000003</v>
      </c>
      <c r="L63" s="351">
        <v>77.059499999999986</v>
      </c>
      <c r="M63" s="79">
        <f>K63*L63</f>
        <v>18145971.059999999</v>
      </c>
      <c r="N63" s="348">
        <v>40</v>
      </c>
      <c r="O63" s="347">
        <f t="shared" ref="O63:O76" si="34">E63*$Q$57</f>
        <v>361630</v>
      </c>
      <c r="P63" s="351">
        <v>56.97359999999999</v>
      </c>
      <c r="Q63" s="79">
        <f>O63*P63</f>
        <v>20603362.967999995</v>
      </c>
      <c r="R63" s="357">
        <v>25</v>
      </c>
      <c r="S63" s="347">
        <f t="shared" ref="S63:S76" si="35">E63*$U$57</f>
        <v>243889.99999999997</v>
      </c>
      <c r="T63" s="351">
        <v>20.085899999999999</v>
      </c>
      <c r="U63" s="79">
        <f>S63*T63</f>
        <v>4898750.1509999987</v>
      </c>
      <c r="V63" s="411">
        <f>M63/J63+Q63/N63+U63/R63</f>
        <v>1013466.9312399998</v>
      </c>
      <c r="W63" s="422">
        <v>0.125</v>
      </c>
      <c r="X63" s="407">
        <f t="shared" si="26"/>
        <v>126683.36640499998</v>
      </c>
      <c r="Y63" s="407"/>
      <c r="Z63" s="455">
        <f t="shared" si="27"/>
        <v>3942.0951071459262</v>
      </c>
      <c r="AA63" s="456">
        <f>E63*(75000/4117000)</f>
        <v>15320.62181199903</v>
      </c>
      <c r="AB63" s="456">
        <f>E63*(30000/4117000)</f>
        <v>6128.2487247996114</v>
      </c>
      <c r="AD63" s="455">
        <f t="shared" si="28"/>
        <v>12023.390076795074</v>
      </c>
      <c r="AE63" s="9">
        <f t="shared" si="29"/>
        <v>37414.355720739644</v>
      </c>
      <c r="AF63" s="551">
        <f t="shared" si="30"/>
        <v>3.6917194402152152E-2</v>
      </c>
      <c r="AG63" s="541">
        <f t="shared" si="31"/>
        <v>0.83808280559784787</v>
      </c>
    </row>
    <row r="64" spans="1:33" x14ac:dyDescent="0.25">
      <c r="A64" s="788"/>
      <c r="B64" s="74" t="s">
        <v>133</v>
      </c>
      <c r="C64" s="89" t="s">
        <v>134</v>
      </c>
      <c r="D64" s="489" t="str">
        <f t="shared" si="23"/>
        <v>rijwegenbetonstraatstenen</v>
      </c>
      <c r="E64" s="90">
        <v>4141000</v>
      </c>
      <c r="F64" s="91"/>
      <c r="G64" s="92"/>
      <c r="H64" s="92"/>
      <c r="I64" s="93"/>
      <c r="J64" s="349">
        <v>60</v>
      </c>
      <c r="K64" s="347">
        <f t="shared" si="33"/>
        <v>1159480</v>
      </c>
      <c r="L64" s="352">
        <v>44.489100000000001</v>
      </c>
      <c r="M64" s="93">
        <f t="shared" ref="M64:M76" si="36">K64*L64</f>
        <v>51584221.667999998</v>
      </c>
      <c r="N64" s="349">
        <v>40</v>
      </c>
      <c r="O64" s="347">
        <f t="shared" si="34"/>
        <v>1780630</v>
      </c>
      <c r="P64" s="352">
        <v>55.903500000000008</v>
      </c>
      <c r="Q64" s="93">
        <f t="shared" ref="Q64:Q76" si="37">O64*P64</f>
        <v>99543449.205000013</v>
      </c>
      <c r="R64" s="358">
        <v>25</v>
      </c>
      <c r="S64" s="347">
        <f t="shared" si="35"/>
        <v>1200890</v>
      </c>
      <c r="T64" s="352">
        <v>17.795640000000002</v>
      </c>
      <c r="U64" s="93">
        <f t="shared" ref="U64:U76" si="38">S64*T64</f>
        <v>21370606.119600002</v>
      </c>
      <c r="V64" s="411">
        <f t="shared" ref="V64:V76" si="39">M64/J64+Q64/N64+U64/R64</f>
        <v>4203147.5027090004</v>
      </c>
      <c r="W64" s="422">
        <v>0.17499999999999999</v>
      </c>
      <c r="X64" s="407">
        <f t="shared" si="26"/>
        <v>735550.81297407497</v>
      </c>
      <c r="Y64" s="407"/>
      <c r="Z64" s="455">
        <f t="shared" si="27"/>
        <v>19410.482566814841</v>
      </c>
      <c r="AA64" s="456"/>
      <c r="AB64" s="9"/>
      <c r="AD64" s="455">
        <f t="shared" si="28"/>
        <v>59201.971828785259</v>
      </c>
      <c r="AE64" s="9">
        <f t="shared" si="29"/>
        <v>78612.4543956001</v>
      </c>
      <c r="AF64" s="551">
        <f t="shared" si="30"/>
        <v>1.8703234741329688E-2</v>
      </c>
      <c r="AG64" s="541">
        <f t="shared" si="31"/>
        <v>0.80629676525867033</v>
      </c>
    </row>
    <row r="65" spans="1:33" x14ac:dyDescent="0.25">
      <c r="A65" s="788"/>
      <c r="B65" s="74" t="s">
        <v>133</v>
      </c>
      <c r="C65" s="89" t="s">
        <v>135</v>
      </c>
      <c r="D65" s="489" t="str">
        <f t="shared" si="23"/>
        <v>rijwegenstraatbakstenen</v>
      </c>
      <c r="E65" s="90">
        <v>737000</v>
      </c>
      <c r="F65" s="91"/>
      <c r="G65" s="92"/>
      <c r="H65" s="92"/>
      <c r="I65" s="93"/>
      <c r="J65" s="349">
        <v>60</v>
      </c>
      <c r="K65" s="347">
        <f t="shared" si="33"/>
        <v>206360.00000000003</v>
      </c>
      <c r="L65" s="352">
        <v>101.721</v>
      </c>
      <c r="M65" s="93">
        <f t="shared" si="36"/>
        <v>20991145.560000002</v>
      </c>
      <c r="N65" s="349">
        <v>40</v>
      </c>
      <c r="O65" s="347">
        <f t="shared" si="34"/>
        <v>316910</v>
      </c>
      <c r="P65" s="352">
        <v>64.320800000000006</v>
      </c>
      <c r="Q65" s="93">
        <f t="shared" si="37"/>
        <v>20383904.728</v>
      </c>
      <c r="R65" s="358">
        <v>25</v>
      </c>
      <c r="S65" s="347">
        <f t="shared" si="35"/>
        <v>213729.99999999997</v>
      </c>
      <c r="T65" s="352">
        <v>25.430250000000001</v>
      </c>
      <c r="U65" s="93">
        <f t="shared" si="38"/>
        <v>5435207.3324999996</v>
      </c>
      <c r="V65" s="411">
        <f t="shared" si="39"/>
        <v>1076858.3375000001</v>
      </c>
      <c r="W65" s="423">
        <v>0.17499999999999999</v>
      </c>
      <c r="X65" s="407">
        <f t="shared" si="26"/>
        <v>188450.20906250001</v>
      </c>
      <c r="Y65" s="407"/>
      <c r="Z65" s="455">
        <f>E65*(120000/25600600)</f>
        <v>3454.6065326593907</v>
      </c>
      <c r="AA65" s="456"/>
      <c r="AB65" s="9"/>
      <c r="AD65" s="455">
        <f t="shared" si="28"/>
        <v>10536.549924611141</v>
      </c>
      <c r="AE65" s="9">
        <f t="shared" si="29"/>
        <v>13991.156457270532</v>
      </c>
      <c r="AF65" s="551">
        <f t="shared" si="30"/>
        <v>1.2992569189510993E-2</v>
      </c>
      <c r="AG65" s="541">
        <f t="shared" si="31"/>
        <v>0.81200743081048898</v>
      </c>
    </row>
    <row r="66" spans="1:33" x14ac:dyDescent="0.25">
      <c r="A66" s="788"/>
      <c r="B66" s="74" t="s">
        <v>133</v>
      </c>
      <c r="C66" s="89" t="s">
        <v>136</v>
      </c>
      <c r="D66" s="489" t="str">
        <f t="shared" si="23"/>
        <v>rijwegenbetonstraatstenen - wpv</v>
      </c>
      <c r="E66" s="90">
        <v>172000</v>
      </c>
      <c r="F66" s="91"/>
      <c r="G66" s="92"/>
      <c r="H66" s="92"/>
      <c r="I66" s="93"/>
      <c r="J66" s="349">
        <v>60</v>
      </c>
      <c r="K66" s="347">
        <f t="shared" si="33"/>
        <v>48160.000000000007</v>
      </c>
      <c r="L66" s="352">
        <v>124.3914</v>
      </c>
      <c r="M66" s="93">
        <f t="shared" si="36"/>
        <v>5990689.824000001</v>
      </c>
      <c r="N66" s="349">
        <v>40</v>
      </c>
      <c r="O66" s="347">
        <f t="shared" si="34"/>
        <v>73960</v>
      </c>
      <c r="P66" s="352">
        <v>72.065582121253016</v>
      </c>
      <c r="Q66" s="93">
        <f t="shared" si="37"/>
        <v>5329970.4536878727</v>
      </c>
      <c r="R66" s="358">
        <v>25</v>
      </c>
      <c r="S66" s="347">
        <f t="shared" si="35"/>
        <v>49880</v>
      </c>
      <c r="T66" s="352">
        <v>34.347850000000001</v>
      </c>
      <c r="U66" s="93">
        <f t="shared" si="38"/>
        <v>1713270.7580000001</v>
      </c>
      <c r="V66" s="411">
        <f t="shared" si="39"/>
        <v>301624.92206219683</v>
      </c>
      <c r="W66" s="423">
        <v>0.17499999999999999</v>
      </c>
      <c r="X66" s="407">
        <f t="shared" si="26"/>
        <v>52784.361360884439</v>
      </c>
      <c r="Y66" s="407"/>
      <c r="Z66" s="455">
        <f t="shared" si="27"/>
        <v>806.23110395850097</v>
      </c>
      <c r="AA66" s="456">
        <v>30000</v>
      </c>
      <c r="AB66" s="9"/>
      <c r="AD66" s="455">
        <f t="shared" si="28"/>
        <v>2459.0048670734282</v>
      </c>
      <c r="AE66" s="9">
        <f t="shared" si="29"/>
        <v>33265.235971031929</v>
      </c>
      <c r="AF66" s="551">
        <f t="shared" si="30"/>
        <v>0.11028676192802278</v>
      </c>
      <c r="AG66" s="541">
        <f t="shared" si="31"/>
        <v>0.71471323807197717</v>
      </c>
    </row>
    <row r="67" spans="1:33" x14ac:dyDescent="0.25">
      <c r="A67" s="788"/>
      <c r="B67" s="98" t="s">
        <v>137</v>
      </c>
      <c r="C67" s="89" t="s">
        <v>134</v>
      </c>
      <c r="D67" s="489" t="str">
        <f t="shared" si="23"/>
        <v>parkeervakkenbetonstraatstenen</v>
      </c>
      <c r="E67" s="90">
        <v>2045000</v>
      </c>
      <c r="F67" s="91"/>
      <c r="G67" s="92"/>
      <c r="H67" s="92"/>
      <c r="I67" s="93"/>
      <c r="J67" s="349">
        <v>60</v>
      </c>
      <c r="K67" s="347">
        <f t="shared" si="33"/>
        <v>572600</v>
      </c>
      <c r="L67" s="352">
        <v>39.144499341191796</v>
      </c>
      <c r="M67" s="93">
        <f t="shared" si="36"/>
        <v>22414140.322766423</v>
      </c>
      <c r="N67" s="349">
        <v>40</v>
      </c>
      <c r="O67" s="347">
        <f t="shared" si="34"/>
        <v>879350</v>
      </c>
      <c r="P67" s="352">
        <v>45.811166007858468</v>
      </c>
      <c r="Q67" s="93">
        <f t="shared" si="37"/>
        <v>40284048.829010345</v>
      </c>
      <c r="R67" s="358">
        <v>25</v>
      </c>
      <c r="S67" s="347">
        <f t="shared" si="35"/>
        <v>593050</v>
      </c>
      <c r="T67" s="352">
        <v>22.402673181879521</v>
      </c>
      <c r="U67" s="93">
        <f t="shared" si="38"/>
        <v>13285905.330513651</v>
      </c>
      <c r="V67" s="411">
        <f t="shared" si="39"/>
        <v>1912106.4393252451</v>
      </c>
      <c r="W67" s="423">
        <v>0.17499999999999999</v>
      </c>
      <c r="X67" s="407">
        <f t="shared" si="26"/>
        <v>334618.62688191788</v>
      </c>
      <c r="Y67" s="407"/>
      <c r="Z67" s="455">
        <f t="shared" si="27"/>
        <v>9585.7128348554324</v>
      </c>
      <c r="AA67" s="456"/>
      <c r="AB67" s="9"/>
      <c r="AD67" s="455">
        <f t="shared" si="28"/>
        <v>29236.424146309069</v>
      </c>
      <c r="AE67" s="9">
        <f t="shared" si="29"/>
        <v>38822.136981164498</v>
      </c>
      <c r="AF67" s="551">
        <f t="shared" si="30"/>
        <v>2.0303334679874972E-2</v>
      </c>
      <c r="AG67" s="541">
        <f t="shared" si="31"/>
        <v>0.80469666532012507</v>
      </c>
    </row>
    <row r="68" spans="1:33" x14ac:dyDescent="0.25">
      <c r="A68" s="788"/>
      <c r="B68" s="98" t="s">
        <v>137</v>
      </c>
      <c r="C68" s="89" t="s">
        <v>135</v>
      </c>
      <c r="D68" s="489" t="str">
        <f t="shared" si="23"/>
        <v>parkeervakkenstraatbakstenen</v>
      </c>
      <c r="E68" s="90">
        <v>280000</v>
      </c>
      <c r="F68" s="91"/>
      <c r="G68" s="92"/>
      <c r="H68" s="92"/>
      <c r="I68" s="93"/>
      <c r="J68" s="349">
        <v>60</v>
      </c>
      <c r="K68" s="347">
        <f t="shared" si="33"/>
        <v>78400.000000000015</v>
      </c>
      <c r="L68" s="352">
        <v>89.610692727518085</v>
      </c>
      <c r="M68" s="93">
        <f t="shared" si="36"/>
        <v>7025478.3098374195</v>
      </c>
      <c r="N68" s="349">
        <v>40</v>
      </c>
      <c r="O68" s="347">
        <f t="shared" si="34"/>
        <v>120400</v>
      </c>
      <c r="P68" s="352">
        <v>51.472013030425707</v>
      </c>
      <c r="Q68" s="93">
        <f t="shared" si="37"/>
        <v>6197230.3688632548</v>
      </c>
      <c r="R68" s="358">
        <v>25</v>
      </c>
      <c r="S68" s="347">
        <f t="shared" si="35"/>
        <v>81200</v>
      </c>
      <c r="T68" s="352">
        <v>22.402673181879521</v>
      </c>
      <c r="U68" s="93">
        <f t="shared" si="38"/>
        <v>1819097.0623686172</v>
      </c>
      <c r="V68" s="411">
        <f t="shared" si="39"/>
        <v>344785.94688028301</v>
      </c>
      <c r="W68" s="423">
        <v>0.1</v>
      </c>
      <c r="X68" s="407">
        <f t="shared" si="26"/>
        <v>34478.594688028301</v>
      </c>
      <c r="Y68" s="407"/>
      <c r="Z68" s="455">
        <f t="shared" si="27"/>
        <v>1312.4692390022108</v>
      </c>
      <c r="AA68" s="456"/>
      <c r="AB68" s="9"/>
      <c r="AD68" s="455">
        <f t="shared" si="28"/>
        <v>4003.0311789567431</v>
      </c>
      <c r="AE68" s="9">
        <f t="shared" si="29"/>
        <v>5315.5004179589541</v>
      </c>
      <c r="AF68" s="551">
        <f t="shared" si="30"/>
        <v>1.5416812854627768E-2</v>
      </c>
      <c r="AG68" s="541">
        <f t="shared" si="31"/>
        <v>0.88458318714537221</v>
      </c>
    </row>
    <row r="69" spans="1:33" x14ac:dyDescent="0.25">
      <c r="A69" s="788"/>
      <c r="B69" s="98" t="s">
        <v>137</v>
      </c>
      <c r="C69" s="89" t="s">
        <v>125</v>
      </c>
      <c r="D69" s="489" t="str">
        <f t="shared" si="23"/>
        <v xml:space="preserve">parkeervakkenasfalt </v>
      </c>
      <c r="E69" s="90">
        <v>123000</v>
      </c>
      <c r="F69" s="91"/>
      <c r="G69" s="92"/>
      <c r="H69" s="92"/>
      <c r="I69" s="93"/>
      <c r="J69" s="349">
        <v>60</v>
      </c>
      <c r="K69" s="347">
        <f t="shared" si="33"/>
        <v>34440</v>
      </c>
      <c r="L69" s="352">
        <f>L63</f>
        <v>77.059499999999986</v>
      </c>
      <c r="M69" s="93">
        <f t="shared" si="36"/>
        <v>2653929.1799999997</v>
      </c>
      <c r="N69" s="349">
        <v>40</v>
      </c>
      <c r="O69" s="347">
        <f t="shared" si="34"/>
        <v>52890</v>
      </c>
      <c r="P69" s="352">
        <f>P63</f>
        <v>56.97359999999999</v>
      </c>
      <c r="Q69" s="93">
        <f t="shared" si="37"/>
        <v>3013333.7039999994</v>
      </c>
      <c r="R69" s="358">
        <v>25</v>
      </c>
      <c r="S69" s="347">
        <f t="shared" si="35"/>
        <v>35670</v>
      </c>
      <c r="T69" s="352">
        <f>T63</f>
        <v>20.085899999999999</v>
      </c>
      <c r="U69" s="93">
        <f t="shared" si="38"/>
        <v>716464.05299999996</v>
      </c>
      <c r="V69" s="411">
        <f t="shared" si="39"/>
        <v>148224.05771999998</v>
      </c>
      <c r="W69" s="423">
        <v>0.125</v>
      </c>
      <c r="X69" s="407">
        <f t="shared" si="26"/>
        <v>18528.007214999998</v>
      </c>
      <c r="Y69" s="407"/>
      <c r="Z69" s="455">
        <f t="shared" si="27"/>
        <v>576.548987133114</v>
      </c>
      <c r="AA69" s="456"/>
      <c r="AB69" s="9"/>
      <c r="AD69" s="455">
        <f t="shared" si="28"/>
        <v>1758.474410755998</v>
      </c>
      <c r="AE69" s="9">
        <f t="shared" si="29"/>
        <v>2335.0233978891119</v>
      </c>
      <c r="AF69" s="551">
        <f t="shared" si="30"/>
        <v>1.5753336090016144E-2</v>
      </c>
      <c r="AG69" s="541">
        <f t="shared" si="31"/>
        <v>0.85924666390998383</v>
      </c>
    </row>
    <row r="70" spans="1:33" x14ac:dyDescent="0.25">
      <c r="A70" s="788"/>
      <c r="B70" s="98" t="s">
        <v>137</v>
      </c>
      <c r="C70" s="89" t="s">
        <v>138</v>
      </c>
      <c r="D70" s="489" t="str">
        <f t="shared" si="23"/>
        <v>parkeervakkendiverse verharding</v>
      </c>
      <c r="E70" s="90">
        <v>194000</v>
      </c>
      <c r="F70" s="91"/>
      <c r="G70" s="92"/>
      <c r="H70" s="92"/>
      <c r="I70" s="93"/>
      <c r="J70" s="349">
        <v>60</v>
      </c>
      <c r="K70" s="347">
        <f t="shared" si="33"/>
        <v>54320.000000000007</v>
      </c>
      <c r="L70" s="352">
        <f>L64</f>
        <v>44.489100000000001</v>
      </c>
      <c r="M70" s="93">
        <f t="shared" si="36"/>
        <v>2416647.9120000005</v>
      </c>
      <c r="N70" s="349">
        <v>40</v>
      </c>
      <c r="O70" s="347">
        <f t="shared" si="34"/>
        <v>83420</v>
      </c>
      <c r="P70" s="352">
        <f>P64</f>
        <v>55.903500000000008</v>
      </c>
      <c r="Q70" s="93">
        <f t="shared" si="37"/>
        <v>4663469.9700000007</v>
      </c>
      <c r="R70" s="358">
        <v>25</v>
      </c>
      <c r="S70" s="347">
        <f t="shared" si="35"/>
        <v>56259.999999999993</v>
      </c>
      <c r="T70" s="352">
        <f>T64</f>
        <v>17.795640000000002</v>
      </c>
      <c r="U70" s="93">
        <f t="shared" si="38"/>
        <v>1001182.7064</v>
      </c>
      <c r="V70" s="411">
        <f t="shared" si="39"/>
        <v>196911.52270600002</v>
      </c>
      <c r="W70" s="422">
        <v>0.15</v>
      </c>
      <c r="X70" s="407">
        <f t="shared" si="26"/>
        <v>29536.728405900001</v>
      </c>
      <c r="Y70" s="407"/>
      <c r="Z70" s="455">
        <f t="shared" si="27"/>
        <v>909.35368702296034</v>
      </c>
      <c r="AA70" s="456"/>
      <c r="AB70" s="9"/>
      <c r="AD70" s="455">
        <f t="shared" si="28"/>
        <v>2773.5287454200293</v>
      </c>
      <c r="AE70" s="9">
        <f t="shared" si="29"/>
        <v>3682.8824324429897</v>
      </c>
      <c r="AF70" s="551">
        <f t="shared" si="30"/>
        <v>1.8703234741329691E-2</v>
      </c>
      <c r="AG70" s="541">
        <f t="shared" si="31"/>
        <v>0.83129676525867024</v>
      </c>
    </row>
    <row r="71" spans="1:33" x14ac:dyDescent="0.25">
      <c r="A71" s="788"/>
      <c r="B71" s="88" t="s">
        <v>139</v>
      </c>
      <c r="C71" s="89" t="s">
        <v>140</v>
      </c>
      <c r="D71" s="489" t="str">
        <f t="shared" si="23"/>
        <v>fietspadenrood asfalt</v>
      </c>
      <c r="E71" s="90">
        <v>1516000</v>
      </c>
      <c r="F71" s="91"/>
      <c r="G71" s="92"/>
      <c r="H71" s="92"/>
      <c r="I71" s="93"/>
      <c r="J71" s="349">
        <v>60</v>
      </c>
      <c r="K71" s="347">
        <f t="shared" si="33"/>
        <v>424480.00000000006</v>
      </c>
      <c r="L71" s="352">
        <v>99.917710543200499</v>
      </c>
      <c r="M71" s="93">
        <f t="shared" si="36"/>
        <v>42413069.771377757</v>
      </c>
      <c r="N71" s="349">
        <v>40</v>
      </c>
      <c r="O71" s="347">
        <f t="shared" si="34"/>
        <v>651880</v>
      </c>
      <c r="P71" s="352">
        <v>72.278473695467</v>
      </c>
      <c r="Q71" s="93">
        <f t="shared" si="37"/>
        <v>47116891.432601027</v>
      </c>
      <c r="R71" s="358">
        <v>25</v>
      </c>
      <c r="S71" s="347">
        <f t="shared" si="35"/>
        <v>439639.99999999994</v>
      </c>
      <c r="T71" s="352">
        <v>27.639236847733496</v>
      </c>
      <c r="U71" s="93">
        <f t="shared" si="38"/>
        <v>12151314.087737553</v>
      </c>
      <c r="V71" s="411">
        <f t="shared" si="39"/>
        <v>2370859.3455141569</v>
      </c>
      <c r="W71" s="422">
        <v>0.125</v>
      </c>
      <c r="X71" s="407">
        <f t="shared" si="26"/>
        <v>296357.41818926961</v>
      </c>
      <c r="Y71" s="407"/>
      <c r="Z71" s="455">
        <f t="shared" si="27"/>
        <v>7106.0834511691128</v>
      </c>
      <c r="AA71" s="456">
        <f>E71*(15000/1701000)</f>
        <v>13368.606701940034</v>
      </c>
      <c r="AB71" s="9"/>
      <c r="AD71" s="455">
        <f t="shared" si="28"/>
        <v>21673.554526065796</v>
      </c>
      <c r="AE71" s="9">
        <f t="shared" si="29"/>
        <v>42148.244679174939</v>
      </c>
      <c r="AF71" s="551">
        <f t="shared" si="30"/>
        <v>1.7777623442285839E-2</v>
      </c>
      <c r="AG71" s="541">
        <f t="shared" si="31"/>
        <v>0.85722237655771416</v>
      </c>
    </row>
    <row r="72" spans="1:33" x14ac:dyDescent="0.25">
      <c r="A72" s="788"/>
      <c r="B72" s="88" t="s">
        <v>139</v>
      </c>
      <c r="C72" s="89" t="s">
        <v>141</v>
      </c>
      <c r="D72" s="489" t="str">
        <f t="shared" si="23"/>
        <v>fietspadenelementverharding</v>
      </c>
      <c r="E72" s="90">
        <v>185000</v>
      </c>
      <c r="F72" s="91"/>
      <c r="G72" s="92"/>
      <c r="H72" s="92"/>
      <c r="I72" s="93"/>
      <c r="J72" s="349">
        <v>60</v>
      </c>
      <c r="K72" s="347">
        <f t="shared" si="33"/>
        <v>51800.000000000007</v>
      </c>
      <c r="L72" s="352">
        <v>130.13975060208747</v>
      </c>
      <c r="M72" s="93">
        <f t="shared" si="36"/>
        <v>6741239.0811881321</v>
      </c>
      <c r="N72" s="349">
        <v>40</v>
      </c>
      <c r="O72" s="347">
        <f t="shared" si="34"/>
        <v>79550</v>
      </c>
      <c r="P72" s="352">
        <v>78.026711452379161</v>
      </c>
      <c r="Q72" s="93">
        <f t="shared" si="37"/>
        <v>6207024.8960367618</v>
      </c>
      <c r="R72" s="358">
        <v>25</v>
      </c>
      <c r="S72" s="347">
        <f t="shared" si="35"/>
        <v>53649.999999999993</v>
      </c>
      <c r="T72" s="352">
        <v>35.680022392856245</v>
      </c>
      <c r="U72" s="93">
        <f t="shared" si="38"/>
        <v>1914233.2013767373</v>
      </c>
      <c r="V72" s="411">
        <f t="shared" si="39"/>
        <v>344098.93514245743</v>
      </c>
      <c r="W72" s="422">
        <v>0.17499999999999999</v>
      </c>
      <c r="X72" s="407">
        <f t="shared" si="26"/>
        <v>60217.313649930045</v>
      </c>
      <c r="Y72" s="407"/>
      <c r="Z72" s="455">
        <f t="shared" si="27"/>
        <v>867.16717576931785</v>
      </c>
      <c r="AA72" s="456">
        <f>E72*(15000/1701000)</f>
        <v>1631.3932980599645</v>
      </c>
      <c r="AB72" s="9"/>
      <c r="AD72" s="455">
        <f t="shared" si="28"/>
        <v>2644.8598860964198</v>
      </c>
      <c r="AE72" s="9">
        <f t="shared" si="29"/>
        <v>5143.4203599257016</v>
      </c>
      <c r="AF72" s="551">
        <f t="shared" si="30"/>
        <v>1.4947504437339566E-2</v>
      </c>
      <c r="AG72" s="541">
        <f t="shared" si="31"/>
        <v>0.81005249556266046</v>
      </c>
    </row>
    <row r="73" spans="1:33" x14ac:dyDescent="0.25">
      <c r="A73" s="788"/>
      <c r="B73" s="88" t="s">
        <v>142</v>
      </c>
      <c r="C73" s="89" t="s">
        <v>143</v>
      </c>
      <c r="D73" s="489" t="str">
        <f t="shared" si="23"/>
        <v>voetpadentrotoirtegels</v>
      </c>
      <c r="E73" s="90">
        <v>9091000</v>
      </c>
      <c r="F73" s="91"/>
      <c r="G73" s="92"/>
      <c r="H73" s="92"/>
      <c r="I73" s="93"/>
      <c r="J73" s="349">
        <v>60</v>
      </c>
      <c r="K73" s="356">
        <f t="shared" si="33"/>
        <v>2545480.0000000005</v>
      </c>
      <c r="L73" s="352">
        <v>48.083589359298003</v>
      </c>
      <c r="M73" s="93">
        <f t="shared" si="36"/>
        <v>122395815.0423059</v>
      </c>
      <c r="N73" s="349">
        <v>40</v>
      </c>
      <c r="O73" s="347">
        <f t="shared" si="34"/>
        <v>3909130</v>
      </c>
      <c r="P73" s="352">
        <v>46.736324466081669</v>
      </c>
      <c r="Q73" s="93">
        <f t="shared" si="37"/>
        <v>182698368.06009382</v>
      </c>
      <c r="R73" s="358">
        <v>25</v>
      </c>
      <c r="S73" s="347">
        <f t="shared" si="35"/>
        <v>2636390</v>
      </c>
      <c r="T73" s="352">
        <v>16.027863119766</v>
      </c>
      <c r="U73" s="93">
        <f t="shared" si="38"/>
        <v>42255698.050319888</v>
      </c>
      <c r="V73" s="411">
        <f t="shared" si="39"/>
        <v>8297617.3742202399</v>
      </c>
      <c r="W73" s="422">
        <v>0.17499999999999999</v>
      </c>
      <c r="X73" s="407">
        <f t="shared" si="26"/>
        <v>1452083.0404885418</v>
      </c>
      <c r="Y73" s="407"/>
      <c r="Z73" s="455">
        <f t="shared" si="27"/>
        <v>42613.06375631821</v>
      </c>
      <c r="AA73" s="456"/>
      <c r="AB73" s="9"/>
      <c r="AD73" s="455">
        <f t="shared" si="28"/>
        <v>129969.84445677054</v>
      </c>
      <c r="AE73" s="9">
        <f t="shared" si="29"/>
        <v>172582.90821308875</v>
      </c>
      <c r="AF73" s="551">
        <f t="shared" si="30"/>
        <v>2.079909212845658E-2</v>
      </c>
      <c r="AG73" s="541">
        <f t="shared" si="31"/>
        <v>0.80420090787154352</v>
      </c>
    </row>
    <row r="74" spans="1:33" ht="31.5" x14ac:dyDescent="0.25">
      <c r="A74" s="788"/>
      <c r="B74" s="88" t="s">
        <v>142</v>
      </c>
      <c r="C74" s="89" t="s">
        <v>144</v>
      </c>
      <c r="D74" s="489" t="str">
        <f t="shared" si="23"/>
        <v>voetpadennatuursteentegels gefundeerd</v>
      </c>
      <c r="E74" s="90">
        <v>55000</v>
      </c>
      <c r="F74" s="91"/>
      <c r="G74" s="92"/>
      <c r="H74" s="92"/>
      <c r="I74" s="93"/>
      <c r="J74" s="349">
        <v>60</v>
      </c>
      <c r="K74" s="347">
        <f t="shared" si="33"/>
        <v>15400.000000000002</v>
      </c>
      <c r="L74" s="352">
        <v>455.49518366835741</v>
      </c>
      <c r="M74" s="93">
        <f t="shared" si="36"/>
        <v>7014625.8284927048</v>
      </c>
      <c r="N74" s="349">
        <v>40</v>
      </c>
      <c r="O74" s="347">
        <f t="shared" si="34"/>
        <v>23650</v>
      </c>
      <c r="P74" s="352">
        <v>277.19218844276998</v>
      </c>
      <c r="Q74" s="93">
        <f t="shared" si="37"/>
        <v>6555595.2566715097</v>
      </c>
      <c r="R74" s="358">
        <v>25</v>
      </c>
      <c r="S74" s="347">
        <f t="shared" si="35"/>
        <v>15949.999999999998</v>
      </c>
      <c r="T74" s="352">
        <v>138.59609422138499</v>
      </c>
      <c r="U74" s="93">
        <f t="shared" si="38"/>
        <v>2210607.7028310904</v>
      </c>
      <c r="V74" s="411">
        <f t="shared" si="39"/>
        <v>369224.62000490975</v>
      </c>
      <c r="W74" s="422">
        <v>0.17499999999999999</v>
      </c>
      <c r="X74" s="407">
        <f t="shared" si="26"/>
        <v>64614.308500859202</v>
      </c>
      <c r="Y74" s="407"/>
      <c r="Z74" s="455">
        <f t="shared" si="27"/>
        <v>257.80645766114856</v>
      </c>
      <c r="AA74" s="456">
        <v>500</v>
      </c>
      <c r="AB74" s="9"/>
      <c r="AD74" s="455">
        <f t="shared" si="28"/>
        <v>786.30969586650315</v>
      </c>
      <c r="AE74" s="9">
        <f t="shared" si="29"/>
        <v>1544.1161535276517</v>
      </c>
      <c r="AF74" s="551">
        <f t="shared" si="30"/>
        <v>4.1820508976544383E-3</v>
      </c>
      <c r="AG74" s="541">
        <f t="shared" si="31"/>
        <v>0.82081794910234551</v>
      </c>
    </row>
    <row r="75" spans="1:33" ht="31.5" x14ac:dyDescent="0.25">
      <c r="A75" s="788"/>
      <c r="B75" s="88" t="s">
        <v>142</v>
      </c>
      <c r="C75" s="89" t="s">
        <v>145</v>
      </c>
      <c r="D75" s="489" t="str">
        <f t="shared" si="23"/>
        <v>voetpadennatuursteentegels ongefundeerd</v>
      </c>
      <c r="E75" s="90">
        <v>81000</v>
      </c>
      <c r="F75" s="91"/>
      <c r="G75" s="92"/>
      <c r="H75" s="92"/>
      <c r="I75" s="93"/>
      <c r="J75" s="349">
        <v>60</v>
      </c>
      <c r="K75" s="347">
        <f t="shared" si="33"/>
        <v>22680.000000000004</v>
      </c>
      <c r="L75" s="352">
        <v>352.64813429027993</v>
      </c>
      <c r="M75" s="93">
        <f t="shared" si="36"/>
        <v>7998059.6857035505</v>
      </c>
      <c r="N75" s="349">
        <v>40</v>
      </c>
      <c r="O75" s="347">
        <f t="shared" si="34"/>
        <v>34830</v>
      </c>
      <c r="P75" s="352">
        <v>208.62748885738498</v>
      </c>
      <c r="Q75" s="93">
        <f t="shared" si="37"/>
        <v>7266495.4369027186</v>
      </c>
      <c r="R75" s="358">
        <v>25</v>
      </c>
      <c r="S75" s="347">
        <f t="shared" si="35"/>
        <v>23490</v>
      </c>
      <c r="T75" s="352">
        <v>104.31374442869249</v>
      </c>
      <c r="U75" s="93">
        <f t="shared" si="38"/>
        <v>2450329.8566299863</v>
      </c>
      <c r="V75" s="411">
        <f t="shared" si="39"/>
        <v>412976.57494949328</v>
      </c>
      <c r="W75" s="422">
        <v>0.17499999999999999</v>
      </c>
      <c r="X75" s="407">
        <f t="shared" si="26"/>
        <v>72270.900616161322</v>
      </c>
      <c r="Y75" s="407"/>
      <c r="Z75" s="455">
        <f t="shared" si="27"/>
        <v>379.67860128278244</v>
      </c>
      <c r="AA75" s="456">
        <v>500</v>
      </c>
      <c r="AB75" s="9"/>
      <c r="AD75" s="455">
        <f t="shared" si="28"/>
        <v>1158.0197339124863</v>
      </c>
      <c r="AE75" s="9">
        <f t="shared" si="29"/>
        <v>2037.6983351952688</v>
      </c>
      <c r="AF75" s="551">
        <f t="shared" si="30"/>
        <v>4.9341741367400259E-3</v>
      </c>
      <c r="AG75" s="541">
        <f t="shared" si="31"/>
        <v>0.82006582586326005</v>
      </c>
    </row>
    <row r="76" spans="1:33" ht="31.5" x14ac:dyDescent="0.25">
      <c r="A76" s="789"/>
      <c r="B76" s="88" t="s">
        <v>142</v>
      </c>
      <c r="C76" s="101" t="s">
        <v>146</v>
      </c>
      <c r="D76" s="490" t="str">
        <f t="shared" si="23"/>
        <v>voetpadenafwijkende tegels (formaat, dik)</v>
      </c>
      <c r="E76" s="102">
        <v>156000</v>
      </c>
      <c r="F76" s="448"/>
      <c r="G76" s="449"/>
      <c r="H76" s="449"/>
      <c r="I76" s="450"/>
      <c r="J76" s="350">
        <v>60</v>
      </c>
      <c r="K76" s="347">
        <f t="shared" si="33"/>
        <v>43680.000000000007</v>
      </c>
      <c r="L76" s="353">
        <v>81.887015056469991</v>
      </c>
      <c r="M76" s="105">
        <f t="shared" si="36"/>
        <v>3576824.8176666098</v>
      </c>
      <c r="N76" s="350">
        <v>40</v>
      </c>
      <c r="O76" s="347">
        <f t="shared" si="34"/>
        <v>67080</v>
      </c>
      <c r="P76" s="353">
        <v>59.85557408116707</v>
      </c>
      <c r="Q76" s="105">
        <f t="shared" si="37"/>
        <v>4015111.9093646873</v>
      </c>
      <c r="R76" s="359">
        <v>25</v>
      </c>
      <c r="S76" s="347">
        <f t="shared" si="35"/>
        <v>45240</v>
      </c>
      <c r="T76" s="353">
        <v>20.471753764117498</v>
      </c>
      <c r="U76" s="105">
        <f t="shared" si="38"/>
        <v>926142.14028867555</v>
      </c>
      <c r="V76" s="411">
        <f t="shared" si="39"/>
        <v>197037.23030677438</v>
      </c>
      <c r="W76" s="422">
        <v>0.17499999999999999</v>
      </c>
      <c r="X76" s="407">
        <f t="shared" si="26"/>
        <v>34481.515303685512</v>
      </c>
      <c r="Y76" s="407"/>
      <c r="Z76" s="455">
        <f t="shared" si="27"/>
        <v>731.23286172980318</v>
      </c>
      <c r="AA76" s="456"/>
      <c r="AB76" s="9"/>
      <c r="AD76" s="455">
        <f t="shared" si="28"/>
        <v>2230.2602282758999</v>
      </c>
      <c r="AE76" s="9">
        <f t="shared" si="29"/>
        <v>2961.4930900057029</v>
      </c>
      <c r="AF76" s="551">
        <f t="shared" si="30"/>
        <v>1.5030119360665228E-2</v>
      </c>
      <c r="AG76" s="541">
        <f t="shared" si="31"/>
        <v>0.80996988063933473</v>
      </c>
    </row>
    <row r="77" spans="1:33" x14ac:dyDescent="0.25">
      <c r="A77" s="374" t="s">
        <v>147</v>
      </c>
      <c r="B77" s="375" t="s">
        <v>148</v>
      </c>
      <c r="C77" s="376" t="s">
        <v>149</v>
      </c>
      <c r="D77" s="501" t="str">
        <f t="shared" si="23"/>
        <v>kadeskadekeien</v>
      </c>
      <c r="E77" s="377">
        <v>265000</v>
      </c>
      <c r="F77" s="451">
        <v>60</v>
      </c>
      <c r="G77" s="452">
        <f>E77</f>
        <v>265000</v>
      </c>
      <c r="H77" s="453">
        <v>108</v>
      </c>
      <c r="I77" s="454">
        <f>G77*H77</f>
        <v>28620000</v>
      </c>
      <c r="J77" s="364"/>
      <c r="K77" s="360"/>
      <c r="L77" s="361"/>
      <c r="M77" s="362"/>
      <c r="N77" s="363"/>
      <c r="O77" s="360"/>
      <c r="P77" s="361"/>
      <c r="Q77" s="362"/>
      <c r="R77" s="364"/>
      <c r="S77" s="360"/>
      <c r="T77" s="361"/>
      <c r="U77" s="362"/>
      <c r="V77" s="412">
        <f>I77/F77</f>
        <v>477000</v>
      </c>
      <c r="W77" s="422">
        <v>0.17499999999999999</v>
      </c>
      <c r="X77" s="407">
        <f t="shared" si="26"/>
        <v>83475</v>
      </c>
      <c r="Y77" s="407"/>
      <c r="Z77" s="455">
        <f t="shared" si="27"/>
        <v>1242.1583869128067</v>
      </c>
      <c r="AA77" s="456">
        <v>10000</v>
      </c>
      <c r="AB77" s="9" t="s">
        <v>189</v>
      </c>
      <c r="AD77" s="455">
        <f t="shared" si="28"/>
        <v>3788.5830800840604</v>
      </c>
      <c r="AE77" s="9">
        <f t="shared" si="29"/>
        <v>15030.741466996868</v>
      </c>
      <c r="AF77" s="551">
        <f t="shared" si="30"/>
        <v>3.1510988400412721E-2</v>
      </c>
      <c r="AG77" s="541">
        <f t="shared" si="31"/>
        <v>0.79348901159958718</v>
      </c>
    </row>
    <row r="78" spans="1:33" x14ac:dyDescent="0.25">
      <c r="A78" s="378"/>
      <c r="B78" s="379" t="s">
        <v>150</v>
      </c>
      <c r="C78" s="380" t="s">
        <v>151</v>
      </c>
      <c r="D78" s="502" t="str">
        <f t="shared" si="23"/>
        <v>padenhalfverharding</v>
      </c>
      <c r="E78" s="381">
        <v>725000</v>
      </c>
      <c r="F78" s="447">
        <v>60</v>
      </c>
      <c r="G78" s="445">
        <f t="shared" ref="G78:G80" si="40">E78</f>
        <v>725000</v>
      </c>
      <c r="H78" s="443">
        <v>77</v>
      </c>
      <c r="I78" s="446">
        <f t="shared" ref="I78:I82" si="41">G78*H78</f>
        <v>55825000</v>
      </c>
      <c r="J78" s="369"/>
      <c r="K78" s="365"/>
      <c r="L78" s="366"/>
      <c r="M78" s="367"/>
      <c r="N78" s="368"/>
      <c r="O78" s="365"/>
      <c r="P78" s="366"/>
      <c r="Q78" s="367"/>
      <c r="R78" s="369"/>
      <c r="S78" s="365"/>
      <c r="T78" s="366"/>
      <c r="U78" s="367"/>
      <c r="V78" s="412">
        <f t="shared" ref="V78:V82" si="42">I78/F78</f>
        <v>930416.66666666663</v>
      </c>
      <c r="W78" s="422">
        <v>0.125</v>
      </c>
      <c r="X78" s="407">
        <f t="shared" si="26"/>
        <v>116302.08333333333</v>
      </c>
      <c r="Y78" s="407"/>
      <c r="Z78" s="455">
        <f t="shared" si="27"/>
        <v>3398.3578509878676</v>
      </c>
      <c r="AA78" s="456"/>
      <c r="AB78" s="9"/>
      <c r="AD78" s="455">
        <f t="shared" si="28"/>
        <v>10364.991445512997</v>
      </c>
      <c r="AE78" s="9">
        <f t="shared" si="29"/>
        <v>13763.349296500865</v>
      </c>
      <c r="AF78" s="551">
        <f t="shared" si="30"/>
        <v>1.4792672777251265E-2</v>
      </c>
      <c r="AG78" s="541">
        <f t="shared" si="31"/>
        <v>0.86020732722274873</v>
      </c>
    </row>
    <row r="79" spans="1:33" x14ac:dyDescent="0.25">
      <c r="A79" s="378"/>
      <c r="B79" s="379" t="s">
        <v>150</v>
      </c>
      <c r="C79" s="380" t="s">
        <v>152</v>
      </c>
      <c r="D79" s="502" t="str">
        <f t="shared" si="23"/>
        <v>padenasfalt</v>
      </c>
      <c r="E79" s="381">
        <v>618000</v>
      </c>
      <c r="F79" s="447">
        <v>60</v>
      </c>
      <c r="G79" s="445">
        <f t="shared" si="40"/>
        <v>618000</v>
      </c>
      <c r="H79" s="442">
        <v>51</v>
      </c>
      <c r="I79" s="446">
        <f t="shared" si="41"/>
        <v>31518000</v>
      </c>
      <c r="J79" s="371"/>
      <c r="K79" s="365"/>
      <c r="L79" s="366"/>
      <c r="M79" s="367"/>
      <c r="N79" s="370"/>
      <c r="O79" s="365"/>
      <c r="P79" s="366"/>
      <c r="Q79" s="367"/>
      <c r="R79" s="371"/>
      <c r="S79" s="365"/>
      <c r="T79" s="366"/>
      <c r="U79" s="367"/>
      <c r="V79" s="412">
        <f t="shared" si="42"/>
        <v>525300</v>
      </c>
      <c r="W79" s="422">
        <v>0.125</v>
      </c>
      <c r="X79" s="407">
        <f t="shared" si="26"/>
        <v>65662.5</v>
      </c>
      <c r="Y79" s="407"/>
      <c r="Z79" s="455">
        <f t="shared" si="27"/>
        <v>2896.8071060834509</v>
      </c>
      <c r="AA79" s="456"/>
      <c r="AB79" s="9"/>
      <c r="AD79" s="455">
        <f t="shared" si="28"/>
        <v>8835.2616735545253</v>
      </c>
      <c r="AE79" s="9">
        <f t="shared" si="29"/>
        <v>11732.068779637975</v>
      </c>
      <c r="AF79" s="551">
        <f t="shared" si="30"/>
        <v>2.2334035369575435E-2</v>
      </c>
      <c r="AG79" s="541">
        <f t="shared" si="31"/>
        <v>0.85266596463042454</v>
      </c>
    </row>
    <row r="80" spans="1:33" x14ac:dyDescent="0.25">
      <c r="A80" s="382"/>
      <c r="B80" s="379" t="s">
        <v>153</v>
      </c>
      <c r="C80" s="380" t="s">
        <v>138</v>
      </c>
      <c r="D80" s="502" t="str">
        <f t="shared" si="23"/>
        <v>diversendiverse verharding</v>
      </c>
      <c r="E80" s="381">
        <v>5550</v>
      </c>
      <c r="F80" s="447">
        <v>60</v>
      </c>
      <c r="G80" s="445">
        <f t="shared" si="40"/>
        <v>5550</v>
      </c>
      <c r="H80" s="443">
        <v>79</v>
      </c>
      <c r="I80" s="446">
        <f t="shared" si="41"/>
        <v>438450</v>
      </c>
      <c r="J80" s="473"/>
      <c r="K80" s="474"/>
      <c r="L80" s="475"/>
      <c r="M80" s="476"/>
      <c r="N80" s="477"/>
      <c r="O80" s="474"/>
      <c r="P80" s="475"/>
      <c r="Q80" s="476"/>
      <c r="R80" s="473"/>
      <c r="S80" s="474"/>
      <c r="T80" s="475"/>
      <c r="U80" s="367"/>
      <c r="V80" s="412">
        <f t="shared" si="42"/>
        <v>7307.5</v>
      </c>
      <c r="W80" s="422">
        <v>0.17499999999999999</v>
      </c>
      <c r="X80" s="407">
        <f t="shared" si="26"/>
        <v>1278.8125</v>
      </c>
      <c r="Y80" s="407"/>
      <c r="Z80" s="455">
        <f t="shared" si="27"/>
        <v>26.015015273079538</v>
      </c>
      <c r="AA80" s="456"/>
      <c r="AB80" s="9"/>
      <c r="AD80" s="455">
        <f t="shared" si="28"/>
        <v>79.345796582892589</v>
      </c>
      <c r="AE80" s="9">
        <f t="shared" si="29"/>
        <v>105.36081185597213</v>
      </c>
      <c r="AF80" s="551">
        <f t="shared" si="30"/>
        <v>1.4418174732257561E-2</v>
      </c>
      <c r="AG80" s="541">
        <f t="shared" si="31"/>
        <v>0.81058182526774236</v>
      </c>
    </row>
    <row r="81" spans="1:33" x14ac:dyDescent="0.25">
      <c r="A81" s="382"/>
      <c r="B81" s="379" t="s">
        <v>154</v>
      </c>
      <c r="C81" s="380" t="s">
        <v>125</v>
      </c>
      <c r="D81" s="502" t="str">
        <f t="shared" si="23"/>
        <v xml:space="preserve">industriewegenasfalt </v>
      </c>
      <c r="E81" s="381">
        <v>305000</v>
      </c>
      <c r="F81" s="447">
        <v>60</v>
      </c>
      <c r="G81" s="445">
        <f>E81</f>
        <v>305000</v>
      </c>
      <c r="H81" s="464">
        <f>L63+35</f>
        <v>112.05949999999999</v>
      </c>
      <c r="I81" s="472">
        <f>G81*H81</f>
        <v>34178147.499999993</v>
      </c>
      <c r="J81" s="470"/>
      <c r="K81" s="365"/>
      <c r="L81" s="446"/>
      <c r="M81" s="471"/>
      <c r="N81" s="470"/>
      <c r="O81" s="365"/>
      <c r="P81" s="446"/>
      <c r="Q81" s="471"/>
      <c r="R81" s="470"/>
      <c r="S81" s="365"/>
      <c r="T81" s="446"/>
      <c r="U81" s="463"/>
      <c r="V81" s="412">
        <f>I81/F81</f>
        <v>569635.79166666651</v>
      </c>
      <c r="W81" s="422">
        <v>0.18</v>
      </c>
      <c r="X81" s="407">
        <f>V81*W81</f>
        <v>102534.44249999996</v>
      </c>
      <c r="Y81" s="407"/>
      <c r="Z81" s="455">
        <f>E81*(120000/25600600)</f>
        <v>1429.6539924845511</v>
      </c>
      <c r="AA81" s="456"/>
      <c r="AB81" s="9"/>
      <c r="AD81" s="455">
        <f>E81*(366000/25600600)</f>
        <v>4360.4446770778814</v>
      </c>
      <c r="AE81" s="9">
        <f>SUM(Z81:AD81)</f>
        <v>5790.0986695624324</v>
      </c>
      <c r="AF81" s="551">
        <f t="shared" si="30"/>
        <v>1.0164562610473432E-2</v>
      </c>
      <c r="AG81" s="541">
        <f t="shared" si="31"/>
        <v>0.80983543738952668</v>
      </c>
    </row>
    <row r="82" spans="1:33" ht="31.5" x14ac:dyDescent="0.25">
      <c r="A82" s="383"/>
      <c r="B82" s="384" t="s">
        <v>155</v>
      </c>
      <c r="C82" s="380"/>
      <c r="D82" s="502" t="str">
        <f t="shared" si="23"/>
        <v>begraafplaatsen</v>
      </c>
      <c r="E82" s="381">
        <v>219110</v>
      </c>
      <c r="F82" s="447">
        <v>60</v>
      </c>
      <c r="G82" s="445">
        <f>E82</f>
        <v>219110</v>
      </c>
      <c r="H82" s="444">
        <v>69</v>
      </c>
      <c r="I82" s="446">
        <f t="shared" si="41"/>
        <v>15118590</v>
      </c>
      <c r="J82" s="465"/>
      <c r="K82" s="372"/>
      <c r="L82" s="466"/>
      <c r="M82" s="467"/>
      <c r="N82" s="468"/>
      <c r="O82" s="372"/>
      <c r="P82" s="466"/>
      <c r="Q82" s="469"/>
      <c r="R82" s="465"/>
      <c r="S82" s="372"/>
      <c r="T82" s="466"/>
      <c r="U82" s="373"/>
      <c r="V82" s="412">
        <f t="shared" si="42"/>
        <v>251976.5</v>
      </c>
      <c r="W82" s="422">
        <v>0.15</v>
      </c>
      <c r="X82" s="407">
        <f t="shared" si="26"/>
        <v>37796.474999999999</v>
      </c>
      <c r="Y82" s="407"/>
      <c r="Z82" s="455">
        <f t="shared" si="27"/>
        <v>1027.0540534206229</v>
      </c>
      <c r="AA82" s="456"/>
      <c r="AB82" s="9"/>
      <c r="AD82" s="455">
        <f t="shared" si="28"/>
        <v>3132.5148629329001</v>
      </c>
      <c r="AE82" s="9">
        <f t="shared" si="29"/>
        <v>4159.5689163535226</v>
      </c>
      <c r="AF82" s="551">
        <f t="shared" si="30"/>
        <v>1.6507765273164453E-2</v>
      </c>
      <c r="AG82" s="541">
        <f t="shared" si="31"/>
        <v>0.83349223472683553</v>
      </c>
    </row>
    <row r="83" spans="1:33" x14ac:dyDescent="0.25">
      <c r="A83" s="146" t="s">
        <v>88</v>
      </c>
      <c r="B83" s="147"/>
      <c r="C83" s="148" t="s">
        <v>190</v>
      </c>
      <c r="D83" s="493" t="str">
        <f t="shared" si="23"/>
        <v>areaal in m2</v>
      </c>
      <c r="E83" s="149">
        <f>SUM(E59:E82)</f>
        <v>25600660</v>
      </c>
      <c r="F83" s="150"/>
      <c r="G83" s="151">
        <f>SUM(G59:G82)</f>
        <v>5983660</v>
      </c>
      <c r="H83" s="151"/>
      <c r="I83" s="155">
        <f>SUM(I59:I82)</f>
        <v>398452373.52709806</v>
      </c>
      <c r="J83" s="153">
        <v>60</v>
      </c>
      <c r="K83" s="151">
        <f>SUM(K59:K82)</f>
        <v>5492760</v>
      </c>
      <c r="L83" s="154"/>
      <c r="M83" s="155">
        <f>SUM(M59:M82)</f>
        <v>321361858.06333852</v>
      </c>
      <c r="N83" s="153">
        <v>40</v>
      </c>
      <c r="O83" s="151">
        <f>SUM(O59:O82)</f>
        <v>8435310</v>
      </c>
      <c r="P83" s="154"/>
      <c r="Q83" s="152">
        <f>SUM(Q59:Q82)</f>
        <v>453878257.21823204</v>
      </c>
      <c r="R83" s="156">
        <v>25</v>
      </c>
      <c r="S83" s="151">
        <f>SUM(S59:S82)</f>
        <v>5688930</v>
      </c>
      <c r="T83" s="154"/>
      <c r="U83" s="152">
        <f>SUM(U59:U82)</f>
        <v>112148808.5525662</v>
      </c>
      <c r="V83" s="412"/>
      <c r="W83" s="422"/>
      <c r="X83" s="386"/>
      <c r="Y83" s="386"/>
      <c r="Z83" s="386"/>
      <c r="AA83" s="421"/>
      <c r="AE83" s="9">
        <f t="shared" si="29"/>
        <v>0</v>
      </c>
      <c r="AF83" s="551"/>
      <c r="AG83" s="541">
        <f t="shared" si="31"/>
        <v>1</v>
      </c>
    </row>
    <row r="84" spans="1:33" x14ac:dyDescent="0.25">
      <c r="A84" s="158" t="s">
        <v>157</v>
      </c>
      <c r="B84" s="159"/>
      <c r="C84" s="160" t="s">
        <v>191</v>
      </c>
      <c r="D84" s="494" t="str">
        <f t="shared" si="23"/>
        <v>exploitatie per jaar in €</v>
      </c>
      <c r="E84" s="161"/>
      <c r="F84" s="162"/>
      <c r="G84" s="163"/>
      <c r="H84" s="163"/>
      <c r="I84" s="164">
        <f>I83/F59</f>
        <v>8854497.1894910671</v>
      </c>
      <c r="J84" s="165"/>
      <c r="K84" s="163"/>
      <c r="L84" s="166"/>
      <c r="M84" s="167">
        <f>M83/J63</f>
        <v>5356030.9677223088</v>
      </c>
      <c r="N84" s="165"/>
      <c r="O84" s="163"/>
      <c r="P84" s="166"/>
      <c r="Q84" s="167">
        <f>Q83/N63</f>
        <v>11346956.4304558</v>
      </c>
      <c r="R84" s="168"/>
      <c r="S84" s="163"/>
      <c r="T84" s="166"/>
      <c r="U84" s="167">
        <f>U83/R63</f>
        <v>4485952.3421026478</v>
      </c>
      <c r="V84" s="413">
        <f>SUM(I84:U84)</f>
        <v>30043436.929771822</v>
      </c>
      <c r="W84" s="422"/>
      <c r="X84" s="386"/>
      <c r="Y84" s="386"/>
      <c r="Z84" s="386"/>
      <c r="AA84" s="421"/>
      <c r="AE84" s="9">
        <f t="shared" si="29"/>
        <v>0</v>
      </c>
      <c r="AF84" s="551">
        <f t="shared" si="30"/>
        <v>0</v>
      </c>
      <c r="AG84" s="541">
        <f t="shared" si="31"/>
        <v>1</v>
      </c>
    </row>
    <row r="85" spans="1:33" x14ac:dyDescent="0.25">
      <c r="A85" s="793" t="s">
        <v>170</v>
      </c>
      <c r="B85" s="301" t="s">
        <v>171</v>
      </c>
      <c r="C85" s="249" t="s">
        <v>192</v>
      </c>
      <c r="D85" s="493" t="str">
        <f t="shared" si="23"/>
        <v xml:space="preserve">klinkerkaarttoename beheerkosten </v>
      </c>
      <c r="E85" s="149">
        <f>E45</f>
        <v>2584500</v>
      </c>
      <c r="F85" s="250"/>
      <c r="G85" s="251"/>
      <c r="H85" s="251"/>
      <c r="I85" s="252"/>
      <c r="J85" s="153">
        <v>60</v>
      </c>
      <c r="K85" s="302">
        <f>E85*$M$57</f>
        <v>723660.00000000012</v>
      </c>
      <c r="L85" s="254">
        <f>L65-L64</f>
        <v>57.231900000000003</v>
      </c>
      <c r="M85" s="252">
        <f>K85*L85</f>
        <v>41416436.754000008</v>
      </c>
      <c r="N85" s="153">
        <v>40</v>
      </c>
      <c r="O85" s="302">
        <f>E85*$Q$57</f>
        <v>1111335</v>
      </c>
      <c r="P85" s="254">
        <f>P65-P64</f>
        <v>8.4172999999999973</v>
      </c>
      <c r="Q85" s="252">
        <f>O85*P85</f>
        <v>9354440.095499998</v>
      </c>
      <c r="R85" s="156">
        <v>25</v>
      </c>
      <c r="S85" s="302">
        <f>E85*$U$57</f>
        <v>749505</v>
      </c>
      <c r="T85" s="254">
        <f>T65-T64</f>
        <v>7.6346099999999986</v>
      </c>
      <c r="U85" s="252">
        <f>S85*T85</f>
        <v>5722178.3680499988</v>
      </c>
      <c r="V85" s="414">
        <f>M85/J85+Q85/N85+U85/R85</f>
        <v>1153022.0830095001</v>
      </c>
      <c r="W85" s="422"/>
      <c r="X85" s="386"/>
      <c r="Y85" s="386"/>
      <c r="Z85" s="386"/>
      <c r="AA85" s="421"/>
      <c r="AE85" s="9">
        <f t="shared" si="29"/>
        <v>0</v>
      </c>
      <c r="AF85" s="551">
        <f t="shared" si="30"/>
        <v>0</v>
      </c>
      <c r="AG85" s="541">
        <f t="shared" si="31"/>
        <v>1</v>
      </c>
    </row>
    <row r="86" spans="1:33" x14ac:dyDescent="0.25">
      <c r="A86" s="794"/>
      <c r="B86" s="248" t="s">
        <v>127</v>
      </c>
      <c r="C86" s="249" t="s">
        <v>193</v>
      </c>
      <c r="D86" s="493" t="str">
        <f t="shared" si="23"/>
        <v>stil asfalttoename beheerkosten</v>
      </c>
      <c r="E86" s="149">
        <f>E46</f>
        <v>651000</v>
      </c>
      <c r="F86" s="250">
        <v>45</v>
      </c>
      <c r="G86" s="251">
        <f>E86</f>
        <v>651000</v>
      </c>
      <c r="H86" s="251">
        <f>H60-H59</f>
        <v>38.672246606999991</v>
      </c>
      <c r="I86" s="252">
        <f>G86*H86</f>
        <v>25175632.541156992</v>
      </c>
      <c r="J86" s="153"/>
      <c r="K86" s="302"/>
      <c r="L86" s="254"/>
      <c r="M86" s="252"/>
      <c r="N86" s="153"/>
      <c r="O86" s="302"/>
      <c r="P86" s="254"/>
      <c r="Q86" s="252"/>
      <c r="R86" s="156"/>
      <c r="S86" s="302"/>
      <c r="T86" s="254"/>
      <c r="U86" s="252"/>
      <c r="V86" s="414">
        <f>I86/F86</f>
        <v>559458.50091459986</v>
      </c>
      <c r="W86" s="422"/>
      <c r="X86" s="386"/>
      <c r="Y86" s="386"/>
      <c r="Z86" s="386"/>
      <c r="AA86" s="421"/>
      <c r="AC86">
        <v>5000</v>
      </c>
      <c r="AE86" s="9">
        <f t="shared" si="29"/>
        <v>5000</v>
      </c>
      <c r="AF86" s="551">
        <f t="shared" si="30"/>
        <v>8.9372133801274376E-3</v>
      </c>
      <c r="AG86" s="541">
        <f t="shared" si="31"/>
        <v>0.99106278661987257</v>
      </c>
    </row>
    <row r="87" spans="1:33" x14ac:dyDescent="0.25">
      <c r="A87" s="794"/>
      <c r="B87" s="147" t="s">
        <v>174</v>
      </c>
      <c r="C87" s="148" t="s">
        <v>193</v>
      </c>
      <c r="D87" s="493" t="str">
        <f t="shared" si="23"/>
        <v>waterpasserendtoename beheerkosten</v>
      </c>
      <c r="E87" s="149">
        <f>E47</f>
        <v>1828000</v>
      </c>
      <c r="F87" s="150"/>
      <c r="G87" s="151"/>
      <c r="H87" s="151"/>
      <c r="I87" s="155"/>
      <c r="J87" s="153">
        <v>60</v>
      </c>
      <c r="K87" s="302">
        <f>E87*$M$57</f>
        <v>511840.00000000006</v>
      </c>
      <c r="L87" s="154">
        <f>L66-L64</f>
        <v>79.902299999999997</v>
      </c>
      <c r="M87" s="252">
        <f>K87*L87</f>
        <v>40897193.232000001</v>
      </c>
      <c r="N87" s="153">
        <v>40</v>
      </c>
      <c r="O87" s="302">
        <f>E87*$Q$57</f>
        <v>786040</v>
      </c>
      <c r="P87" s="154">
        <f>P66-P64</f>
        <v>16.162082121253007</v>
      </c>
      <c r="Q87" s="152">
        <f>O87*P87</f>
        <v>12704043.030589715</v>
      </c>
      <c r="R87" s="156">
        <v>25</v>
      </c>
      <c r="S87" s="302">
        <f>E87*$U$57</f>
        <v>530120</v>
      </c>
      <c r="T87" s="154">
        <f>T66-T64</f>
        <v>16.552209999999999</v>
      </c>
      <c r="U87" s="152">
        <f>S87*T87</f>
        <v>8774657.5651999991</v>
      </c>
      <c r="V87" s="414">
        <f t="shared" ref="V87" si="43">M87/J87+Q87/N87+U87/R87</f>
        <v>1350207.2655727428</v>
      </c>
      <c r="W87" s="422"/>
      <c r="X87" s="386"/>
      <c r="Y87" s="386"/>
      <c r="Z87" s="386"/>
      <c r="AA87" s="421"/>
      <c r="AE87" s="9">
        <f t="shared" si="29"/>
        <v>0</v>
      </c>
      <c r="AF87" s="551">
        <f t="shared" si="30"/>
        <v>0</v>
      </c>
      <c r="AG87" s="541">
        <f t="shared" si="31"/>
        <v>1</v>
      </c>
    </row>
    <row r="88" spans="1:33" x14ac:dyDescent="0.25">
      <c r="A88" s="795"/>
      <c r="B88" s="306"/>
      <c r="C88" s="307" t="s">
        <v>194</v>
      </c>
      <c r="D88" s="310" t="str">
        <f t="shared" si="23"/>
        <v>toename per jaar</v>
      </c>
      <c r="E88" s="308"/>
      <c r="F88" s="309"/>
      <c r="G88" s="310"/>
      <c r="H88" s="310"/>
      <c r="I88" s="311">
        <f>I86/F86</f>
        <v>559458.50091459986</v>
      </c>
      <c r="J88" s="309"/>
      <c r="K88" s="310"/>
      <c r="L88" s="310"/>
      <c r="M88" s="311">
        <f>(M85+M87)/J87</f>
        <v>1371893.8330999999</v>
      </c>
      <c r="N88" s="309"/>
      <c r="O88" s="310"/>
      <c r="P88" s="310"/>
      <c r="Q88" s="311">
        <f>(Q85+Q87)/N87</f>
        <v>551462.07815224282</v>
      </c>
      <c r="R88" s="309"/>
      <c r="S88" s="310"/>
      <c r="T88" s="310"/>
      <c r="U88" s="311">
        <f>(U85+U87)/R87</f>
        <v>579873.43732999999</v>
      </c>
      <c r="V88" s="415">
        <f>SUM(I88:U88)</f>
        <v>3062687.8494968424</v>
      </c>
      <c r="W88" s="422"/>
      <c r="X88" s="386"/>
      <c r="Y88" s="386"/>
      <c r="Z88" s="386"/>
      <c r="AA88" s="421"/>
      <c r="AE88" s="9">
        <f t="shared" si="29"/>
        <v>0</v>
      </c>
      <c r="AF88" s="551">
        <f t="shared" si="30"/>
        <v>0</v>
      </c>
      <c r="AG88" s="541">
        <f t="shared" si="31"/>
        <v>1</v>
      </c>
    </row>
    <row r="89" spans="1:33" x14ac:dyDescent="0.25">
      <c r="A89" s="790" t="s">
        <v>159</v>
      </c>
      <c r="B89" s="172" t="s">
        <v>160</v>
      </c>
      <c r="C89" s="173" t="s">
        <v>161</v>
      </c>
      <c r="D89" s="495" t="str">
        <f t="shared" si="23"/>
        <v>bankenstuks</v>
      </c>
      <c r="E89" s="174">
        <v>9797</v>
      </c>
      <c r="F89" s="533">
        <f>F30</f>
        <v>30</v>
      </c>
      <c r="G89" s="176">
        <v>9797</v>
      </c>
      <c r="H89" s="524">
        <f>I89/G89*F89</f>
        <v>339.89996937838117</v>
      </c>
      <c r="I89" s="177">
        <v>111000</v>
      </c>
      <c r="J89" s="178"/>
      <c r="K89" s="176"/>
      <c r="L89" s="179"/>
      <c r="M89" s="177"/>
      <c r="N89" s="178"/>
      <c r="O89" s="176"/>
      <c r="P89" s="179"/>
      <c r="Q89" s="177"/>
      <c r="R89" s="180"/>
      <c r="S89" s="176"/>
      <c r="T89" s="179"/>
      <c r="U89" s="177"/>
      <c r="V89" s="416">
        <f>I89</f>
        <v>111000</v>
      </c>
      <c r="W89" s="433">
        <v>0.1</v>
      </c>
      <c r="X89" s="407">
        <f t="shared" ref="X89:X91" si="44">V89*W89</f>
        <v>11100</v>
      </c>
      <c r="Y89" s="538"/>
      <c r="Z89" s="434">
        <f>35000/4</f>
        <v>8750</v>
      </c>
      <c r="AA89" s="435"/>
      <c r="AE89" s="9">
        <f t="shared" si="29"/>
        <v>8750</v>
      </c>
      <c r="AF89" s="551">
        <f t="shared" si="30"/>
        <v>7.8828828828828829E-2</v>
      </c>
      <c r="AG89" s="541">
        <f t="shared" si="31"/>
        <v>0.82117117117117122</v>
      </c>
    </row>
    <row r="90" spans="1:33" x14ac:dyDescent="0.25">
      <c r="A90" s="791"/>
      <c r="B90" s="186" t="s">
        <v>162</v>
      </c>
      <c r="C90" s="187" t="s">
        <v>161</v>
      </c>
      <c r="D90" s="496" t="str">
        <f t="shared" si="23"/>
        <v>straatmeubilairstuks</v>
      </c>
      <c r="E90" s="188">
        <f>E31</f>
        <v>50000</v>
      </c>
      <c r="F90" s="533">
        <f t="shared" ref="F90:F91" si="45">F31</f>
        <v>28.05523585587764</v>
      </c>
      <c r="G90" s="525">
        <f>E90</f>
        <v>50000</v>
      </c>
      <c r="H90" s="524">
        <f t="shared" ref="H90:H91" si="46">I90/G90*F90</f>
        <v>540.34384258420334</v>
      </c>
      <c r="I90" s="191">
        <v>963000</v>
      </c>
      <c r="J90" s="192"/>
      <c r="K90" s="190"/>
      <c r="L90" s="193"/>
      <c r="M90" s="191"/>
      <c r="N90" s="192"/>
      <c r="O90" s="190"/>
      <c r="P90" s="193"/>
      <c r="Q90" s="191"/>
      <c r="R90" s="194"/>
      <c r="S90" s="190"/>
      <c r="T90" s="193"/>
      <c r="U90" s="191"/>
      <c r="V90" s="416">
        <f>I90</f>
        <v>963000</v>
      </c>
      <c r="W90" s="422">
        <v>0.15</v>
      </c>
      <c r="X90" s="407">
        <f t="shared" si="44"/>
        <v>144450</v>
      </c>
      <c r="Y90" s="407"/>
      <c r="Z90" s="386">
        <f>92000/4+3500</f>
        <v>26500</v>
      </c>
      <c r="AA90" s="421"/>
      <c r="AE90" s="9">
        <f t="shared" si="29"/>
        <v>26500</v>
      </c>
      <c r="AF90" s="551">
        <f t="shared" si="30"/>
        <v>2.7518172377985463E-2</v>
      </c>
      <c r="AG90" s="541">
        <f t="shared" si="31"/>
        <v>0.82248182762201449</v>
      </c>
    </row>
    <row r="91" spans="1:33" x14ac:dyDescent="0.25">
      <c r="A91" s="792"/>
      <c r="B91" s="196" t="s">
        <v>163</v>
      </c>
      <c r="C91" s="197"/>
      <c r="D91" s="497" t="str">
        <f t="shared" si="23"/>
        <v>bewegwijzering</v>
      </c>
      <c r="E91" s="198">
        <f>E32</f>
        <v>15000</v>
      </c>
      <c r="F91" s="533">
        <f t="shared" si="45"/>
        <v>25.431100790767985</v>
      </c>
      <c r="G91" s="525">
        <f>E91</f>
        <v>15000</v>
      </c>
      <c r="H91" s="524">
        <f t="shared" si="46"/>
        <v>0</v>
      </c>
      <c r="I91" s="201"/>
      <c r="J91" s="202"/>
      <c r="K91" s="200"/>
      <c r="L91" s="203"/>
      <c r="M91" s="201"/>
      <c r="N91" s="202"/>
      <c r="O91" s="200"/>
      <c r="P91" s="203"/>
      <c r="Q91" s="201"/>
      <c r="R91" s="202"/>
      <c r="S91" s="200"/>
      <c r="T91" s="203"/>
      <c r="U91" s="201"/>
      <c r="V91" s="432">
        <f>I91</f>
        <v>0</v>
      </c>
      <c r="W91" s="438">
        <v>0.1</v>
      </c>
      <c r="X91" s="407">
        <f t="shared" si="44"/>
        <v>0</v>
      </c>
      <c r="Y91" s="539"/>
      <c r="Z91" s="436">
        <v>5000</v>
      </c>
      <c r="AA91" s="437"/>
      <c r="AE91" s="9">
        <f t="shared" si="29"/>
        <v>5000</v>
      </c>
      <c r="AF91" s="551" t="e">
        <f t="shared" si="30"/>
        <v>#DIV/0!</v>
      </c>
      <c r="AG91" s="541" t="e">
        <f t="shared" si="31"/>
        <v>#DIV/0!</v>
      </c>
    </row>
    <row r="92" spans="1:33" x14ac:dyDescent="0.25">
      <c r="C92" t="s">
        <v>195</v>
      </c>
      <c r="E92" s="2"/>
      <c r="I92" s="555" t="s">
        <v>196</v>
      </c>
      <c r="J92" s="1"/>
      <c r="K92" s="1"/>
      <c r="V92" s="315">
        <f>SUM(V84:V91)</f>
        <v>37242812.628765509</v>
      </c>
      <c r="W92" s="316"/>
      <c r="AE92" s="9">
        <f>SUM(AE59:AE91)</f>
        <v>724472.41666514566</v>
      </c>
    </row>
    <row r="93" spans="1:33" x14ac:dyDescent="0.25">
      <c r="C93" s="214" t="s">
        <v>164</v>
      </c>
      <c r="D93" s="214"/>
      <c r="E93" s="215">
        <v>0.03</v>
      </c>
      <c r="G93" s="214"/>
      <c r="V93" s="317">
        <f>E93*V92</f>
        <v>1117284.3788629652</v>
      </c>
      <c r="W93" s="207"/>
    </row>
    <row r="94" spans="1:33" x14ac:dyDescent="0.25">
      <c r="C94" s="214" t="s">
        <v>165</v>
      </c>
      <c r="D94" s="214"/>
      <c r="E94" s="215">
        <v>0.05</v>
      </c>
      <c r="G94" s="214"/>
      <c r="M94" s="482" t="s">
        <v>197</v>
      </c>
      <c r="V94" s="318">
        <f>E94*V92</f>
        <v>1862140.6314382756</v>
      </c>
      <c r="W94" s="207"/>
    </row>
    <row r="95" spans="1:33" x14ac:dyDescent="0.25">
      <c r="C95" s="214" t="s">
        <v>166</v>
      </c>
      <c r="D95" s="214"/>
      <c r="E95" s="215">
        <v>0.1</v>
      </c>
      <c r="G95" s="214"/>
      <c r="V95" s="318">
        <f>E95*V92</f>
        <v>3724281.2628765511</v>
      </c>
      <c r="W95" s="207"/>
    </row>
    <row r="96" spans="1:33" x14ac:dyDescent="0.25">
      <c r="C96" s="214" t="s">
        <v>167</v>
      </c>
      <c r="D96" s="214"/>
      <c r="E96" s="215">
        <v>0.06</v>
      </c>
      <c r="G96" s="214"/>
      <c r="V96" s="318">
        <f>E96*V92</f>
        <v>2234568.7577259303</v>
      </c>
      <c r="W96" s="207"/>
    </row>
    <row r="97" spans="1:30" x14ac:dyDescent="0.25">
      <c r="C97" s="214" t="s">
        <v>168</v>
      </c>
      <c r="D97" s="214"/>
      <c r="E97" s="215">
        <v>0.05</v>
      </c>
      <c r="G97" s="214"/>
      <c r="V97" s="318">
        <f>E97*V92</f>
        <v>1862140.6314382756</v>
      </c>
      <c r="W97" s="207"/>
    </row>
    <row r="98" spans="1:30" x14ac:dyDescent="0.25">
      <c r="V98" s="319">
        <f>SUM(V92:V97)</f>
        <v>48043228.291107506</v>
      </c>
      <c r="W98" s="316"/>
    </row>
    <row r="99" spans="1:30" x14ac:dyDescent="0.25">
      <c r="V99"/>
      <c r="X99" s="9"/>
    </row>
    <row r="100" spans="1:30" ht="16.5" customHeight="1" x14ac:dyDescent="0.25">
      <c r="L100" s="691"/>
      <c r="M100" s="799" t="s">
        <v>198</v>
      </c>
      <c r="N100" s="799"/>
      <c r="O100" s="799"/>
      <c r="P100" s="799"/>
      <c r="Q100" s="799"/>
      <c r="R100" s="799"/>
      <c r="S100" s="799"/>
      <c r="T100" s="800"/>
      <c r="V100"/>
      <c r="W100"/>
      <c r="AC100" s="9"/>
      <c r="AD100" s="9"/>
    </row>
    <row r="101" spans="1:30" ht="16.5" customHeight="1" x14ac:dyDescent="0.25">
      <c r="A101" s="781" t="s">
        <v>93</v>
      </c>
      <c r="B101" s="782"/>
      <c r="C101" s="783"/>
      <c r="D101" s="483"/>
      <c r="E101" s="13" t="s">
        <v>94</v>
      </c>
      <c r="F101" s="694"/>
      <c r="G101" s="692" t="s">
        <v>199</v>
      </c>
      <c r="H101" s="693"/>
      <c r="I101" s="692"/>
      <c r="J101" s="693"/>
      <c r="K101" s="692"/>
      <c r="L101" s="693"/>
      <c r="M101" s="801" t="s">
        <v>15</v>
      </c>
      <c r="N101" s="802"/>
      <c r="O101" s="803" t="s">
        <v>33</v>
      </c>
      <c r="P101" s="802"/>
      <c r="Q101" s="803" t="s">
        <v>200</v>
      </c>
      <c r="R101" s="802"/>
      <c r="S101" s="803" t="s">
        <v>201</v>
      </c>
      <c r="T101" s="824"/>
      <c r="U101" s="426"/>
      <c r="V101" s="427" t="s">
        <v>202</v>
      </c>
      <c r="W101" s="428"/>
      <c r="X101" s="825" t="s">
        <v>203</v>
      </c>
      <c r="Y101" s="826"/>
      <c r="Z101" s="827"/>
      <c r="AC101" s="9"/>
      <c r="AD101" s="9"/>
    </row>
    <row r="102" spans="1:30" ht="38.25" x14ac:dyDescent="0.25">
      <c r="A102" s="18" t="s">
        <v>107</v>
      </c>
      <c r="B102" s="19" t="s">
        <v>108</v>
      </c>
      <c r="C102" s="20" t="s">
        <v>109</v>
      </c>
      <c r="D102" s="484" t="s">
        <v>110</v>
      </c>
      <c r="E102" s="21" t="s">
        <v>111</v>
      </c>
      <c r="F102" s="695" t="s">
        <v>204</v>
      </c>
      <c r="G102" s="692" t="s">
        <v>205</v>
      </c>
      <c r="H102" s="693" t="s">
        <v>206</v>
      </c>
      <c r="I102" s="692" t="s">
        <v>207</v>
      </c>
      <c r="J102" s="693" t="s">
        <v>208</v>
      </c>
      <c r="K102" s="692" t="s">
        <v>209</v>
      </c>
      <c r="L102" s="693" t="s">
        <v>210</v>
      </c>
      <c r="M102" s="328" t="s">
        <v>211</v>
      </c>
      <c r="N102" s="329" t="s">
        <v>212</v>
      </c>
      <c r="O102" s="329" t="s">
        <v>211</v>
      </c>
      <c r="P102" s="329" t="s">
        <v>212</v>
      </c>
      <c r="Q102" s="329" t="s">
        <v>211</v>
      </c>
      <c r="R102" s="329" t="s">
        <v>212</v>
      </c>
      <c r="S102" s="329" t="s">
        <v>211</v>
      </c>
      <c r="T102" s="330" t="s">
        <v>212</v>
      </c>
      <c r="U102" s="429" t="s">
        <v>213</v>
      </c>
      <c r="V102" s="429" t="s">
        <v>214</v>
      </c>
      <c r="W102" s="429" t="s">
        <v>215</v>
      </c>
      <c r="X102" s="828"/>
      <c r="Y102" s="829"/>
      <c r="Z102" s="830"/>
      <c r="AC102" s="9"/>
      <c r="AD102" s="9"/>
    </row>
    <row r="103" spans="1:30" ht="16.5" thickBot="1" x14ac:dyDescent="0.3">
      <c r="A103" s="804" t="s">
        <v>123</v>
      </c>
      <c r="B103" s="31" t="s">
        <v>124</v>
      </c>
      <c r="C103" s="32" t="s">
        <v>125</v>
      </c>
      <c r="D103" s="485" t="str">
        <f>B103&amp;C103</f>
        <v xml:space="preserve">rijbaan - asfaltasfalt </v>
      </c>
      <c r="E103" s="342">
        <f>E59</f>
        <v>2622000</v>
      </c>
      <c r="F103" s="556">
        <f>V4</f>
        <v>292054872.1509288</v>
      </c>
      <c r="G103" s="556">
        <v>0</v>
      </c>
      <c r="H103" s="556"/>
      <c r="I103" s="556">
        <v>1</v>
      </c>
      <c r="J103" s="698">
        <f>$J$136*F103/E103</f>
        <v>0.27807234939917741</v>
      </c>
      <c r="K103" s="556">
        <v>0</v>
      </c>
      <c r="L103" s="556"/>
      <c r="M103" s="552">
        <v>1</v>
      </c>
      <c r="N103" s="331">
        <f t="shared" ref="N103:N125" si="47">AE59</f>
        <v>116647.37300806105</v>
      </c>
      <c r="O103" s="552">
        <v>1</v>
      </c>
      <c r="P103" s="331"/>
      <c r="Q103" s="552">
        <v>1</v>
      </c>
      <c r="R103" s="385">
        <f t="shared" ref="R103:R125" si="48">X59</f>
        <v>327638.034179596</v>
      </c>
      <c r="S103" s="552">
        <v>1</v>
      </c>
      <c r="T103" s="401">
        <f t="shared" ref="T103:T126" si="49">V59</f>
        <v>3276380.3417959595</v>
      </c>
      <c r="U103" s="544" t="s">
        <v>216</v>
      </c>
      <c r="V103" s="545" t="s">
        <v>217</v>
      </c>
      <c r="W103" s="546" t="s">
        <v>218</v>
      </c>
      <c r="X103" s="430"/>
      <c r="Y103" s="430"/>
      <c r="Z103" s="431"/>
      <c r="AC103" s="9"/>
      <c r="AD103" s="9"/>
    </row>
    <row r="104" spans="1:30" ht="16.5" thickBot="1" x14ac:dyDescent="0.3">
      <c r="A104" s="805"/>
      <c r="B104" s="47" t="s">
        <v>126</v>
      </c>
      <c r="C104" s="48" t="s">
        <v>127</v>
      </c>
      <c r="D104" s="486" t="str">
        <f t="shared" ref="D104:D133" si="50">B104&amp;C104</f>
        <v>rijbaan stil asfalt</v>
      </c>
      <c r="E104" s="343">
        <f t="shared" ref="E104:E126" si="51">E60</f>
        <v>349000</v>
      </c>
      <c r="F104" s="557">
        <f t="shared" ref="F104:F126" si="52">V5</f>
        <v>39112964.1585996</v>
      </c>
      <c r="G104" s="557">
        <v>0</v>
      </c>
      <c r="H104" s="557"/>
      <c r="I104" s="557">
        <v>1</v>
      </c>
      <c r="J104" s="699">
        <f t="shared" ref="J104:J133" si="53">$J$136*F104/E104</f>
        <v>0.27978301179126147</v>
      </c>
      <c r="K104" s="557">
        <v>0</v>
      </c>
      <c r="L104" s="557"/>
      <c r="M104" s="552">
        <v>1</v>
      </c>
      <c r="N104" s="331">
        <f t="shared" si="47"/>
        <v>55526.290305039402</v>
      </c>
      <c r="O104" s="552">
        <v>1</v>
      </c>
      <c r="P104" s="332"/>
      <c r="Q104" s="552">
        <v>1</v>
      </c>
      <c r="R104" s="385">
        <f t="shared" si="48"/>
        <v>73602.572547288655</v>
      </c>
      <c r="S104" s="552">
        <v>1</v>
      </c>
      <c r="T104" s="401">
        <f t="shared" si="49"/>
        <v>736025.72547288658</v>
      </c>
      <c r="U104" s="544" t="s">
        <v>216</v>
      </c>
      <c r="V104" s="545" t="s">
        <v>217</v>
      </c>
      <c r="W104" s="546" t="s">
        <v>218</v>
      </c>
      <c r="AC104" s="9"/>
      <c r="AD104" s="9"/>
    </row>
    <row r="105" spans="1:30" ht="16.5" thickBot="1" x14ac:dyDescent="0.3">
      <c r="A105" s="805"/>
      <c r="B105" s="47" t="s">
        <v>126</v>
      </c>
      <c r="C105" s="48" t="s">
        <v>128</v>
      </c>
      <c r="D105" s="486" t="str">
        <f t="shared" si="50"/>
        <v>rijbaan gefundeerde betonstraatstenen</v>
      </c>
      <c r="E105" s="343">
        <f t="shared" si="51"/>
        <v>690000</v>
      </c>
      <c r="F105" s="557">
        <f t="shared" si="52"/>
        <v>75305151</v>
      </c>
      <c r="G105" s="557">
        <v>0</v>
      </c>
      <c r="H105" s="557"/>
      <c r="I105" s="557">
        <v>1</v>
      </c>
      <c r="J105" s="699">
        <f t="shared" si="53"/>
        <v>0.27245929644519451</v>
      </c>
      <c r="K105" s="557">
        <v>0</v>
      </c>
      <c r="L105" s="557"/>
      <c r="M105" s="552">
        <v>1</v>
      </c>
      <c r="N105" s="331">
        <f t="shared" si="47"/>
        <v>13098.911744255995</v>
      </c>
      <c r="O105" s="552">
        <v>1</v>
      </c>
      <c r="P105" s="332"/>
      <c r="Q105" s="552">
        <v>1</v>
      </c>
      <c r="R105" s="385">
        <f t="shared" si="48"/>
        <v>155783.59999999998</v>
      </c>
      <c r="S105" s="552">
        <v>1</v>
      </c>
      <c r="T105" s="401">
        <f t="shared" si="49"/>
        <v>890192</v>
      </c>
      <c r="U105" s="544" t="s">
        <v>216</v>
      </c>
      <c r="V105" s="545" t="s">
        <v>217</v>
      </c>
      <c r="W105" s="546" t="s">
        <v>218</v>
      </c>
      <c r="AC105" s="9"/>
      <c r="AD105" s="9"/>
    </row>
    <row r="106" spans="1:30" ht="16.5" thickBot="1" x14ac:dyDescent="0.3">
      <c r="A106" s="806"/>
      <c r="B106" s="61" t="s">
        <v>129</v>
      </c>
      <c r="C106" s="62" t="s">
        <v>130</v>
      </c>
      <c r="D106" s="487" t="str">
        <f t="shared" si="50"/>
        <v>rijbaan sbsgefundeerde straatbakstenen</v>
      </c>
      <c r="E106" s="344">
        <f t="shared" si="51"/>
        <v>185000</v>
      </c>
      <c r="F106" s="558">
        <f t="shared" si="52"/>
        <v>22597990.5</v>
      </c>
      <c r="G106" s="558">
        <v>0</v>
      </c>
      <c r="H106" s="558"/>
      <c r="I106" s="558">
        <v>1</v>
      </c>
      <c r="J106" s="700">
        <f t="shared" si="53"/>
        <v>0.30494683568096775</v>
      </c>
      <c r="K106" s="558">
        <v>0</v>
      </c>
      <c r="L106" s="558"/>
      <c r="M106" s="552">
        <v>1</v>
      </c>
      <c r="N106" s="331">
        <f t="shared" si="47"/>
        <v>3512.0270618657378</v>
      </c>
      <c r="O106" s="552">
        <v>1</v>
      </c>
      <c r="P106" s="332"/>
      <c r="Q106" s="552">
        <v>1</v>
      </c>
      <c r="R106" s="385">
        <f t="shared" si="48"/>
        <v>46422.728333333333</v>
      </c>
      <c r="S106" s="552">
        <v>1</v>
      </c>
      <c r="T106" s="401">
        <f t="shared" si="49"/>
        <v>265272.73333333334</v>
      </c>
      <c r="U106" s="544" t="s">
        <v>216</v>
      </c>
      <c r="V106" s="545" t="s">
        <v>217</v>
      </c>
      <c r="W106" s="546" t="s">
        <v>218</v>
      </c>
      <c r="AC106" s="9"/>
      <c r="AD106" s="9"/>
    </row>
    <row r="107" spans="1:30" ht="16.5" thickBot="1" x14ac:dyDescent="0.3">
      <c r="A107" s="787" t="s">
        <v>132</v>
      </c>
      <c r="B107" s="74" t="s">
        <v>133</v>
      </c>
      <c r="C107" s="75" t="s">
        <v>125</v>
      </c>
      <c r="D107" s="488" t="str">
        <f t="shared" si="50"/>
        <v xml:space="preserve">rijwegenasfalt </v>
      </c>
      <c r="E107" s="76">
        <f t="shared" si="51"/>
        <v>841000</v>
      </c>
      <c r="F107" s="559">
        <f t="shared" si="52"/>
        <v>99025983.900000006</v>
      </c>
      <c r="G107" s="559">
        <v>0</v>
      </c>
      <c r="H107" s="559"/>
      <c r="I107" s="559">
        <v>1</v>
      </c>
      <c r="J107" s="701">
        <f t="shared" si="53"/>
        <v>0.2939538876219821</v>
      </c>
      <c r="K107" s="559">
        <v>0</v>
      </c>
      <c r="L107" s="559"/>
      <c r="M107" s="552">
        <v>1</v>
      </c>
      <c r="N107" s="331">
        <f t="shared" si="47"/>
        <v>37414.355720739644</v>
      </c>
      <c r="O107" s="552">
        <v>1</v>
      </c>
      <c r="P107" s="332"/>
      <c r="Q107" s="552">
        <v>1</v>
      </c>
      <c r="R107" s="385">
        <f t="shared" si="48"/>
        <v>126683.36640499998</v>
      </c>
      <c r="S107" s="552">
        <v>1</v>
      </c>
      <c r="T107" s="401">
        <f t="shared" si="49"/>
        <v>1013466.9312399998</v>
      </c>
      <c r="U107" s="548" t="s">
        <v>216</v>
      </c>
      <c r="V107" s="547" t="s">
        <v>219</v>
      </c>
      <c r="W107" s="549" t="s">
        <v>220</v>
      </c>
      <c r="AC107" s="9"/>
      <c r="AD107" s="9"/>
    </row>
    <row r="108" spans="1:30" ht="16.5" thickBot="1" x14ac:dyDescent="0.3">
      <c r="A108" s="788"/>
      <c r="B108" s="74" t="s">
        <v>133</v>
      </c>
      <c r="C108" s="89" t="s">
        <v>134</v>
      </c>
      <c r="D108" s="489" t="str">
        <f t="shared" si="50"/>
        <v>rijwegenbetonstraatstenen</v>
      </c>
      <c r="E108" s="90">
        <f t="shared" si="51"/>
        <v>4141000</v>
      </c>
      <c r="F108" s="560">
        <f t="shared" si="52"/>
        <v>326030454.30000007</v>
      </c>
      <c r="G108" s="560">
        <v>0</v>
      </c>
      <c r="H108" s="560"/>
      <c r="I108" s="560">
        <v>1</v>
      </c>
      <c r="J108" s="702">
        <f t="shared" si="53"/>
        <v>0.19655268303231044</v>
      </c>
      <c r="K108" s="560">
        <v>0</v>
      </c>
      <c r="L108" s="560"/>
      <c r="M108" s="552">
        <v>1</v>
      </c>
      <c r="N108" s="331">
        <f t="shared" si="47"/>
        <v>78612.4543956001</v>
      </c>
      <c r="O108" s="552">
        <v>1</v>
      </c>
      <c r="P108" s="332"/>
      <c r="Q108" s="552">
        <v>1</v>
      </c>
      <c r="R108" s="385">
        <f t="shared" si="48"/>
        <v>735550.81297407497</v>
      </c>
      <c r="S108" s="552">
        <v>1</v>
      </c>
      <c r="T108" s="401">
        <f t="shared" si="49"/>
        <v>4203147.5027090004</v>
      </c>
      <c r="U108" s="548" t="s">
        <v>216</v>
      </c>
      <c r="V108" s="547" t="s">
        <v>219</v>
      </c>
      <c r="W108" s="549" t="s">
        <v>220</v>
      </c>
      <c r="AC108" s="9"/>
      <c r="AD108" s="9"/>
    </row>
    <row r="109" spans="1:30" ht="16.5" thickBot="1" x14ac:dyDescent="0.3">
      <c r="A109" s="788"/>
      <c r="B109" s="74" t="s">
        <v>133</v>
      </c>
      <c r="C109" s="89" t="s">
        <v>135</v>
      </c>
      <c r="D109" s="489" t="str">
        <f t="shared" si="50"/>
        <v>rijwegenstraatbakstenen</v>
      </c>
      <c r="E109" s="90">
        <f t="shared" si="51"/>
        <v>737000</v>
      </c>
      <c r="F109" s="560">
        <f t="shared" si="52"/>
        <v>67244911.800000012</v>
      </c>
      <c r="G109" s="560">
        <v>0</v>
      </c>
      <c r="H109" s="560"/>
      <c r="I109" s="560">
        <v>1</v>
      </c>
      <c r="J109" s="702">
        <f t="shared" si="53"/>
        <v>0.22778125335630039</v>
      </c>
      <c r="K109" s="560">
        <v>0</v>
      </c>
      <c r="L109" s="560"/>
      <c r="M109" s="552">
        <v>1</v>
      </c>
      <c r="N109" s="331">
        <f t="shared" si="47"/>
        <v>13991.156457270532</v>
      </c>
      <c r="O109" s="552">
        <v>1</v>
      </c>
      <c r="P109" s="332"/>
      <c r="Q109" s="552">
        <v>1</v>
      </c>
      <c r="R109" s="385">
        <f t="shared" si="48"/>
        <v>188450.20906250001</v>
      </c>
      <c r="S109" s="552">
        <v>1</v>
      </c>
      <c r="T109" s="401">
        <f t="shared" si="49"/>
        <v>1076858.3375000001</v>
      </c>
      <c r="U109" s="548" t="s">
        <v>216</v>
      </c>
      <c r="V109" s="547" t="s">
        <v>219</v>
      </c>
      <c r="W109" s="549" t="s">
        <v>220</v>
      </c>
      <c r="AC109" s="9"/>
      <c r="AD109" s="9"/>
    </row>
    <row r="110" spans="1:30" ht="16.5" thickBot="1" x14ac:dyDescent="0.3">
      <c r="A110" s="788"/>
      <c r="B110" s="74" t="s">
        <v>133</v>
      </c>
      <c r="C110" s="89" t="s">
        <v>136</v>
      </c>
      <c r="D110" s="489" t="str">
        <f t="shared" si="50"/>
        <v>rijwegenbetonstraatstenen - wpv</v>
      </c>
      <c r="E110" s="90">
        <f t="shared" si="51"/>
        <v>172000</v>
      </c>
      <c r="F110" s="560">
        <f t="shared" si="52"/>
        <v>14347999.199999997</v>
      </c>
      <c r="G110" s="560">
        <v>0</v>
      </c>
      <c r="H110" s="560"/>
      <c r="I110" s="560">
        <v>1</v>
      </c>
      <c r="J110" s="702">
        <f t="shared" si="53"/>
        <v>0.2082518819442476</v>
      </c>
      <c r="K110" s="560">
        <v>0</v>
      </c>
      <c r="L110" s="560"/>
      <c r="M110" s="552">
        <v>1</v>
      </c>
      <c r="N110" s="331">
        <f t="shared" si="47"/>
        <v>33265.235971031929</v>
      </c>
      <c r="O110" s="552">
        <v>1</v>
      </c>
      <c r="P110" s="332"/>
      <c r="Q110" s="552">
        <v>1</v>
      </c>
      <c r="R110" s="385">
        <f t="shared" si="48"/>
        <v>52784.361360884439</v>
      </c>
      <c r="S110" s="552">
        <v>1</v>
      </c>
      <c r="T110" s="401">
        <f t="shared" si="49"/>
        <v>301624.92206219683</v>
      </c>
      <c r="U110" s="548" t="s">
        <v>216</v>
      </c>
      <c r="V110" s="547" t="s">
        <v>219</v>
      </c>
      <c r="W110" s="549" t="s">
        <v>220</v>
      </c>
      <c r="AC110" s="9"/>
      <c r="AD110" s="9"/>
    </row>
    <row r="111" spans="1:30" ht="16.5" thickBot="1" x14ac:dyDescent="0.3">
      <c r="A111" s="788"/>
      <c r="B111" s="98" t="s">
        <v>137</v>
      </c>
      <c r="C111" s="89" t="s">
        <v>134</v>
      </c>
      <c r="D111" s="489" t="str">
        <f t="shared" si="50"/>
        <v>parkeervakkenbetonstraatstenen</v>
      </c>
      <c r="E111" s="90">
        <f t="shared" si="51"/>
        <v>2045000</v>
      </c>
      <c r="F111" s="560">
        <f t="shared" si="52"/>
        <v>127575149.21790627</v>
      </c>
      <c r="G111" s="560">
        <v>0</v>
      </c>
      <c r="H111" s="560"/>
      <c r="I111" s="560">
        <v>1</v>
      </c>
      <c r="J111" s="702">
        <f t="shared" si="53"/>
        <v>0.15573951235167879</v>
      </c>
      <c r="K111" s="560">
        <v>0</v>
      </c>
      <c r="L111" s="560"/>
      <c r="M111" s="552">
        <v>1</v>
      </c>
      <c r="N111" s="331">
        <f t="shared" si="47"/>
        <v>38822.136981164498</v>
      </c>
      <c r="O111" s="552">
        <v>1</v>
      </c>
      <c r="P111" s="332"/>
      <c r="Q111" s="552">
        <v>1</v>
      </c>
      <c r="R111" s="385">
        <f t="shared" si="48"/>
        <v>334618.62688191788</v>
      </c>
      <c r="S111" s="552">
        <v>1</v>
      </c>
      <c r="T111" s="401">
        <f t="shared" si="49"/>
        <v>1912106.4393252451</v>
      </c>
      <c r="U111" s="548" t="s">
        <v>216</v>
      </c>
      <c r="V111" s="547" t="s">
        <v>219</v>
      </c>
      <c r="W111" s="549" t="s">
        <v>220</v>
      </c>
      <c r="AC111" s="9"/>
      <c r="AD111" s="9"/>
    </row>
    <row r="112" spans="1:30" ht="16.5" thickBot="1" x14ac:dyDescent="0.3">
      <c r="A112" s="788"/>
      <c r="B112" s="98" t="s">
        <v>137</v>
      </c>
      <c r="C112" s="89" t="s">
        <v>135</v>
      </c>
      <c r="D112" s="489" t="str">
        <f t="shared" si="50"/>
        <v>parkeervakkenstraatbakstenen</v>
      </c>
      <c r="E112" s="90">
        <f t="shared" si="51"/>
        <v>280000</v>
      </c>
      <c r="F112" s="560">
        <f t="shared" si="52"/>
        <v>20647797.423715845</v>
      </c>
      <c r="G112" s="560">
        <v>0</v>
      </c>
      <c r="H112" s="560"/>
      <c r="I112" s="560">
        <v>1</v>
      </c>
      <c r="J112" s="702">
        <f t="shared" si="53"/>
        <v>0.18409489145673627</v>
      </c>
      <c r="K112" s="560">
        <v>0</v>
      </c>
      <c r="L112" s="560"/>
      <c r="M112" s="552">
        <v>1</v>
      </c>
      <c r="N112" s="331">
        <f t="shared" si="47"/>
        <v>5315.5004179589541</v>
      </c>
      <c r="O112" s="552">
        <v>1</v>
      </c>
      <c r="P112" s="332"/>
      <c r="Q112" s="552">
        <v>1</v>
      </c>
      <c r="R112" s="385">
        <f t="shared" si="48"/>
        <v>34478.594688028301</v>
      </c>
      <c r="S112" s="552">
        <v>1</v>
      </c>
      <c r="T112" s="401">
        <f t="shared" si="49"/>
        <v>344785.94688028301</v>
      </c>
      <c r="U112" s="548" t="s">
        <v>216</v>
      </c>
      <c r="V112" s="547" t="s">
        <v>219</v>
      </c>
      <c r="W112" s="549" t="s">
        <v>220</v>
      </c>
      <c r="AC112" s="9"/>
      <c r="AD112" s="9"/>
    </row>
    <row r="113" spans="1:30" ht="16.5" thickBot="1" x14ac:dyDescent="0.3">
      <c r="A113" s="788"/>
      <c r="B113" s="98" t="s">
        <v>137</v>
      </c>
      <c r="C113" s="89" t="s">
        <v>125</v>
      </c>
      <c r="D113" s="489" t="str">
        <f t="shared" si="50"/>
        <v xml:space="preserve">parkeervakkenasfalt </v>
      </c>
      <c r="E113" s="90">
        <f t="shared" si="51"/>
        <v>123000</v>
      </c>
      <c r="F113" s="560">
        <f t="shared" si="52"/>
        <v>14482991.700000001</v>
      </c>
      <c r="G113" s="560">
        <v>0</v>
      </c>
      <c r="H113" s="560"/>
      <c r="I113" s="560">
        <v>1</v>
      </c>
      <c r="J113" s="702">
        <f t="shared" si="53"/>
        <v>0.2939538876219821</v>
      </c>
      <c r="K113" s="560">
        <v>0</v>
      </c>
      <c r="L113" s="560"/>
      <c r="M113" s="552">
        <v>1</v>
      </c>
      <c r="N113" s="331">
        <f t="shared" si="47"/>
        <v>2335.0233978891119</v>
      </c>
      <c r="O113" s="552">
        <v>1</v>
      </c>
      <c r="P113" s="332"/>
      <c r="Q113" s="552">
        <v>1</v>
      </c>
      <c r="R113" s="385">
        <f t="shared" si="48"/>
        <v>18528.007214999998</v>
      </c>
      <c r="S113" s="552">
        <v>1</v>
      </c>
      <c r="T113" s="401">
        <f t="shared" si="49"/>
        <v>148224.05771999998</v>
      </c>
      <c r="U113" s="548" t="s">
        <v>216</v>
      </c>
      <c r="V113" s="547" t="s">
        <v>219</v>
      </c>
      <c r="W113" s="549" t="s">
        <v>220</v>
      </c>
      <c r="AC113" s="9"/>
      <c r="AD113" s="9"/>
    </row>
    <row r="114" spans="1:30" ht="16.5" thickBot="1" x14ac:dyDescent="0.3">
      <c r="A114" s="788"/>
      <c r="B114" s="98" t="s">
        <v>137</v>
      </c>
      <c r="C114" s="89" t="s">
        <v>138</v>
      </c>
      <c r="D114" s="489" t="str">
        <f t="shared" si="50"/>
        <v>parkeervakkendiverse verharding</v>
      </c>
      <c r="E114" s="90">
        <f t="shared" si="51"/>
        <v>194000</v>
      </c>
      <c r="F114" s="560">
        <f t="shared" si="52"/>
        <v>15274066.200000003</v>
      </c>
      <c r="G114" s="560">
        <v>0</v>
      </c>
      <c r="H114" s="560"/>
      <c r="I114" s="560">
        <v>1</v>
      </c>
      <c r="J114" s="702">
        <f t="shared" si="53"/>
        <v>0.19655268303231044</v>
      </c>
      <c r="K114" s="560">
        <v>0</v>
      </c>
      <c r="L114" s="560"/>
      <c r="M114" s="552">
        <v>1</v>
      </c>
      <c r="N114" s="331">
        <f t="shared" si="47"/>
        <v>3682.8824324429897</v>
      </c>
      <c r="O114" s="552">
        <v>1</v>
      </c>
      <c r="P114" s="332"/>
      <c r="Q114" s="552">
        <v>1</v>
      </c>
      <c r="R114" s="385">
        <f t="shared" si="48"/>
        <v>29536.728405900001</v>
      </c>
      <c r="S114" s="552">
        <v>1</v>
      </c>
      <c r="T114" s="401">
        <f t="shared" si="49"/>
        <v>196911.52270600002</v>
      </c>
      <c r="U114" s="548" t="s">
        <v>216</v>
      </c>
      <c r="V114" s="547" t="s">
        <v>219</v>
      </c>
      <c r="W114" s="549" t="s">
        <v>220</v>
      </c>
      <c r="AC114" s="9"/>
      <c r="AD114" s="9"/>
    </row>
    <row r="115" spans="1:30" ht="16.5" thickBot="1" x14ac:dyDescent="0.3">
      <c r="A115" s="788"/>
      <c r="B115" s="88" t="s">
        <v>139</v>
      </c>
      <c r="C115" s="89" t="s">
        <v>140</v>
      </c>
      <c r="D115" s="489" t="str">
        <f t="shared" si="50"/>
        <v>fietspadenrood asfalt</v>
      </c>
      <c r="E115" s="90">
        <f t="shared" si="51"/>
        <v>1516000</v>
      </c>
      <c r="F115" s="560">
        <f t="shared" si="52"/>
        <v>149833874.07455736</v>
      </c>
      <c r="G115" s="560">
        <v>0</v>
      </c>
      <c r="H115" s="560"/>
      <c r="I115" s="560">
        <v>1</v>
      </c>
      <c r="J115" s="702">
        <f t="shared" si="53"/>
        <v>0.24673845743481695</v>
      </c>
      <c r="K115" s="560">
        <v>0</v>
      </c>
      <c r="L115" s="560"/>
      <c r="M115" s="552">
        <v>1</v>
      </c>
      <c r="N115" s="331">
        <f t="shared" si="47"/>
        <v>42148.244679174939</v>
      </c>
      <c r="O115" s="552">
        <v>1</v>
      </c>
      <c r="P115" s="332"/>
      <c r="Q115" s="552">
        <v>1</v>
      </c>
      <c r="R115" s="385">
        <f t="shared" si="48"/>
        <v>296357.41818926961</v>
      </c>
      <c r="S115" s="552">
        <v>1</v>
      </c>
      <c r="T115" s="401">
        <f t="shared" si="49"/>
        <v>2370859.3455141569</v>
      </c>
      <c r="U115" s="548" t="s">
        <v>216</v>
      </c>
      <c r="V115" s="547" t="s">
        <v>219</v>
      </c>
      <c r="W115" s="549" t="s">
        <v>220</v>
      </c>
      <c r="AC115" s="9"/>
      <c r="AD115" s="9"/>
    </row>
    <row r="116" spans="1:30" ht="16.5" thickBot="1" x14ac:dyDescent="0.3">
      <c r="A116" s="788"/>
      <c r="B116" s="88" t="s">
        <v>139</v>
      </c>
      <c r="C116" s="89" t="s">
        <v>141</v>
      </c>
      <c r="D116" s="489" t="str">
        <f t="shared" si="50"/>
        <v>fietspadenelementverharding</v>
      </c>
      <c r="E116" s="90">
        <f t="shared" si="51"/>
        <v>185000</v>
      </c>
      <c r="F116" s="560">
        <f t="shared" si="52"/>
        <v>23650689.64496047</v>
      </c>
      <c r="G116" s="560">
        <v>0</v>
      </c>
      <c r="H116" s="560"/>
      <c r="I116" s="560">
        <v>1</v>
      </c>
      <c r="J116" s="702">
        <f t="shared" si="53"/>
        <v>0.31915240290517538</v>
      </c>
      <c r="K116" s="560">
        <v>0</v>
      </c>
      <c r="L116" s="560"/>
      <c r="M116" s="552">
        <v>1</v>
      </c>
      <c r="N116" s="331">
        <f t="shared" si="47"/>
        <v>5143.4203599257016</v>
      </c>
      <c r="O116" s="552">
        <v>1</v>
      </c>
      <c r="P116" s="333"/>
      <c r="Q116" s="552">
        <v>1</v>
      </c>
      <c r="R116" s="385">
        <f t="shared" si="48"/>
        <v>60217.313649930045</v>
      </c>
      <c r="S116" s="552">
        <v>1</v>
      </c>
      <c r="T116" s="401">
        <f t="shared" si="49"/>
        <v>344098.93514245743</v>
      </c>
      <c r="U116" s="548" t="s">
        <v>216</v>
      </c>
      <c r="V116" s="547" t="s">
        <v>219</v>
      </c>
      <c r="W116" s="549" t="s">
        <v>220</v>
      </c>
      <c r="AC116" s="9"/>
      <c r="AD116" s="9"/>
    </row>
    <row r="117" spans="1:30" ht="16.5" thickBot="1" x14ac:dyDescent="0.3">
      <c r="A117" s="788"/>
      <c r="B117" s="88" t="s">
        <v>142</v>
      </c>
      <c r="C117" s="89" t="s">
        <v>143</v>
      </c>
      <c r="D117" s="489" t="str">
        <f t="shared" si="50"/>
        <v>voetpadentrotoirtegels</v>
      </c>
      <c r="E117" s="90">
        <f t="shared" si="51"/>
        <v>9091000</v>
      </c>
      <c r="F117" s="560">
        <f t="shared" si="52"/>
        <v>581664731.51001263</v>
      </c>
      <c r="G117" s="560">
        <v>0</v>
      </c>
      <c r="H117" s="560"/>
      <c r="I117" s="560">
        <v>1</v>
      </c>
      <c r="J117" s="702">
        <f t="shared" si="53"/>
        <v>0.15973022809075038</v>
      </c>
      <c r="K117" s="560">
        <v>0</v>
      </c>
      <c r="L117" s="560"/>
      <c r="M117" s="552">
        <v>1</v>
      </c>
      <c r="N117" s="331">
        <f t="shared" si="47"/>
        <v>172582.90821308875</v>
      </c>
      <c r="O117" s="552">
        <v>1</v>
      </c>
      <c r="P117" s="332"/>
      <c r="Q117" s="552">
        <v>1</v>
      </c>
      <c r="R117" s="385">
        <f t="shared" si="48"/>
        <v>1452083.0404885418</v>
      </c>
      <c r="S117" s="552">
        <v>1</v>
      </c>
      <c r="T117" s="401">
        <f t="shared" si="49"/>
        <v>8297617.3742202399</v>
      </c>
      <c r="U117" s="548" t="s">
        <v>216</v>
      </c>
      <c r="V117" s="547" t="s">
        <v>219</v>
      </c>
      <c r="W117" s="549" t="s">
        <v>220</v>
      </c>
      <c r="AC117" s="9"/>
      <c r="AD117" s="9"/>
    </row>
    <row r="118" spans="1:30" ht="32.25" thickBot="1" x14ac:dyDescent="0.3">
      <c r="A118" s="788"/>
      <c r="B118" s="88" t="s">
        <v>142</v>
      </c>
      <c r="C118" s="89" t="s">
        <v>144</v>
      </c>
      <c r="D118" s="489" t="str">
        <f t="shared" si="50"/>
        <v>voetpadennatuursteentegels gefundeerd</v>
      </c>
      <c r="E118" s="90">
        <f t="shared" si="51"/>
        <v>55000</v>
      </c>
      <c r="F118" s="560">
        <f t="shared" si="52"/>
        <v>10125424.893598059</v>
      </c>
      <c r="G118" s="560">
        <v>0</v>
      </c>
      <c r="H118" s="560"/>
      <c r="I118" s="560">
        <v>1</v>
      </c>
      <c r="J118" s="702">
        <f t="shared" si="53"/>
        <v>0.45959638597647162</v>
      </c>
      <c r="K118" s="560">
        <v>0</v>
      </c>
      <c r="L118" s="560"/>
      <c r="M118" s="552">
        <v>1</v>
      </c>
      <c r="N118" s="331">
        <f t="shared" si="47"/>
        <v>1544.1161535276517</v>
      </c>
      <c r="O118" s="552">
        <v>1</v>
      </c>
      <c r="P118" s="332"/>
      <c r="Q118" s="552">
        <v>1</v>
      </c>
      <c r="R118" s="385">
        <f t="shared" si="48"/>
        <v>64614.308500859202</v>
      </c>
      <c r="S118" s="552">
        <v>1</v>
      </c>
      <c r="T118" s="401">
        <f t="shared" si="49"/>
        <v>369224.62000490975</v>
      </c>
      <c r="U118" s="548" t="s">
        <v>216</v>
      </c>
      <c r="V118" s="547" t="s">
        <v>219</v>
      </c>
      <c r="W118" s="549" t="s">
        <v>220</v>
      </c>
      <c r="AC118" s="9"/>
      <c r="AD118" s="9"/>
    </row>
    <row r="119" spans="1:30" ht="32.25" thickBot="1" x14ac:dyDescent="0.3">
      <c r="A119" s="788"/>
      <c r="B119" s="88" t="s">
        <v>142</v>
      </c>
      <c r="C119" s="89" t="s">
        <v>145</v>
      </c>
      <c r="D119" s="489" t="str">
        <f t="shared" si="50"/>
        <v>voetpadennatuursteentegels ongefundeerd</v>
      </c>
      <c r="E119" s="90">
        <f t="shared" si="51"/>
        <v>81000</v>
      </c>
      <c r="F119" s="560">
        <f t="shared" si="52"/>
        <v>11173845.519087238</v>
      </c>
      <c r="G119" s="560">
        <v>0</v>
      </c>
      <c r="H119" s="560"/>
      <c r="I119" s="560">
        <v>1</v>
      </c>
      <c r="J119" s="702">
        <f t="shared" si="53"/>
        <v>0.3443845676221447</v>
      </c>
      <c r="K119" s="560">
        <v>0</v>
      </c>
      <c r="L119" s="560"/>
      <c r="M119" s="552">
        <v>1</v>
      </c>
      <c r="N119" s="331">
        <f t="shared" si="47"/>
        <v>2037.6983351952688</v>
      </c>
      <c r="O119" s="552">
        <v>1</v>
      </c>
      <c r="P119" s="340"/>
      <c r="Q119" s="552">
        <v>1</v>
      </c>
      <c r="R119" s="385">
        <f t="shared" si="48"/>
        <v>72270.900616161322</v>
      </c>
      <c r="S119" s="552">
        <v>1</v>
      </c>
      <c r="T119" s="401">
        <f t="shared" si="49"/>
        <v>412976.57494949328</v>
      </c>
      <c r="U119" s="548" t="s">
        <v>216</v>
      </c>
      <c r="V119" s="547" t="s">
        <v>219</v>
      </c>
      <c r="W119" s="549" t="s">
        <v>220</v>
      </c>
      <c r="AC119" s="9"/>
      <c r="AD119" s="9"/>
    </row>
    <row r="120" spans="1:30" ht="32.25" thickBot="1" x14ac:dyDescent="0.3">
      <c r="A120" s="789"/>
      <c r="B120" s="88" t="s">
        <v>142</v>
      </c>
      <c r="C120" s="101" t="s">
        <v>146</v>
      </c>
      <c r="D120" s="490" t="str">
        <f t="shared" si="50"/>
        <v>voetpadenafwijkende tegels (formaat, dik)</v>
      </c>
      <c r="E120" s="334">
        <f t="shared" si="51"/>
        <v>156000</v>
      </c>
      <c r="F120" s="561">
        <f t="shared" si="52"/>
        <v>15238034.321176868</v>
      </c>
      <c r="G120" s="561">
        <v>0</v>
      </c>
      <c r="H120" s="561"/>
      <c r="I120" s="561">
        <v>1</v>
      </c>
      <c r="J120" s="703">
        <f t="shared" si="53"/>
        <v>0.24385428249170207</v>
      </c>
      <c r="K120" s="561">
        <v>0</v>
      </c>
      <c r="L120" s="561"/>
      <c r="M120" s="552">
        <v>1</v>
      </c>
      <c r="N120" s="331">
        <f t="shared" si="47"/>
        <v>2961.4930900057029</v>
      </c>
      <c r="O120" s="552">
        <v>1</v>
      </c>
      <c r="P120" s="340"/>
      <c r="Q120" s="552">
        <v>1</v>
      </c>
      <c r="R120" s="385">
        <f t="shared" si="48"/>
        <v>34481.515303685512</v>
      </c>
      <c r="S120" s="552">
        <v>1</v>
      </c>
      <c r="T120" s="401">
        <f t="shared" si="49"/>
        <v>197037.23030677438</v>
      </c>
      <c r="U120" s="548" t="s">
        <v>216</v>
      </c>
      <c r="V120" s="547" t="s">
        <v>219</v>
      </c>
      <c r="W120" s="549" t="s">
        <v>220</v>
      </c>
      <c r="AC120" s="9"/>
      <c r="AD120" s="9"/>
    </row>
    <row r="121" spans="1:30" ht="16.5" thickBot="1" x14ac:dyDescent="0.3">
      <c r="A121" s="110" t="s">
        <v>147</v>
      </c>
      <c r="B121" s="111" t="s">
        <v>148</v>
      </c>
      <c r="C121" s="112" t="s">
        <v>149</v>
      </c>
      <c r="D121" s="491" t="str">
        <f t="shared" si="50"/>
        <v>kadeskadekeien</v>
      </c>
      <c r="E121" s="335">
        <f t="shared" si="51"/>
        <v>265000</v>
      </c>
      <c r="F121" s="335">
        <f t="shared" si="52"/>
        <v>28606789.75633714</v>
      </c>
      <c r="G121" s="335">
        <v>0</v>
      </c>
      <c r="H121" s="335"/>
      <c r="I121" s="335">
        <v>1</v>
      </c>
      <c r="J121" s="704">
        <f t="shared" si="53"/>
        <v>0.26949411640382248</v>
      </c>
      <c r="K121" s="335">
        <v>0</v>
      </c>
      <c r="L121" s="335"/>
      <c r="M121" s="552">
        <v>1</v>
      </c>
      <c r="N121" s="331">
        <f t="shared" si="47"/>
        <v>15030.741466996868</v>
      </c>
      <c r="O121" s="552">
        <v>1</v>
      </c>
      <c r="P121" s="340"/>
      <c r="Q121" s="552">
        <v>1</v>
      </c>
      <c r="R121" s="385">
        <f t="shared" si="48"/>
        <v>83475</v>
      </c>
      <c r="S121" s="552">
        <v>1</v>
      </c>
      <c r="T121" s="401">
        <f t="shared" si="49"/>
        <v>477000</v>
      </c>
      <c r="U121" s="548" t="s">
        <v>216</v>
      </c>
      <c r="V121" s="547" t="s">
        <v>219</v>
      </c>
      <c r="W121" s="549" t="s">
        <v>220</v>
      </c>
      <c r="AC121" s="9"/>
      <c r="AD121" s="9"/>
    </row>
    <row r="122" spans="1:30" ht="16.5" thickBot="1" x14ac:dyDescent="0.3">
      <c r="A122" s="124"/>
      <c r="B122" s="125" t="s">
        <v>150</v>
      </c>
      <c r="C122" s="126" t="s">
        <v>151</v>
      </c>
      <c r="D122" s="492" t="str">
        <f t="shared" si="50"/>
        <v>padenhalfverharding</v>
      </c>
      <c r="E122" s="336">
        <f t="shared" si="51"/>
        <v>725000</v>
      </c>
      <c r="F122" s="562">
        <f t="shared" si="52"/>
        <v>56046616.863943122</v>
      </c>
      <c r="G122" s="562">
        <v>0</v>
      </c>
      <c r="H122" s="562"/>
      <c r="I122" s="562">
        <v>1</v>
      </c>
      <c r="J122" s="705">
        <f t="shared" si="53"/>
        <v>0.19299116766110067</v>
      </c>
      <c r="K122" s="562">
        <v>0</v>
      </c>
      <c r="L122" s="562"/>
      <c r="M122" s="552">
        <v>1</v>
      </c>
      <c r="N122" s="331">
        <f t="shared" si="47"/>
        <v>13763.349296500865</v>
      </c>
      <c r="O122" s="552">
        <v>1</v>
      </c>
      <c r="P122" s="340"/>
      <c r="Q122" s="552">
        <v>1</v>
      </c>
      <c r="R122" s="385">
        <f t="shared" si="48"/>
        <v>116302.08333333333</v>
      </c>
      <c r="S122" s="552">
        <v>1</v>
      </c>
      <c r="T122" s="401">
        <f t="shared" si="49"/>
        <v>930416.66666666663</v>
      </c>
      <c r="U122" s="548" t="s">
        <v>216</v>
      </c>
      <c r="V122" s="547" t="s">
        <v>219</v>
      </c>
      <c r="W122" s="549" t="s">
        <v>220</v>
      </c>
      <c r="AC122" s="9"/>
      <c r="AD122" s="9"/>
    </row>
    <row r="123" spans="1:30" ht="16.5" thickBot="1" x14ac:dyDescent="0.3">
      <c r="A123" s="124"/>
      <c r="B123" s="125" t="s">
        <v>150</v>
      </c>
      <c r="C123" s="126" t="s">
        <v>152</v>
      </c>
      <c r="D123" s="492" t="str">
        <f t="shared" si="50"/>
        <v>padenasfalt</v>
      </c>
      <c r="E123" s="336">
        <f t="shared" si="51"/>
        <v>618000</v>
      </c>
      <c r="F123" s="562">
        <f t="shared" si="52"/>
        <v>31258566.906274565</v>
      </c>
      <c r="G123" s="562">
        <v>0</v>
      </c>
      <c r="H123" s="562"/>
      <c r="I123" s="562">
        <v>1</v>
      </c>
      <c r="J123" s="705">
        <f t="shared" si="53"/>
        <v>0.12627187405752952</v>
      </c>
      <c r="K123" s="562">
        <v>0</v>
      </c>
      <c r="L123" s="562"/>
      <c r="M123" s="552">
        <v>1</v>
      </c>
      <c r="N123" s="331">
        <f t="shared" si="47"/>
        <v>11732.068779637975</v>
      </c>
      <c r="O123" s="552">
        <v>1</v>
      </c>
      <c r="P123" s="340"/>
      <c r="Q123" s="552">
        <v>1</v>
      </c>
      <c r="R123" s="385">
        <f t="shared" si="48"/>
        <v>65662.5</v>
      </c>
      <c r="S123" s="552">
        <v>1</v>
      </c>
      <c r="T123" s="401">
        <f t="shared" si="49"/>
        <v>525300</v>
      </c>
      <c r="U123" s="548" t="s">
        <v>216</v>
      </c>
      <c r="V123" s="547" t="s">
        <v>219</v>
      </c>
      <c r="W123" s="549" t="s">
        <v>220</v>
      </c>
      <c r="AC123" s="9"/>
      <c r="AD123" s="9"/>
    </row>
    <row r="124" spans="1:30" ht="16.5" thickBot="1" x14ac:dyDescent="0.3">
      <c r="A124" s="138"/>
      <c r="B124" s="125" t="s">
        <v>153</v>
      </c>
      <c r="C124" s="126" t="s">
        <v>138</v>
      </c>
      <c r="D124" s="492" t="str">
        <f t="shared" si="50"/>
        <v>diversendiverse verharding</v>
      </c>
      <c r="E124" s="336">
        <f t="shared" si="51"/>
        <v>5550</v>
      </c>
      <c r="F124" s="562">
        <f t="shared" si="52"/>
        <v>436964.26500000007</v>
      </c>
      <c r="G124" s="562">
        <v>0</v>
      </c>
      <c r="H124" s="562"/>
      <c r="I124" s="562">
        <v>1</v>
      </c>
      <c r="J124" s="705">
        <f t="shared" si="53"/>
        <v>0.19655268303231044</v>
      </c>
      <c r="K124" s="562">
        <v>0</v>
      </c>
      <c r="L124" s="562"/>
      <c r="M124" s="552">
        <v>1</v>
      </c>
      <c r="N124" s="331">
        <f t="shared" si="47"/>
        <v>105.36081185597213</v>
      </c>
      <c r="O124" s="552">
        <v>1</v>
      </c>
      <c r="P124" s="340"/>
      <c r="Q124" s="552">
        <v>1</v>
      </c>
      <c r="R124" s="385">
        <f t="shared" si="48"/>
        <v>1278.8125</v>
      </c>
      <c r="S124" s="552">
        <v>1</v>
      </c>
      <c r="T124" s="401">
        <f t="shared" si="49"/>
        <v>7307.5</v>
      </c>
      <c r="U124" s="548" t="s">
        <v>216</v>
      </c>
      <c r="V124" s="547" t="s">
        <v>219</v>
      </c>
      <c r="W124" s="549" t="s">
        <v>220</v>
      </c>
      <c r="AC124" s="9"/>
      <c r="AD124" s="9"/>
    </row>
    <row r="125" spans="1:30" ht="16.5" thickBot="1" x14ac:dyDescent="0.3">
      <c r="A125" s="138"/>
      <c r="B125" s="125" t="str">
        <f>B81</f>
        <v>industriewegen</v>
      </c>
      <c r="C125" s="126" t="str">
        <f>C81</f>
        <v xml:space="preserve">asfalt </v>
      </c>
      <c r="D125" s="492" t="str">
        <f t="shared" si="50"/>
        <v xml:space="preserve">industriewegenasfalt </v>
      </c>
      <c r="E125" s="336">
        <f t="shared" si="51"/>
        <v>305000</v>
      </c>
      <c r="F125" s="562">
        <f t="shared" si="52"/>
        <v>32924795.75729369</v>
      </c>
      <c r="G125" s="562">
        <v>0</v>
      </c>
      <c r="H125" s="562"/>
      <c r="I125" s="562">
        <v>1</v>
      </c>
      <c r="J125" s="705">
        <f t="shared" si="53"/>
        <v>0.26949411640382248</v>
      </c>
      <c r="K125" s="562">
        <v>0</v>
      </c>
      <c r="L125" s="562"/>
      <c r="M125" s="552">
        <v>1</v>
      </c>
      <c r="N125" s="331">
        <f t="shared" si="47"/>
        <v>5790.0986695624324</v>
      </c>
      <c r="O125" s="552">
        <v>1</v>
      </c>
      <c r="P125" s="340"/>
      <c r="Q125" s="552">
        <v>1</v>
      </c>
      <c r="R125" s="385">
        <f t="shared" si="48"/>
        <v>102534.44249999996</v>
      </c>
      <c r="S125" s="552">
        <v>1</v>
      </c>
      <c r="T125" s="401">
        <f t="shared" si="49"/>
        <v>569635.79166666651</v>
      </c>
      <c r="U125" s="548" t="s">
        <v>216</v>
      </c>
      <c r="V125" s="547" t="s">
        <v>219</v>
      </c>
      <c r="W125" s="549" t="s">
        <v>220</v>
      </c>
      <c r="AC125" s="9"/>
      <c r="AD125" s="9"/>
    </row>
    <row r="126" spans="1:30" ht="32.25" thickBot="1" x14ac:dyDescent="0.3">
      <c r="A126" s="139"/>
      <c r="B126" s="140" t="s">
        <v>155</v>
      </c>
      <c r="C126" s="126"/>
      <c r="D126" s="492" t="str">
        <f t="shared" si="50"/>
        <v>begraafplaatsen</v>
      </c>
      <c r="E126" s="336">
        <f t="shared" si="51"/>
        <v>219110</v>
      </c>
      <c r="F126" s="562">
        <f t="shared" si="52"/>
        <v>15118590</v>
      </c>
      <c r="G126" s="562">
        <v>0</v>
      </c>
      <c r="H126" s="562"/>
      <c r="I126" s="562">
        <v>1</v>
      </c>
      <c r="J126" s="705">
        <f t="shared" si="53"/>
        <v>0.17225630559794922</v>
      </c>
      <c r="K126" s="562">
        <v>0</v>
      </c>
      <c r="L126" s="562"/>
      <c r="M126" s="552">
        <v>1</v>
      </c>
      <c r="N126" s="331">
        <f t="shared" ref="N126" si="54">AE82</f>
        <v>4159.5689163535226</v>
      </c>
      <c r="O126" s="552">
        <v>1</v>
      </c>
      <c r="P126" s="340"/>
      <c r="Q126" s="552">
        <v>1</v>
      </c>
      <c r="R126" s="385">
        <f t="shared" ref="R126" si="55">X82</f>
        <v>37796.474999999999</v>
      </c>
      <c r="S126" s="552">
        <v>1</v>
      </c>
      <c r="T126" s="401">
        <f t="shared" si="49"/>
        <v>251976.5</v>
      </c>
      <c r="U126" s="548" t="s">
        <v>216</v>
      </c>
      <c r="V126" s="547" t="s">
        <v>219</v>
      </c>
      <c r="W126" s="549" t="s">
        <v>220</v>
      </c>
      <c r="AC126" s="9"/>
      <c r="AD126" s="9"/>
    </row>
    <row r="127" spans="1:30" ht="16.5" thickBot="1" x14ac:dyDescent="0.3">
      <c r="A127" s="345" t="s">
        <v>159</v>
      </c>
      <c r="B127" s="172" t="s">
        <v>160</v>
      </c>
      <c r="C127" s="173" t="s">
        <v>161</v>
      </c>
      <c r="D127" s="495" t="str">
        <f t="shared" si="50"/>
        <v>bankenstuks</v>
      </c>
      <c r="E127" s="338">
        <v>9797</v>
      </c>
      <c r="F127" s="338">
        <f>V30</f>
        <v>15479260</v>
      </c>
      <c r="G127" s="338">
        <v>0</v>
      </c>
      <c r="H127" s="338"/>
      <c r="I127" s="338">
        <v>1</v>
      </c>
      <c r="J127" s="706">
        <f t="shared" si="53"/>
        <v>3.9444197513733301</v>
      </c>
      <c r="K127" s="338">
        <v>0</v>
      </c>
      <c r="L127" s="338"/>
      <c r="M127" s="552">
        <v>1</v>
      </c>
      <c r="N127" s="331">
        <f>AE89</f>
        <v>8750</v>
      </c>
      <c r="O127" s="552">
        <v>1</v>
      </c>
      <c r="P127" s="340"/>
      <c r="Q127" s="552">
        <v>1</v>
      </c>
      <c r="R127" s="385">
        <f>X89</f>
        <v>11100</v>
      </c>
      <c r="S127" s="552">
        <v>1</v>
      </c>
      <c r="T127" s="439">
        <f>V89</f>
        <v>111000</v>
      </c>
      <c r="U127" s="822"/>
      <c r="V127" s="823"/>
      <c r="W127" s="550" t="s">
        <v>220</v>
      </c>
      <c r="AC127" s="9"/>
      <c r="AD127" s="9"/>
    </row>
    <row r="128" spans="1:30" ht="16.5" thickBot="1" x14ac:dyDescent="0.3">
      <c r="A128" s="346"/>
      <c r="B128" s="186" t="s">
        <v>162</v>
      </c>
      <c r="C128" s="187" t="s">
        <v>161</v>
      </c>
      <c r="D128" s="496" t="str">
        <f t="shared" si="50"/>
        <v>straatmeubilairstuks</v>
      </c>
      <c r="E128" s="339">
        <f>E90</f>
        <v>50000</v>
      </c>
      <c r="F128" s="338">
        <f t="shared" ref="F128:F129" si="56">V31</f>
        <v>18140090</v>
      </c>
      <c r="G128" s="563">
        <v>0</v>
      </c>
      <c r="H128" s="563"/>
      <c r="I128" s="563">
        <v>1</v>
      </c>
      <c r="J128" s="707">
        <f t="shared" si="53"/>
        <v>0.90572315554037763</v>
      </c>
      <c r="K128" s="563">
        <v>0</v>
      </c>
      <c r="L128" s="563"/>
      <c r="M128" s="552">
        <v>1</v>
      </c>
      <c r="N128" s="331">
        <f t="shared" ref="N128:N129" si="57">AE90</f>
        <v>26500</v>
      </c>
      <c r="O128" s="552">
        <v>1</v>
      </c>
      <c r="P128" s="340"/>
      <c r="Q128" s="552">
        <v>1</v>
      </c>
      <c r="R128" s="385">
        <f t="shared" ref="R128:R129" si="58">X90</f>
        <v>144450</v>
      </c>
      <c r="S128" s="552">
        <v>1</v>
      </c>
      <c r="T128" s="439">
        <f>V90</f>
        <v>963000</v>
      </c>
      <c r="U128" s="822"/>
      <c r="V128" s="823"/>
      <c r="W128" s="550" t="s">
        <v>220</v>
      </c>
      <c r="AC128" s="9"/>
      <c r="AD128" s="9"/>
    </row>
    <row r="129" spans="1:31" x14ac:dyDescent="0.25">
      <c r="A129" s="346"/>
      <c r="B129" s="394" t="s">
        <v>163</v>
      </c>
      <c r="C129" s="395"/>
      <c r="D129" s="503" t="str">
        <f t="shared" si="50"/>
        <v>bewegwijzering</v>
      </c>
      <c r="E129" s="396">
        <f>E91</f>
        <v>15000</v>
      </c>
      <c r="F129" s="338">
        <f t="shared" si="56"/>
        <v>8384756</v>
      </c>
      <c r="G129" s="564">
        <v>0</v>
      </c>
      <c r="H129" s="564"/>
      <c r="I129" s="564">
        <v>1</v>
      </c>
      <c r="J129" s="708">
        <f t="shared" si="53"/>
        <v>1.3954851129470902</v>
      </c>
      <c r="K129" s="564">
        <v>0</v>
      </c>
      <c r="L129" s="564"/>
      <c r="M129" s="552">
        <v>1</v>
      </c>
      <c r="N129" s="331">
        <f t="shared" si="57"/>
        <v>5000</v>
      </c>
      <c r="O129" s="552">
        <v>1</v>
      </c>
      <c r="P129" s="340"/>
      <c r="Q129" s="552">
        <v>1</v>
      </c>
      <c r="R129" s="385">
        <f t="shared" si="58"/>
        <v>0</v>
      </c>
      <c r="S129" s="552">
        <v>1</v>
      </c>
      <c r="T129" s="440">
        <f>V91</f>
        <v>0</v>
      </c>
      <c r="U129" s="822"/>
      <c r="V129" s="823"/>
      <c r="W129" s="550" t="s">
        <v>220</v>
      </c>
      <c r="AC129" s="9"/>
      <c r="AD129" s="9"/>
    </row>
    <row r="130" spans="1:31" ht="32.25" thickBot="1" x14ac:dyDescent="0.3">
      <c r="A130" s="387" t="s">
        <v>221</v>
      </c>
      <c r="B130" s="388"/>
      <c r="C130" s="389"/>
      <c r="D130" s="504"/>
      <c r="E130" s="390">
        <f>SUM(E103:E126)</f>
        <v>25600660</v>
      </c>
      <c r="F130" s="565"/>
      <c r="G130" s="565">
        <v>0</v>
      </c>
      <c r="H130" s="565"/>
      <c r="I130" s="565">
        <v>0</v>
      </c>
      <c r="J130" s="709">
        <f t="shared" si="53"/>
        <v>0</v>
      </c>
      <c r="K130" s="565">
        <v>0</v>
      </c>
      <c r="L130" s="565"/>
      <c r="M130" s="391"/>
      <c r="N130" s="392"/>
      <c r="O130" s="392"/>
      <c r="P130" s="392"/>
      <c r="Q130" s="392"/>
      <c r="R130" s="392"/>
      <c r="S130" s="393"/>
      <c r="T130" s="461">
        <f>SUM(T103:T129)</f>
        <v>30192446.999216273</v>
      </c>
      <c r="U130" s="399"/>
      <c r="V130"/>
      <c r="W130" s="400"/>
      <c r="AB130" t="s">
        <v>222</v>
      </c>
      <c r="AC130" s="9"/>
      <c r="AD130" s="9"/>
    </row>
    <row r="131" spans="1:31" x14ac:dyDescent="0.25">
      <c r="A131" s="793" t="s">
        <v>170</v>
      </c>
      <c r="B131" s="301" t="s">
        <v>171</v>
      </c>
      <c r="C131" s="249" t="s">
        <v>192</v>
      </c>
      <c r="D131" s="503" t="str">
        <f t="shared" si="50"/>
        <v xml:space="preserve">klinkerkaarttoename beheerkosten </v>
      </c>
      <c r="E131" s="337">
        <f>E85</f>
        <v>2584500</v>
      </c>
      <c r="F131" s="337"/>
      <c r="G131" s="337">
        <v>0</v>
      </c>
      <c r="H131" s="337"/>
      <c r="I131" s="337">
        <v>0</v>
      </c>
      <c r="J131" s="710">
        <f t="shared" si="53"/>
        <v>0</v>
      </c>
      <c r="K131" s="337">
        <v>0</v>
      </c>
      <c r="L131" s="337"/>
      <c r="M131" s="552">
        <v>1</v>
      </c>
      <c r="N131" s="340"/>
      <c r="O131" s="552">
        <v>1</v>
      </c>
      <c r="P131" s="340"/>
      <c r="Q131" s="552">
        <v>1</v>
      </c>
      <c r="R131" s="340"/>
      <c r="S131" s="552">
        <v>1</v>
      </c>
      <c r="T131" s="441">
        <f>V85</f>
        <v>1153022.0830095001</v>
      </c>
      <c r="U131" s="399"/>
      <c r="V131"/>
      <c r="W131" s="400"/>
      <c r="AC131" s="9"/>
      <c r="AD131" s="9"/>
    </row>
    <row r="132" spans="1:31" x14ac:dyDescent="0.25">
      <c r="A132" s="794"/>
      <c r="B132" s="248" t="s">
        <v>127</v>
      </c>
      <c r="C132" s="249" t="s">
        <v>193</v>
      </c>
      <c r="D132" s="503" t="str">
        <f t="shared" si="50"/>
        <v>stil asfalttoename beheerkosten</v>
      </c>
      <c r="E132" s="337">
        <f t="shared" ref="E132:E133" si="59">E86</f>
        <v>651000</v>
      </c>
      <c r="F132" s="337"/>
      <c r="G132" s="337">
        <v>0</v>
      </c>
      <c r="H132" s="337"/>
      <c r="I132" s="337">
        <v>0</v>
      </c>
      <c r="J132" s="710">
        <f t="shared" si="53"/>
        <v>0</v>
      </c>
      <c r="K132" s="337">
        <v>0</v>
      </c>
      <c r="L132" s="337"/>
      <c r="M132" s="552">
        <v>1</v>
      </c>
      <c r="N132" s="460">
        <f>AE86</f>
        <v>5000</v>
      </c>
      <c r="O132" s="552">
        <v>1</v>
      </c>
      <c r="P132" s="340"/>
      <c r="Q132" s="552">
        <v>1</v>
      </c>
      <c r="R132" s="340"/>
      <c r="S132" s="552">
        <v>1</v>
      </c>
      <c r="T132" s="439">
        <f t="shared" ref="T132:T133" si="60">V86</f>
        <v>559458.50091459986</v>
      </c>
      <c r="U132" s="399"/>
      <c r="V132"/>
      <c r="W132" s="400"/>
      <c r="AC132" s="9"/>
      <c r="AD132" s="9"/>
    </row>
    <row r="133" spans="1:31" x14ac:dyDescent="0.25">
      <c r="A133" s="794"/>
      <c r="B133" s="147" t="s">
        <v>174</v>
      </c>
      <c r="C133" s="148" t="s">
        <v>193</v>
      </c>
      <c r="D133" s="503" t="str">
        <f t="shared" si="50"/>
        <v>waterpasserendtoename beheerkosten</v>
      </c>
      <c r="E133" s="337">
        <f t="shared" si="59"/>
        <v>1828000</v>
      </c>
      <c r="F133" s="337"/>
      <c r="G133" s="337">
        <v>0</v>
      </c>
      <c r="H133" s="337"/>
      <c r="I133" s="337">
        <v>0</v>
      </c>
      <c r="J133" s="710">
        <f t="shared" si="53"/>
        <v>0</v>
      </c>
      <c r="K133" s="337">
        <v>0</v>
      </c>
      <c r="L133" s="337"/>
      <c r="M133" s="552">
        <v>1</v>
      </c>
      <c r="N133" s="340"/>
      <c r="O133" s="552">
        <v>1</v>
      </c>
      <c r="P133" s="340"/>
      <c r="Q133" s="552">
        <v>1</v>
      </c>
      <c r="R133" s="340"/>
      <c r="S133" s="552">
        <v>1</v>
      </c>
      <c r="T133" s="439">
        <f t="shared" si="60"/>
        <v>1350207.2655727428</v>
      </c>
      <c r="U133" s="399"/>
      <c r="V133"/>
      <c r="W133" s="400"/>
      <c r="AC133" s="9"/>
      <c r="AD133" s="9"/>
    </row>
    <row r="134" spans="1:31" x14ac:dyDescent="0.25">
      <c r="A134" s="397" t="s">
        <v>223</v>
      </c>
      <c r="B134" s="398"/>
      <c r="C134" s="398"/>
      <c r="D134" s="398"/>
      <c r="E134" s="398"/>
      <c r="F134" s="398"/>
      <c r="G134" s="398"/>
      <c r="H134" s="398"/>
      <c r="I134" s="398"/>
      <c r="J134" s="398"/>
      <c r="K134" s="398"/>
      <c r="L134" s="398"/>
      <c r="M134" s="398"/>
      <c r="N134" s="459">
        <f>SUM(N103:N133)</f>
        <v>724472.41666514566</v>
      </c>
      <c r="O134" s="398"/>
      <c r="P134" s="398"/>
      <c r="Q134" s="398"/>
      <c r="R134" s="459">
        <f>SUM(R103:R133)</f>
        <v>4666701.452135304</v>
      </c>
      <c r="S134" s="398"/>
      <c r="T134" s="402">
        <f>SUM(T130:T133)</f>
        <v>33255134.848713115</v>
      </c>
      <c r="U134" s="403"/>
      <c r="V134" s="404"/>
      <c r="W134" s="405"/>
      <c r="AC134" s="9"/>
      <c r="AD134" s="9"/>
    </row>
    <row r="135" spans="1:31" x14ac:dyDescent="0.25">
      <c r="M135" t="s">
        <v>224</v>
      </c>
      <c r="N135" s="717">
        <f>N136/F136</f>
        <v>4.7353342129585125E-5</v>
      </c>
      <c r="P135" s="690">
        <f>P136/$E$83</f>
        <v>0</v>
      </c>
      <c r="R135" s="690">
        <f>R136/F136</f>
        <v>6.4159816970188444E-4</v>
      </c>
      <c r="T135" s="690">
        <f>T136/F136</f>
        <v>3.7861247544266987E-3</v>
      </c>
      <c r="V135"/>
      <c r="W135"/>
      <c r="AA135" s="9"/>
      <c r="AB135" s="9"/>
    </row>
    <row r="136" spans="1:31" x14ac:dyDescent="0.25">
      <c r="D136" t="s">
        <v>225</v>
      </c>
      <c r="E136" t="s">
        <v>226</v>
      </c>
      <c r="F136" s="1">
        <f>SUM(F103:F129)</f>
        <v>2111783361.0633919</v>
      </c>
      <c r="I136" s="566">
        <v>5272000</v>
      </c>
      <c r="J136" s="697">
        <f>I136/F136</f>
        <v>2.4964681970717278E-3</v>
      </c>
      <c r="N136">
        <f>Bron!I13</f>
        <v>100000</v>
      </c>
      <c r="P136">
        <f>Bron!I22</f>
        <v>0</v>
      </c>
      <c r="R136">
        <f>Bron!I31</f>
        <v>1354916.3392651661</v>
      </c>
      <c r="T136">
        <f>Bron!I40</f>
        <v>7995475.2593085235</v>
      </c>
      <c r="V136"/>
      <c r="W136"/>
      <c r="AA136" s="9"/>
      <c r="AB136" s="9"/>
    </row>
    <row r="138" spans="1:31" ht="18" x14ac:dyDescent="0.25">
      <c r="I138">
        <f>SUMPRODUCT(J103:J133,E103:E133)</f>
        <v>5271999.9999999991</v>
      </c>
      <c r="U138" s="341" t="s">
        <v>1</v>
      </c>
      <c r="V138" s="341"/>
      <c r="W138" s="818" t="s">
        <v>2</v>
      </c>
      <c r="X138" s="819"/>
      <c r="Y138" s="341" t="s">
        <v>3</v>
      </c>
      <c r="Z138" s="341" t="s">
        <v>4</v>
      </c>
      <c r="AA138" s="341" t="s">
        <v>7</v>
      </c>
      <c r="AB138" s="341" t="s">
        <v>227</v>
      </c>
      <c r="AC138" s="820" t="s">
        <v>228</v>
      </c>
      <c r="AD138" s="821"/>
      <c r="AE138" s="341" t="s">
        <v>10</v>
      </c>
    </row>
    <row r="139" spans="1:31" ht="18" x14ac:dyDescent="0.25">
      <c r="U139" s="807" t="s">
        <v>15</v>
      </c>
      <c r="V139" s="505"/>
      <c r="W139" s="809" t="s">
        <v>229</v>
      </c>
      <c r="X139" s="810"/>
      <c r="Y139" s="5" t="s">
        <v>17</v>
      </c>
      <c r="Z139" s="811" t="s">
        <v>230</v>
      </c>
      <c r="AA139" s="480">
        <f>N134</f>
        <v>724472.41666514566</v>
      </c>
      <c r="AB139" s="462">
        <f>AB142-AB141-AB140</f>
        <v>80</v>
      </c>
      <c r="AC139" s="814" t="s">
        <v>231</v>
      </c>
      <c r="AD139" s="815"/>
      <c r="AE139" s="7"/>
    </row>
    <row r="140" spans="1:31" ht="18" x14ac:dyDescent="0.25">
      <c r="U140" s="749"/>
      <c r="V140" s="506"/>
      <c r="W140" s="809" t="s">
        <v>232</v>
      </c>
      <c r="X140" s="810"/>
      <c r="Y140" s="5" t="s">
        <v>233</v>
      </c>
      <c r="Z140" s="812"/>
      <c r="AA140" s="480">
        <f>AA139*AB140%</f>
        <v>108670.86249977184</v>
      </c>
      <c r="AB140" s="462">
        <v>15</v>
      </c>
      <c r="AC140" s="814" t="s">
        <v>234</v>
      </c>
      <c r="AD140" s="815"/>
      <c r="AE140" s="7"/>
    </row>
    <row r="141" spans="1:31" ht="18" x14ac:dyDescent="0.25">
      <c r="U141" s="749"/>
      <c r="V141" s="506"/>
      <c r="W141" s="809" t="s">
        <v>235</v>
      </c>
      <c r="X141" s="810"/>
      <c r="Y141" s="5" t="s">
        <v>236</v>
      </c>
      <c r="Z141" s="812"/>
      <c r="AA141" s="480">
        <f>350000*AA139/(AA139+AA147+AA151)</f>
        <v>6561.1789132629729</v>
      </c>
      <c r="AB141" s="462">
        <v>5</v>
      </c>
      <c r="AC141" s="814" t="s">
        <v>234</v>
      </c>
      <c r="AD141" s="815"/>
      <c r="AE141" s="7" t="s">
        <v>237</v>
      </c>
    </row>
    <row r="142" spans="1:31" ht="18" x14ac:dyDescent="0.25">
      <c r="U142" s="808"/>
      <c r="V142" s="507"/>
      <c r="W142" s="816" t="s">
        <v>32</v>
      </c>
      <c r="X142" s="817"/>
      <c r="Y142" s="817"/>
      <c r="Z142" s="813"/>
      <c r="AA142" s="479">
        <f>SUM(AA139:AA141)</f>
        <v>839704.45807818056</v>
      </c>
      <c r="AB142" s="462">
        <v>100</v>
      </c>
      <c r="AC142" s="814"/>
      <c r="AD142" s="815"/>
      <c r="AE142" s="7"/>
    </row>
    <row r="143" spans="1:31" ht="18" x14ac:dyDescent="0.25">
      <c r="U143" s="807" t="s">
        <v>33</v>
      </c>
      <c r="V143" s="505"/>
      <c r="W143" s="809" t="s">
        <v>229</v>
      </c>
      <c r="X143" s="810"/>
      <c r="Y143" s="5" t="s">
        <v>17</v>
      </c>
      <c r="Z143" s="811" t="s">
        <v>230</v>
      </c>
      <c r="AA143" s="480"/>
      <c r="AB143" s="462"/>
      <c r="AC143" s="814"/>
      <c r="AD143" s="815"/>
      <c r="AE143" s="7"/>
    </row>
    <row r="144" spans="1:31" ht="18" x14ac:dyDescent="0.25">
      <c r="U144" s="749"/>
      <c r="V144" s="506"/>
      <c r="W144" s="809" t="s">
        <v>232</v>
      </c>
      <c r="X144" s="810"/>
      <c r="Y144" s="5" t="s">
        <v>233</v>
      </c>
      <c r="Z144" s="812"/>
      <c r="AA144" s="480"/>
      <c r="AB144" s="462"/>
      <c r="AC144" s="814"/>
      <c r="AD144" s="815"/>
      <c r="AE144" s="7"/>
    </row>
    <row r="145" spans="3:31" ht="18" x14ac:dyDescent="0.25">
      <c r="U145" s="749"/>
      <c r="V145" s="506"/>
      <c r="W145" s="809" t="s">
        <v>235</v>
      </c>
      <c r="X145" s="810"/>
      <c r="Y145" s="5" t="s">
        <v>236</v>
      </c>
      <c r="Z145" s="812"/>
      <c r="AA145" s="480"/>
      <c r="AB145" s="462"/>
      <c r="AC145" s="814"/>
      <c r="AD145" s="815"/>
      <c r="AE145" s="7"/>
    </row>
    <row r="146" spans="3:31" ht="18" x14ac:dyDescent="0.25">
      <c r="U146" s="808"/>
      <c r="V146" s="507"/>
      <c r="W146" s="816" t="s">
        <v>32</v>
      </c>
      <c r="X146" s="817"/>
      <c r="Y146" s="817"/>
      <c r="Z146" s="813"/>
      <c r="AA146" s="479"/>
      <c r="AB146" s="462"/>
      <c r="AC146" s="814"/>
      <c r="AD146" s="815"/>
      <c r="AE146" s="7"/>
    </row>
    <row r="147" spans="3:31" ht="18" x14ac:dyDescent="0.25">
      <c r="U147" s="807" t="s">
        <v>238</v>
      </c>
      <c r="V147" s="505"/>
      <c r="W147" s="809" t="s">
        <v>229</v>
      </c>
      <c r="X147" s="810"/>
      <c r="Y147" s="5" t="s">
        <v>17</v>
      </c>
      <c r="Z147" s="811" t="s">
        <v>230</v>
      </c>
      <c r="AA147" s="480">
        <f>R134</f>
        <v>4666701.452135304</v>
      </c>
      <c r="AB147" s="462">
        <f>AB150-AB148-AB149</f>
        <v>80</v>
      </c>
      <c r="AC147" s="814" t="s">
        <v>231</v>
      </c>
      <c r="AD147" s="815"/>
      <c r="AE147" s="7" t="s">
        <v>239</v>
      </c>
    </row>
    <row r="148" spans="3:31" ht="18" x14ac:dyDescent="0.25">
      <c r="U148" s="749"/>
      <c r="V148" s="506"/>
      <c r="W148" s="809" t="s">
        <v>232</v>
      </c>
      <c r="X148" s="810"/>
      <c r="Y148" s="5" t="s">
        <v>233</v>
      </c>
      <c r="Z148" s="812"/>
      <c r="AA148" s="480">
        <f>AA147*AB148%</f>
        <v>700005.2178202956</v>
      </c>
      <c r="AB148" s="462">
        <v>15</v>
      </c>
      <c r="AC148" s="814" t="s">
        <v>234</v>
      </c>
      <c r="AD148" s="815"/>
      <c r="AE148" s="7" t="s">
        <v>240</v>
      </c>
    </row>
    <row r="149" spans="3:31" ht="18" x14ac:dyDescent="0.25">
      <c r="U149" s="749"/>
      <c r="V149" s="506"/>
      <c r="W149" s="809" t="s">
        <v>235</v>
      </c>
      <c r="X149" s="810"/>
      <c r="Y149" s="5" t="s">
        <v>236</v>
      </c>
      <c r="Z149" s="812"/>
      <c r="AA149" s="480">
        <f>350000*AA147/(AA139+AA147+AA151)</f>
        <v>42263.946090850441</v>
      </c>
      <c r="AB149" s="462">
        <v>5</v>
      </c>
      <c r="AC149" s="814" t="s">
        <v>234</v>
      </c>
      <c r="AD149" s="815"/>
      <c r="AE149" s="7"/>
    </row>
    <row r="150" spans="3:31" ht="18" x14ac:dyDescent="0.25">
      <c r="U150" s="808"/>
      <c r="V150" s="507"/>
      <c r="W150" s="816" t="s">
        <v>32</v>
      </c>
      <c r="X150" s="817"/>
      <c r="Y150" s="817"/>
      <c r="Z150" s="813"/>
      <c r="AA150" s="479">
        <f>SUM(AA147:AA149)</f>
        <v>5408970.6160464501</v>
      </c>
      <c r="AB150" s="462">
        <v>100</v>
      </c>
      <c r="AC150" s="814"/>
      <c r="AD150" s="815"/>
      <c r="AE150" s="7"/>
    </row>
    <row r="151" spans="3:31" ht="18" x14ac:dyDescent="0.25">
      <c r="U151" s="807" t="s">
        <v>195</v>
      </c>
      <c r="V151" s="505"/>
      <c r="W151" s="809" t="s">
        <v>229</v>
      </c>
      <c r="X151" s="810"/>
      <c r="Y151" s="5" t="s">
        <v>17</v>
      </c>
      <c r="Z151" s="811" t="s">
        <v>230</v>
      </c>
      <c r="AA151" s="480">
        <f>T134</f>
        <v>33255134.848713115</v>
      </c>
      <c r="AB151" s="462">
        <f>AB154-AB153-AB152</f>
        <v>74</v>
      </c>
      <c r="AC151" s="814" t="s">
        <v>231</v>
      </c>
      <c r="AD151" s="815"/>
      <c r="AE151" s="7"/>
    </row>
    <row r="152" spans="3:31" ht="18" x14ac:dyDescent="0.25">
      <c r="U152" s="749"/>
      <c r="V152" s="506"/>
      <c r="W152" s="809" t="s">
        <v>232</v>
      </c>
      <c r="X152" s="810"/>
      <c r="Y152" s="5" t="s">
        <v>233</v>
      </c>
      <c r="Z152" s="812"/>
      <c r="AA152" s="480">
        <f>AA151*AB152%</f>
        <v>6983578.3182297535</v>
      </c>
      <c r="AB152" s="462">
        <v>21</v>
      </c>
      <c r="AC152" s="814" t="s">
        <v>234</v>
      </c>
      <c r="AD152" s="815"/>
      <c r="AE152" s="7" t="s">
        <v>241</v>
      </c>
    </row>
    <row r="153" spans="3:31" ht="18" x14ac:dyDescent="0.25">
      <c r="U153" s="749"/>
      <c r="V153" s="506"/>
      <c r="W153" s="809" t="s">
        <v>235</v>
      </c>
      <c r="X153" s="810"/>
      <c r="Y153" s="5" t="s">
        <v>236</v>
      </c>
      <c r="Z153" s="812"/>
      <c r="AA153" s="480">
        <f>350000*AA151/(AA139+AA147+AA151)</f>
        <v>301174.87499588664</v>
      </c>
      <c r="AB153" s="462">
        <v>5</v>
      </c>
      <c r="AC153" s="814" t="s">
        <v>234</v>
      </c>
      <c r="AD153" s="815"/>
      <c r="AE153" s="7"/>
    </row>
    <row r="154" spans="3:31" ht="18" x14ac:dyDescent="0.25">
      <c r="U154" s="808"/>
      <c r="V154" s="507"/>
      <c r="W154" s="816" t="s">
        <v>32</v>
      </c>
      <c r="X154" s="817"/>
      <c r="Y154" s="817"/>
      <c r="Z154" s="813"/>
      <c r="AA154" s="479">
        <f>SUM(AA151:AA153)</f>
        <v>40539888.041938752</v>
      </c>
      <c r="AB154" s="462">
        <v>100</v>
      </c>
      <c r="AC154" s="814"/>
      <c r="AD154" s="815"/>
      <c r="AE154" s="7"/>
    </row>
    <row r="155" spans="3:31" x14ac:dyDescent="0.25">
      <c r="V155"/>
      <c r="W155"/>
      <c r="Z155" t="s">
        <v>88</v>
      </c>
      <c r="AA155" s="478">
        <f>SUM(AA142+AA150+AA154)</f>
        <v>46788563.116063386</v>
      </c>
    </row>
    <row r="157" spans="3:31" x14ac:dyDescent="0.25">
      <c r="E157" s="2"/>
    </row>
    <row r="158" spans="3:31" x14ac:dyDescent="0.25">
      <c r="C158" s="214"/>
      <c r="D158" s="214"/>
      <c r="E158" s="215"/>
    </row>
    <row r="159" spans="3:31" x14ac:dyDescent="0.25">
      <c r="C159" s="214"/>
      <c r="D159" s="214"/>
      <c r="E159" s="215"/>
    </row>
    <row r="160" spans="3:31" x14ac:dyDescent="0.25">
      <c r="C160" s="214"/>
      <c r="D160" s="214"/>
      <c r="E160" s="215"/>
    </row>
    <row r="161" spans="3:5" x14ac:dyDescent="0.25">
      <c r="C161" s="214"/>
      <c r="D161" s="214"/>
      <c r="E161" s="215"/>
    </row>
    <row r="162" spans="3:5" x14ac:dyDescent="0.25">
      <c r="C162" s="214"/>
      <c r="D162" s="214"/>
      <c r="E162" s="215"/>
    </row>
    <row r="164" spans="3:5" x14ac:dyDescent="0.25">
      <c r="E164" s="2"/>
    </row>
    <row r="165" spans="3:5" x14ac:dyDescent="0.25">
      <c r="C165" s="214"/>
      <c r="D165" s="214"/>
      <c r="E165" s="215"/>
    </row>
    <row r="166" spans="3:5" x14ac:dyDescent="0.25">
      <c r="C166" s="214"/>
      <c r="D166" s="214"/>
      <c r="E166" s="215"/>
    </row>
    <row r="167" spans="3:5" x14ac:dyDescent="0.25">
      <c r="C167" s="214"/>
      <c r="D167" s="214"/>
      <c r="E167" s="215"/>
    </row>
    <row r="168" spans="3:5" x14ac:dyDescent="0.25">
      <c r="C168" s="214"/>
      <c r="D168" s="214"/>
      <c r="E168" s="215"/>
    </row>
    <row r="169" spans="3:5" x14ac:dyDescent="0.25">
      <c r="C169" s="214"/>
      <c r="D169" s="214"/>
      <c r="E169" s="215"/>
    </row>
    <row r="171" spans="3:5" x14ac:dyDescent="0.25">
      <c r="E171" s="2"/>
    </row>
    <row r="172" spans="3:5" x14ac:dyDescent="0.25">
      <c r="C172" s="214"/>
      <c r="D172" s="214"/>
      <c r="E172" s="215"/>
    </row>
    <row r="173" spans="3:5" x14ac:dyDescent="0.25">
      <c r="C173" s="214"/>
      <c r="D173" s="214"/>
      <c r="E173" s="215"/>
    </row>
    <row r="174" spans="3:5" x14ac:dyDescent="0.25">
      <c r="C174" s="214"/>
      <c r="D174" s="214"/>
      <c r="E174" s="215"/>
    </row>
    <row r="175" spans="3:5" x14ac:dyDescent="0.25">
      <c r="C175" s="214"/>
      <c r="D175" s="214"/>
      <c r="E175" s="215"/>
    </row>
    <row r="176" spans="3:5" x14ac:dyDescent="0.25">
      <c r="C176" s="214"/>
      <c r="D176" s="214"/>
      <c r="E176" s="215"/>
    </row>
  </sheetData>
  <mergeCells count="65">
    <mergeCell ref="W138:X138"/>
    <mergeCell ref="AC138:AD138"/>
    <mergeCell ref="U127:U129"/>
    <mergeCell ref="V127:V129"/>
    <mergeCell ref="Q101:R101"/>
    <mergeCell ref="S101:T101"/>
    <mergeCell ref="X101:Z102"/>
    <mergeCell ref="U151:U154"/>
    <mergeCell ref="W151:X151"/>
    <mergeCell ref="Z151:Z154"/>
    <mergeCell ref="AC151:AD151"/>
    <mergeCell ref="W152:X152"/>
    <mergeCell ref="AC152:AD152"/>
    <mergeCell ref="W153:X153"/>
    <mergeCell ref="AC153:AD153"/>
    <mergeCell ref="W154:Y154"/>
    <mergeCell ref="AC154:AD154"/>
    <mergeCell ref="U147:U150"/>
    <mergeCell ref="W147:X147"/>
    <mergeCell ref="Z147:Z150"/>
    <mergeCell ref="AC147:AD147"/>
    <mergeCell ref="W148:X148"/>
    <mergeCell ref="AC148:AD148"/>
    <mergeCell ref="W149:X149"/>
    <mergeCell ref="AC149:AD149"/>
    <mergeCell ref="W150:Y150"/>
    <mergeCell ref="AC150:AD150"/>
    <mergeCell ref="U143:U146"/>
    <mergeCell ref="W143:X143"/>
    <mergeCell ref="Z143:Z146"/>
    <mergeCell ref="AC143:AD143"/>
    <mergeCell ref="W144:X144"/>
    <mergeCell ref="AC144:AD144"/>
    <mergeCell ref="W145:X145"/>
    <mergeCell ref="AC145:AD145"/>
    <mergeCell ref="W146:Y146"/>
    <mergeCell ref="AC146:AD146"/>
    <mergeCell ref="U139:U142"/>
    <mergeCell ref="W139:X139"/>
    <mergeCell ref="Z139:Z142"/>
    <mergeCell ref="AC139:AD139"/>
    <mergeCell ref="W140:X140"/>
    <mergeCell ref="AC140:AD140"/>
    <mergeCell ref="W141:X141"/>
    <mergeCell ref="AC141:AD141"/>
    <mergeCell ref="W142:Y142"/>
    <mergeCell ref="AC142:AD142"/>
    <mergeCell ref="A101:C101"/>
    <mergeCell ref="A107:A120"/>
    <mergeCell ref="A131:A133"/>
    <mergeCell ref="M101:N101"/>
    <mergeCell ref="O101:P101"/>
    <mergeCell ref="A103:A106"/>
    <mergeCell ref="A59:A62"/>
    <mergeCell ref="A63:A76"/>
    <mergeCell ref="A85:A88"/>
    <mergeCell ref="A89:A91"/>
    <mergeCell ref="M100:T100"/>
    <mergeCell ref="A57:C57"/>
    <mergeCell ref="A2:C2"/>
    <mergeCell ref="A4:A7"/>
    <mergeCell ref="A8:A21"/>
    <mergeCell ref="A30:A32"/>
    <mergeCell ref="A45:A48"/>
    <mergeCell ref="A55:V5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4B3B-7707-48EC-875E-09FD536D20A8}">
  <dimension ref="A1:H12"/>
  <sheetViews>
    <sheetView workbookViewId="0">
      <selection activeCell="B7" sqref="B7"/>
    </sheetView>
  </sheetViews>
  <sheetFormatPr defaultRowHeight="15.75" x14ac:dyDescent="0.25"/>
  <cols>
    <col min="1" max="1" width="11.625" bestFit="1" customWidth="1"/>
    <col min="2" max="2" width="29.25" customWidth="1"/>
    <col min="3" max="3" width="37.125" customWidth="1"/>
  </cols>
  <sheetData>
    <row r="1" spans="1:8" x14ac:dyDescent="0.25">
      <c r="D1">
        <v>1</v>
      </c>
      <c r="E1">
        <v>2</v>
      </c>
      <c r="F1">
        <v>3</v>
      </c>
      <c r="G1">
        <v>4</v>
      </c>
      <c r="H1">
        <v>5</v>
      </c>
    </row>
    <row r="3" spans="1:8" x14ac:dyDescent="0.25">
      <c r="D3" t="s">
        <v>3</v>
      </c>
    </row>
    <row r="4" spans="1:8" x14ac:dyDescent="0.25">
      <c r="A4" s="568" t="s">
        <v>242</v>
      </c>
      <c r="B4" s="568" t="s">
        <v>243</v>
      </c>
      <c r="C4" s="568" t="s">
        <v>244</v>
      </c>
      <c r="D4" s="568" t="s">
        <v>17</v>
      </c>
      <c r="E4" s="568" t="s">
        <v>20</v>
      </c>
      <c r="F4" s="568" t="s">
        <v>23</v>
      </c>
      <c r="G4" s="568" t="s">
        <v>24</v>
      </c>
      <c r="H4" s="568" t="s">
        <v>27</v>
      </c>
    </row>
    <row r="5" spans="1:8" x14ac:dyDescent="0.25">
      <c r="A5" s="568" t="str">
        <f>TOTEX!$B$4</f>
        <v>Wegen</v>
      </c>
      <c r="B5" s="568" t="s">
        <v>245</v>
      </c>
      <c r="C5" s="568" t="s">
        <v>245</v>
      </c>
      <c r="D5" s="568"/>
      <c r="E5" s="568"/>
      <c r="F5" s="568"/>
      <c r="G5" s="569">
        <v>1</v>
      </c>
      <c r="H5" s="568"/>
    </row>
    <row r="6" spans="1:8" x14ac:dyDescent="0.25">
      <c r="A6" s="568" t="str">
        <f>TOTEX!$B$4</f>
        <v>Wegen</v>
      </c>
      <c r="B6" s="568" t="s">
        <v>246</v>
      </c>
      <c r="C6" s="568" t="s">
        <v>247</v>
      </c>
      <c r="D6" s="568"/>
      <c r="E6" s="568"/>
      <c r="F6" s="568"/>
      <c r="G6" s="569">
        <v>1</v>
      </c>
      <c r="H6" s="568"/>
    </row>
    <row r="7" spans="1:8" x14ac:dyDescent="0.25">
      <c r="A7" s="568" t="str">
        <f>TOTEX!$B$4</f>
        <v>Wegen</v>
      </c>
      <c r="B7" s="568" t="s">
        <v>246</v>
      </c>
      <c r="C7" s="568" t="s">
        <v>248</v>
      </c>
      <c r="D7" s="568"/>
      <c r="E7" s="568"/>
      <c r="F7" s="568"/>
      <c r="G7" s="569">
        <v>1</v>
      </c>
      <c r="H7" s="568"/>
    </row>
    <row r="8" spans="1:8" x14ac:dyDescent="0.25">
      <c r="A8" s="568" t="str">
        <f>TOTEX!$B$4</f>
        <v>Wegen</v>
      </c>
      <c r="B8" s="568" t="s">
        <v>249</v>
      </c>
      <c r="C8" s="568" t="s">
        <v>15</v>
      </c>
      <c r="D8" s="569" cm="1">
        <f t="array" ref="D8">INDEX(Bron!$F$5:$F$9,D$1)/100</f>
        <v>0.43935515756852117</v>
      </c>
      <c r="E8" s="569" cm="1">
        <f t="array" ref="E8">INDEX(Bron!$F$5:$F$9,E1)/100</f>
        <v>0</v>
      </c>
      <c r="F8" s="569" cm="1">
        <f t="array" ref="F8">INDEX(Bron!$F$5:$F$9,F1)/100</f>
        <v>0</v>
      </c>
      <c r="G8" s="569" cm="1">
        <f t="array" ref="G8">INDEX(Bron!$F$5:$F$9,G1)/100</f>
        <v>0.12128968486295758</v>
      </c>
      <c r="H8" s="569" cm="1">
        <f t="array" ref="H8">INDEX(Bron!$F$5:$F$9,H1)/100</f>
        <v>0.43935515756852117</v>
      </c>
    </row>
    <row r="9" spans="1:8" x14ac:dyDescent="0.25">
      <c r="A9" s="568" t="str">
        <f>TOTEX!$B$4</f>
        <v>Wegen</v>
      </c>
      <c r="B9" s="568" t="s">
        <v>249</v>
      </c>
      <c r="C9" s="568" t="s">
        <v>33</v>
      </c>
      <c r="D9" s="569" cm="1">
        <f t="array" ref="D9">INDEX(Bron!$F$14:$F$18,D$1)/100</f>
        <v>0</v>
      </c>
      <c r="E9" s="569" cm="1">
        <f t="array" ref="E9">INDEX(Bron!$F$14:$F$18,E$1)/100</f>
        <v>0</v>
      </c>
      <c r="F9" s="569" cm="1">
        <f t="array" ref="F9">INDEX(Bron!$F$14:$F$18,F$1)/100</f>
        <v>0</v>
      </c>
      <c r="G9" s="569" cm="1">
        <f t="array" ref="G9">INDEX(Bron!$F$14:$F$18,G$1)/100</f>
        <v>0</v>
      </c>
      <c r="H9" s="569" cm="1">
        <f t="array" ref="H9">INDEX(Bron!$F$14:$F$18,H$1)/100</f>
        <v>0</v>
      </c>
    </row>
    <row r="10" spans="1:8" x14ac:dyDescent="0.25">
      <c r="A10" s="568" t="str">
        <f>TOTEX!$B$4</f>
        <v>Wegen</v>
      </c>
      <c r="B10" s="568" t="s">
        <v>249</v>
      </c>
      <c r="C10" s="568" t="s">
        <v>250</v>
      </c>
      <c r="D10" s="569" cm="1">
        <f t="array" ref="D10">INDEX(Bron!$F$23:$F$27,D$1)/100</f>
        <v>0.77526001153813151</v>
      </c>
      <c r="E10" s="569" cm="1">
        <f t="array" ref="E10">INDEX(Bron!$F$23:$F$27,E$1)/100</f>
        <v>6.4594117289987263E-2</v>
      </c>
      <c r="F10" s="569" cm="1">
        <f t="array" ref="F10">INDEX(Bron!$F$23:$F$27,F$1)/100</f>
        <v>0.13581497092857225</v>
      </c>
      <c r="G10" s="569" cm="1">
        <f t="array" ref="G10">INDEX(Bron!$F$23:$F$27,G$1)/100</f>
        <v>2.4330900243309E-2</v>
      </c>
      <c r="H10" s="569" cm="1">
        <f t="array" ref="H10">INDEX(Bron!$F$23:$F$27,H$1)/100</f>
        <v>0</v>
      </c>
    </row>
    <row r="11" spans="1:8" x14ac:dyDescent="0.25">
      <c r="A11" s="568" t="str">
        <f>TOTEX!$B$4</f>
        <v>Wegen</v>
      </c>
      <c r="B11" s="568" t="s">
        <v>195</v>
      </c>
      <c r="C11" s="568" t="s">
        <v>38</v>
      </c>
      <c r="D11" s="569" cm="1">
        <f t="array" ref="D11">INDEX(Bron!$F$32:$F$36,D$1)/100</f>
        <v>0.80651088570796603</v>
      </c>
      <c r="E11" s="569" cm="1">
        <f t="array" ref="E11">INDEX(Bron!$F$32:$F$36,E$1)/100</f>
        <v>4.4982146806964322E-2</v>
      </c>
      <c r="F11" s="569" cm="1">
        <f t="array" ref="F11">INDEX(Bron!$F$32:$F$36,F$1)/100</f>
        <v>0.12417606724176068</v>
      </c>
      <c r="G11" s="569" cm="1">
        <f t="array" ref="G11">INDEX(Bron!$F$32:$F$36,G$1)/100</f>
        <v>2.4330900243309E-2</v>
      </c>
      <c r="H11" s="569" cm="1">
        <f t="array" ref="H11">INDEX(Bron!$F$32:$F$36,H$1)/100</f>
        <v>0</v>
      </c>
    </row>
    <row r="12" spans="1:8" x14ac:dyDescent="0.25">
      <c r="A12" s="568" t="str">
        <f>TOTEX!$B$4</f>
        <v>Wegen</v>
      </c>
      <c r="B12" s="568" t="s">
        <v>251</v>
      </c>
      <c r="C12" s="568" t="s">
        <v>252</v>
      </c>
      <c r="D12" s="569" cm="1">
        <f t="array" ref="D12">INDEX(Bron!$F$32:$F$36,D$1)/100</f>
        <v>0.80651088570796603</v>
      </c>
      <c r="E12" s="569" cm="1">
        <f t="array" ref="E12">INDEX(Bron!$F$32:$F$36,E$1)/100</f>
        <v>4.4982146806964322E-2</v>
      </c>
      <c r="F12" s="569" cm="1">
        <f t="array" ref="F12">INDEX(Bron!$F$32:$F$36,F$1)/100</f>
        <v>0.12417606724176068</v>
      </c>
      <c r="G12" s="569" cm="1">
        <f t="array" ref="G12">INDEX(Bron!$F$32:$F$36,G$1)/100</f>
        <v>2.4330900243309E-2</v>
      </c>
      <c r="H12" s="569" cm="1">
        <f t="array" ref="H12">INDEX(Bron!$F$32:$F$36,H$1)/100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0779-65E0-4253-8D9E-6C5820EE059E}">
  <dimension ref="A1:AB96"/>
  <sheetViews>
    <sheetView topLeftCell="L27" zoomScale="69" zoomScaleNormal="69" workbookViewId="0">
      <selection activeCell="V38" sqref="V38"/>
    </sheetView>
  </sheetViews>
  <sheetFormatPr defaultRowHeight="15.75" x14ac:dyDescent="0.25"/>
  <cols>
    <col min="1" max="1" width="14.5" customWidth="1"/>
    <col min="2" max="2" width="14" bestFit="1" customWidth="1"/>
    <col min="3" max="3" width="28.75" bestFit="1" customWidth="1"/>
    <col min="4" max="4" width="10.75" customWidth="1"/>
    <col min="6" max="6" width="9.75" customWidth="1"/>
    <col min="7" max="7" width="5.625" customWidth="1"/>
    <col min="8" max="8" width="13.625" customWidth="1"/>
    <col min="10" max="10" width="10.375" customWidth="1"/>
    <col min="11" max="11" width="5.625" customWidth="1"/>
    <col min="12" max="12" width="14.75" customWidth="1"/>
    <col min="14" max="14" width="9" customWidth="1"/>
    <col min="15" max="15" width="5.625" customWidth="1"/>
    <col min="16" max="16" width="13.5" bestFit="1" customWidth="1"/>
    <col min="18" max="18" width="9.125" customWidth="1"/>
    <col min="19" max="19" width="6" customWidth="1"/>
    <col min="20" max="20" width="13.5" bestFit="1" customWidth="1"/>
    <col min="21" max="21" width="16.125" style="9" customWidth="1"/>
    <col min="22" max="22" width="15.125" style="9" customWidth="1"/>
    <col min="24" max="24" width="15" customWidth="1"/>
    <col min="25" max="25" width="12.625" customWidth="1"/>
    <col min="26" max="27" width="13" customWidth="1"/>
    <col min="28" max="28" width="12.5" customWidth="1"/>
    <col min="30" max="30" width="8.875" bestFit="1" customWidth="1"/>
    <col min="31" max="31" width="5.625" customWidth="1"/>
    <col min="32" max="32" width="13.5" bestFit="1" customWidth="1"/>
    <col min="34" max="34" width="8.75" customWidth="1"/>
    <col min="35" max="35" width="6" customWidth="1"/>
    <col min="36" max="36" width="12.5" bestFit="1" customWidth="1"/>
    <col min="38" max="38" width="12.75" bestFit="1" customWidth="1"/>
    <col min="39" max="39" width="5.25" customWidth="1"/>
    <col min="40" max="40" width="13.5" bestFit="1" customWidth="1"/>
    <col min="42" max="42" width="8.875" bestFit="1" customWidth="1"/>
    <col min="43" max="43" width="5.75" customWidth="1"/>
    <col min="44" max="44" width="13.5" bestFit="1" customWidth="1"/>
    <col min="45" max="45" width="11.5" bestFit="1" customWidth="1"/>
  </cols>
  <sheetData>
    <row r="1" spans="1:28" ht="19.5" thickBot="1" x14ac:dyDescent="0.35">
      <c r="A1" s="831" t="s">
        <v>92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832"/>
      <c r="N1" s="832"/>
      <c r="O1" s="832"/>
      <c r="P1" s="11"/>
      <c r="Q1" s="11"/>
      <c r="R1" s="11"/>
      <c r="S1" s="10"/>
      <c r="T1" s="11"/>
      <c r="U1" s="12"/>
      <c r="V1" s="12"/>
      <c r="X1" s="11"/>
    </row>
    <row r="2" spans="1:28" ht="16.5" customHeight="1" thickBot="1" x14ac:dyDescent="0.3">
      <c r="A2" s="781" t="s">
        <v>93</v>
      </c>
      <c r="B2" s="782"/>
      <c r="C2" s="783"/>
      <c r="D2" s="13" t="s">
        <v>94</v>
      </c>
      <c r="E2" s="836" t="s">
        <v>253</v>
      </c>
      <c r="F2" s="837"/>
      <c r="G2" s="837"/>
      <c r="H2" s="838"/>
      <c r="I2" s="14">
        <v>1</v>
      </c>
      <c r="J2" s="839" t="s">
        <v>254</v>
      </c>
      <c r="K2" s="840"/>
      <c r="L2" s="841"/>
      <c r="M2" s="14"/>
      <c r="N2" s="839" t="s">
        <v>255</v>
      </c>
      <c r="O2" s="840"/>
      <c r="P2" s="841"/>
      <c r="Q2" s="15"/>
      <c r="R2" s="839" t="s">
        <v>256</v>
      </c>
      <c r="S2" s="840"/>
      <c r="T2" s="841"/>
      <c r="U2" s="16"/>
      <c r="V2" s="16"/>
      <c r="X2" s="17"/>
      <c r="Y2" s="17"/>
      <c r="Z2" s="17"/>
      <c r="AA2" s="17"/>
      <c r="AB2" s="17"/>
    </row>
    <row r="3" spans="1:28" ht="48" thickBot="1" x14ac:dyDescent="0.3">
      <c r="A3" s="18" t="s">
        <v>107</v>
      </c>
      <c r="B3" s="19" t="s">
        <v>108</v>
      </c>
      <c r="C3" s="20" t="s">
        <v>109</v>
      </c>
      <c r="D3" s="21" t="s">
        <v>111</v>
      </c>
      <c r="E3" s="22" t="s">
        <v>112</v>
      </c>
      <c r="F3" s="23" t="s">
        <v>113</v>
      </c>
      <c r="G3" s="23" t="s">
        <v>114</v>
      </c>
      <c r="H3" s="24" t="s">
        <v>115</v>
      </c>
      <c r="I3" s="22" t="s">
        <v>112</v>
      </c>
      <c r="J3" s="23" t="s">
        <v>113</v>
      </c>
      <c r="K3" s="23" t="s">
        <v>114</v>
      </c>
      <c r="L3" s="25" t="s">
        <v>115</v>
      </c>
      <c r="M3" s="22" t="s">
        <v>112</v>
      </c>
      <c r="N3" s="23" t="s">
        <v>113</v>
      </c>
      <c r="O3" s="23" t="s">
        <v>114</v>
      </c>
      <c r="P3" s="25" t="s">
        <v>115</v>
      </c>
      <c r="Q3" s="22" t="s">
        <v>112</v>
      </c>
      <c r="R3" s="23" t="s">
        <v>113</v>
      </c>
      <c r="S3" s="23" t="s">
        <v>114</v>
      </c>
      <c r="T3" s="25" t="s">
        <v>115</v>
      </c>
      <c r="U3" s="26" t="s">
        <v>116</v>
      </c>
      <c r="V3" s="26" t="s">
        <v>117</v>
      </c>
      <c r="X3" s="27" t="s">
        <v>118</v>
      </c>
      <c r="Y3" s="28" t="s">
        <v>119</v>
      </c>
      <c r="Z3" s="29" t="s">
        <v>120</v>
      </c>
      <c r="AA3" s="28" t="s">
        <v>121</v>
      </c>
      <c r="AB3" s="30" t="s">
        <v>122</v>
      </c>
    </row>
    <row r="4" spans="1:28" ht="15.75" customHeight="1" x14ac:dyDescent="0.25">
      <c r="A4" s="784" t="s">
        <v>123</v>
      </c>
      <c r="B4" s="31" t="s">
        <v>124</v>
      </c>
      <c r="C4" s="32" t="s">
        <v>125</v>
      </c>
      <c r="D4" s="33">
        <v>2622000</v>
      </c>
      <c r="E4" s="34">
        <v>45</v>
      </c>
      <c r="F4" s="35">
        <f>D4</f>
        <v>2622000</v>
      </c>
      <c r="G4" s="320">
        <v>111.38629754039999</v>
      </c>
      <c r="H4" s="37">
        <f>F4*G4</f>
        <v>292054872.1509288</v>
      </c>
      <c r="I4" s="34">
        <v>45</v>
      </c>
      <c r="J4" s="38"/>
      <c r="K4" s="36"/>
      <c r="L4" s="39"/>
      <c r="M4" s="34"/>
      <c r="N4" s="40"/>
      <c r="O4" s="36"/>
      <c r="P4" s="41"/>
      <c r="Q4" s="42"/>
      <c r="R4" s="40"/>
      <c r="S4" s="36"/>
      <c r="T4" s="41"/>
      <c r="U4" s="43"/>
      <c r="V4" s="43"/>
      <c r="X4" s="44"/>
      <c r="Y4" s="45"/>
      <c r="Z4" s="3"/>
      <c r="AA4" s="45"/>
      <c r="AB4" s="46"/>
    </row>
    <row r="5" spans="1:28" ht="15.75" customHeight="1" x14ac:dyDescent="0.25">
      <c r="A5" s="785"/>
      <c r="B5" s="47" t="s">
        <v>126</v>
      </c>
      <c r="C5" s="48" t="s">
        <v>127</v>
      </c>
      <c r="D5" s="49">
        <v>349000</v>
      </c>
      <c r="E5" s="50">
        <v>45</v>
      </c>
      <c r="F5" s="51">
        <f t="shared" ref="F5:F7" si="0">D5</f>
        <v>349000</v>
      </c>
      <c r="G5" s="321">
        <v>112.07153054039999</v>
      </c>
      <c r="H5" s="53">
        <f t="shared" ref="H5:H7" si="1">F5*G5</f>
        <v>39112964.1585996</v>
      </c>
      <c r="I5" s="50">
        <v>45</v>
      </c>
      <c r="J5" s="54"/>
      <c r="K5" s="52"/>
      <c r="L5" s="55"/>
      <c r="M5" s="50"/>
      <c r="N5" s="56"/>
      <c r="O5" s="52"/>
      <c r="P5" s="57"/>
      <c r="Q5" s="58"/>
      <c r="R5" s="56"/>
      <c r="S5" s="52"/>
      <c r="T5" s="57"/>
      <c r="U5" s="43"/>
      <c r="V5" s="43"/>
      <c r="X5" s="59"/>
      <c r="Y5" s="45"/>
      <c r="Z5" s="3"/>
      <c r="AA5" s="45"/>
      <c r="AB5" s="46"/>
    </row>
    <row r="6" spans="1:28" ht="15.75" customHeight="1" x14ac:dyDescent="0.25">
      <c r="A6" s="785"/>
      <c r="B6" s="47" t="s">
        <v>126</v>
      </c>
      <c r="C6" s="48" t="s">
        <v>128</v>
      </c>
      <c r="D6" s="49">
        <v>690000</v>
      </c>
      <c r="E6" s="50">
        <v>45</v>
      </c>
      <c r="F6" s="51">
        <f t="shared" si="0"/>
        <v>690000</v>
      </c>
      <c r="G6" s="321">
        <v>109.1379</v>
      </c>
      <c r="H6" s="53">
        <f t="shared" si="1"/>
        <v>75305151</v>
      </c>
      <c r="I6" s="50">
        <v>45</v>
      </c>
      <c r="J6" s="54"/>
      <c r="K6" s="52"/>
      <c r="L6" s="55"/>
      <c r="M6" s="50"/>
      <c r="N6" s="56"/>
      <c r="O6" s="52"/>
      <c r="P6" s="57"/>
      <c r="Q6" s="58"/>
      <c r="R6" s="56"/>
      <c r="S6" s="52"/>
      <c r="T6" s="57"/>
      <c r="U6" s="43"/>
      <c r="V6" s="43"/>
      <c r="X6" s="60"/>
      <c r="Y6" s="45"/>
      <c r="Z6" s="3"/>
      <c r="AA6" s="45"/>
      <c r="AB6" s="46"/>
    </row>
    <row r="7" spans="1:28" ht="15.75" customHeight="1" thickBot="1" x14ac:dyDescent="0.3">
      <c r="A7" s="786"/>
      <c r="B7" s="61" t="s">
        <v>129</v>
      </c>
      <c r="C7" s="62" t="s">
        <v>130</v>
      </c>
      <c r="D7" s="63">
        <v>185000</v>
      </c>
      <c r="E7" s="64">
        <v>45</v>
      </c>
      <c r="F7" s="65">
        <f t="shared" si="0"/>
        <v>185000</v>
      </c>
      <c r="G7" s="322">
        <v>122.15130000000001</v>
      </c>
      <c r="H7" s="67">
        <f t="shared" si="1"/>
        <v>22597990.5</v>
      </c>
      <c r="I7" s="64">
        <v>45</v>
      </c>
      <c r="J7" s="68"/>
      <c r="K7" s="66"/>
      <c r="L7" s="69"/>
      <c r="M7" s="64"/>
      <c r="N7" s="70"/>
      <c r="O7" s="66"/>
      <c r="P7" s="71"/>
      <c r="Q7" s="72"/>
      <c r="R7" s="70"/>
      <c r="S7" s="66"/>
      <c r="T7" s="71"/>
      <c r="U7" s="73"/>
      <c r="V7" s="73"/>
      <c r="X7" s="59"/>
      <c r="Y7" s="45"/>
      <c r="Z7" s="3"/>
      <c r="AA7" s="45"/>
      <c r="AB7" s="46"/>
    </row>
    <row r="8" spans="1:28" ht="15.75" customHeight="1" x14ac:dyDescent="0.25">
      <c r="A8" s="787" t="s">
        <v>132</v>
      </c>
      <c r="B8" s="74" t="s">
        <v>133</v>
      </c>
      <c r="C8" s="75" t="s">
        <v>125</v>
      </c>
      <c r="D8" s="76">
        <v>1146000</v>
      </c>
      <c r="E8" s="77"/>
      <c r="F8" s="78"/>
      <c r="G8" s="78"/>
      <c r="H8" s="79"/>
      <c r="I8" s="80">
        <v>60</v>
      </c>
      <c r="J8" s="81">
        <f>D8*$I$2</f>
        <v>1146000</v>
      </c>
      <c r="K8" s="323">
        <v>117.7479</v>
      </c>
      <c r="L8" s="79">
        <f>J8*K8</f>
        <v>134939093.40000001</v>
      </c>
      <c r="M8" s="80">
        <v>40</v>
      </c>
      <c r="N8" s="81">
        <f>D8*$M$2</f>
        <v>0</v>
      </c>
      <c r="O8" s="82">
        <v>117.7479</v>
      </c>
      <c r="P8" s="79">
        <f>N8*O8</f>
        <v>0</v>
      </c>
      <c r="Q8" s="83">
        <v>25</v>
      </c>
      <c r="R8" s="81">
        <f>D8*$Q$2</f>
        <v>0</v>
      </c>
      <c r="S8" s="82">
        <v>117.7479</v>
      </c>
      <c r="T8" s="79">
        <f>R8*S8</f>
        <v>0</v>
      </c>
      <c r="U8" s="84"/>
      <c r="V8" s="84"/>
      <c r="X8" s="85"/>
      <c r="Y8" s="86"/>
      <c r="AA8" s="86"/>
      <c r="AB8" s="87"/>
    </row>
    <row r="9" spans="1:28" ht="15.75" customHeight="1" x14ac:dyDescent="0.25">
      <c r="A9" s="788"/>
      <c r="B9" s="88"/>
      <c r="C9" s="89" t="s">
        <v>134</v>
      </c>
      <c r="D9" s="90">
        <v>4141000</v>
      </c>
      <c r="E9" s="91"/>
      <c r="F9" s="92"/>
      <c r="G9" s="92"/>
      <c r="H9" s="93"/>
      <c r="I9" s="94">
        <v>60</v>
      </c>
      <c r="J9" s="95">
        <f>D9*$I$2</f>
        <v>4141000</v>
      </c>
      <c r="K9" s="324">
        <v>78.732300000000009</v>
      </c>
      <c r="L9" s="93">
        <f t="shared" ref="L9:L25" si="2">J9*K9</f>
        <v>326030454.30000001</v>
      </c>
      <c r="M9" s="94">
        <v>40</v>
      </c>
      <c r="N9" s="95">
        <f t="shared" ref="N9:N25" si="3">D9*$M$2</f>
        <v>0</v>
      </c>
      <c r="O9" s="96">
        <v>68.843100000000007</v>
      </c>
      <c r="P9" s="93">
        <f t="shared" ref="P9:P25" si="4">N9*O9</f>
        <v>0</v>
      </c>
      <c r="Q9" s="97">
        <v>25</v>
      </c>
      <c r="R9" s="95">
        <f t="shared" ref="R9:R25" si="5">D9*$Q$2</f>
        <v>0</v>
      </c>
      <c r="S9" s="96">
        <v>68.843100000000007</v>
      </c>
      <c r="T9" s="93">
        <f t="shared" ref="T9:T25" si="6">R9*S9</f>
        <v>0</v>
      </c>
      <c r="U9" s="84"/>
      <c r="V9" s="84"/>
      <c r="X9" s="85"/>
      <c r="Y9" s="86"/>
      <c r="AA9" s="86"/>
      <c r="AB9" s="87"/>
    </row>
    <row r="10" spans="1:28" ht="15.75" customHeight="1" x14ac:dyDescent="0.25">
      <c r="A10" s="788"/>
      <c r="B10" s="88"/>
      <c r="C10" s="89" t="s">
        <v>135</v>
      </c>
      <c r="D10" s="90">
        <v>737000</v>
      </c>
      <c r="E10" s="91"/>
      <c r="F10" s="92"/>
      <c r="G10" s="92"/>
      <c r="H10" s="93"/>
      <c r="I10" s="94">
        <v>60</v>
      </c>
      <c r="J10" s="95">
        <f t="shared" ref="J10:J25" si="7">D10*$I$2</f>
        <v>737000</v>
      </c>
      <c r="K10" s="324">
        <v>91.241400000000013</v>
      </c>
      <c r="L10" s="93">
        <f t="shared" si="2"/>
        <v>67244911.800000012</v>
      </c>
      <c r="M10" s="94">
        <v>40</v>
      </c>
      <c r="N10" s="95">
        <f t="shared" si="3"/>
        <v>0</v>
      </c>
      <c r="O10" s="96">
        <v>77.653999999999996</v>
      </c>
      <c r="P10" s="93">
        <f t="shared" si="4"/>
        <v>0</v>
      </c>
      <c r="Q10" s="97">
        <v>25</v>
      </c>
      <c r="R10" s="95">
        <f t="shared" si="5"/>
        <v>0</v>
      </c>
      <c r="S10" s="96">
        <v>77.653999999999996</v>
      </c>
      <c r="T10" s="93">
        <f t="shared" si="6"/>
        <v>0</v>
      </c>
      <c r="U10" s="84"/>
      <c r="V10" s="84"/>
      <c r="X10" s="85"/>
      <c r="Y10" s="86"/>
      <c r="AA10" s="86"/>
      <c r="AB10" s="87"/>
    </row>
    <row r="11" spans="1:28" ht="15.75" customHeight="1" x14ac:dyDescent="0.25">
      <c r="A11" s="788"/>
      <c r="B11" s="88"/>
      <c r="C11" s="89" t="s">
        <v>136</v>
      </c>
      <c r="D11" s="90">
        <v>172000</v>
      </c>
      <c r="E11" s="91"/>
      <c r="F11" s="92"/>
      <c r="G11" s="92"/>
      <c r="H11" s="93"/>
      <c r="I11" s="94">
        <v>60</v>
      </c>
      <c r="J11" s="95">
        <f t="shared" si="7"/>
        <v>172000</v>
      </c>
      <c r="K11" s="324">
        <v>83.418599999999984</v>
      </c>
      <c r="L11" s="93">
        <f t="shared" si="2"/>
        <v>14347999.199999997</v>
      </c>
      <c r="M11" s="94">
        <v>40</v>
      </c>
      <c r="N11" s="95">
        <f t="shared" si="3"/>
        <v>0</v>
      </c>
      <c r="O11" s="96">
        <v>71.009764242506023</v>
      </c>
      <c r="P11" s="93">
        <f t="shared" si="4"/>
        <v>0</v>
      </c>
      <c r="Q11" s="97">
        <v>25</v>
      </c>
      <c r="R11" s="95">
        <f t="shared" si="5"/>
        <v>0</v>
      </c>
      <c r="S11" s="96">
        <v>71.009764242506023</v>
      </c>
      <c r="T11" s="93">
        <f t="shared" si="6"/>
        <v>0</v>
      </c>
      <c r="U11" s="84"/>
      <c r="V11" s="84"/>
      <c r="X11" s="85"/>
      <c r="Y11" s="86"/>
      <c r="AA11" s="86"/>
      <c r="AB11" s="87"/>
    </row>
    <row r="12" spans="1:28" ht="15.75" customHeight="1" x14ac:dyDescent="0.25">
      <c r="A12" s="788"/>
      <c r="B12" s="98" t="s">
        <v>137</v>
      </c>
      <c r="C12" s="89" t="s">
        <v>134</v>
      </c>
      <c r="D12" s="90">
        <v>2045000</v>
      </c>
      <c r="E12" s="91"/>
      <c r="F12" s="92"/>
      <c r="G12" s="92"/>
      <c r="H12" s="93"/>
      <c r="I12" s="94">
        <v>60</v>
      </c>
      <c r="J12" s="95">
        <f t="shared" si="7"/>
        <v>2045000</v>
      </c>
      <c r="K12" s="324">
        <v>62.38393604787592</v>
      </c>
      <c r="L12" s="93">
        <f t="shared" si="2"/>
        <v>127575149.21790625</v>
      </c>
      <c r="M12" s="94">
        <v>40</v>
      </c>
      <c r="N12" s="95">
        <f t="shared" si="3"/>
        <v>0</v>
      </c>
      <c r="O12" s="96">
        <v>60.224311576753166</v>
      </c>
      <c r="P12" s="93">
        <f t="shared" si="4"/>
        <v>0</v>
      </c>
      <c r="Q12" s="97">
        <v>25</v>
      </c>
      <c r="R12" s="95">
        <f t="shared" si="5"/>
        <v>0</v>
      </c>
      <c r="S12" s="96">
        <v>60.224311576753166</v>
      </c>
      <c r="T12" s="93">
        <f t="shared" si="6"/>
        <v>0</v>
      </c>
      <c r="U12" s="84"/>
      <c r="V12" s="84"/>
      <c r="X12" s="99"/>
      <c r="Y12" s="86"/>
      <c r="AA12" s="86"/>
      <c r="AB12" s="87"/>
    </row>
    <row r="13" spans="1:28" ht="15.75" customHeight="1" x14ac:dyDescent="0.25">
      <c r="A13" s="788"/>
      <c r="B13" s="98"/>
      <c r="C13" s="89" t="s">
        <v>135</v>
      </c>
      <c r="D13" s="90">
        <v>280000</v>
      </c>
      <c r="E13" s="91"/>
      <c r="F13" s="92"/>
      <c r="G13" s="92"/>
      <c r="H13" s="93"/>
      <c r="I13" s="94">
        <v>60</v>
      </c>
      <c r="J13" s="95">
        <f t="shared" si="7"/>
        <v>280000</v>
      </c>
      <c r="K13" s="324">
        <v>73.742133656128019</v>
      </c>
      <c r="L13" s="93">
        <f t="shared" si="2"/>
        <v>20647797.423715845</v>
      </c>
      <c r="M13" s="94">
        <v>40</v>
      </c>
      <c r="N13" s="95">
        <f t="shared" si="3"/>
        <v>0</v>
      </c>
      <c r="O13" s="96">
        <v>67.784275461215373</v>
      </c>
      <c r="P13" s="93">
        <f t="shared" si="4"/>
        <v>0</v>
      </c>
      <c r="Q13" s="97">
        <v>25</v>
      </c>
      <c r="R13" s="95">
        <f t="shared" si="5"/>
        <v>0</v>
      </c>
      <c r="S13" s="96">
        <v>67.784275461215373</v>
      </c>
      <c r="T13" s="93">
        <f t="shared" si="6"/>
        <v>0</v>
      </c>
      <c r="U13" s="84"/>
      <c r="V13" s="84"/>
      <c r="X13" s="99"/>
      <c r="Y13" s="86"/>
      <c r="AA13" s="86"/>
      <c r="AB13" s="87"/>
    </row>
    <row r="14" spans="1:28" ht="15.75" customHeight="1" x14ac:dyDescent="0.25">
      <c r="A14" s="788"/>
      <c r="B14" s="98"/>
      <c r="C14" s="89" t="s">
        <v>125</v>
      </c>
      <c r="D14" s="90">
        <v>123000</v>
      </c>
      <c r="E14" s="91"/>
      <c r="F14" s="92"/>
      <c r="G14" s="92"/>
      <c r="H14" s="93"/>
      <c r="I14" s="94">
        <v>60</v>
      </c>
      <c r="J14" s="95">
        <f t="shared" si="7"/>
        <v>123000</v>
      </c>
      <c r="K14" s="324">
        <v>117.7479</v>
      </c>
      <c r="L14" s="93">
        <f t="shared" si="2"/>
        <v>14482991.699999999</v>
      </c>
      <c r="M14" s="94">
        <v>40</v>
      </c>
      <c r="N14" s="95">
        <f t="shared" si="3"/>
        <v>0</v>
      </c>
      <c r="O14" s="96">
        <v>117.7479</v>
      </c>
      <c r="P14" s="93">
        <f t="shared" si="4"/>
        <v>0</v>
      </c>
      <c r="Q14" s="97">
        <v>25</v>
      </c>
      <c r="R14" s="95">
        <f t="shared" si="5"/>
        <v>0</v>
      </c>
      <c r="S14" s="96">
        <v>117.7479</v>
      </c>
      <c r="T14" s="93">
        <f t="shared" si="6"/>
        <v>0</v>
      </c>
      <c r="U14" s="84"/>
      <c r="V14" s="84"/>
      <c r="X14" s="99"/>
      <c r="Y14" s="86"/>
      <c r="AA14" s="86"/>
      <c r="AB14" s="87"/>
    </row>
    <row r="15" spans="1:28" ht="15.75" customHeight="1" x14ac:dyDescent="0.25">
      <c r="A15" s="788"/>
      <c r="B15" s="98"/>
      <c r="C15" s="89" t="s">
        <v>138</v>
      </c>
      <c r="D15" s="90">
        <v>194000</v>
      </c>
      <c r="E15" s="91"/>
      <c r="F15" s="92"/>
      <c r="G15" s="92"/>
      <c r="H15" s="93"/>
      <c r="I15" s="94">
        <v>60</v>
      </c>
      <c r="J15" s="95">
        <f t="shared" si="7"/>
        <v>194000</v>
      </c>
      <c r="K15" s="324">
        <v>78.732300000000009</v>
      </c>
      <c r="L15" s="93">
        <f t="shared" si="2"/>
        <v>15274066.200000001</v>
      </c>
      <c r="M15" s="94">
        <v>40</v>
      </c>
      <c r="N15" s="95">
        <f t="shared" si="3"/>
        <v>0</v>
      </c>
      <c r="O15" s="96">
        <v>68.843100000000007</v>
      </c>
      <c r="P15" s="93">
        <f t="shared" si="4"/>
        <v>0</v>
      </c>
      <c r="Q15" s="97">
        <v>25</v>
      </c>
      <c r="R15" s="95">
        <f t="shared" si="5"/>
        <v>0</v>
      </c>
      <c r="S15" s="96">
        <v>68.843100000000007</v>
      </c>
      <c r="T15" s="93">
        <f t="shared" si="6"/>
        <v>0</v>
      </c>
      <c r="U15" s="84"/>
      <c r="V15" s="84"/>
      <c r="X15" s="99"/>
      <c r="Y15" s="86"/>
      <c r="AA15" s="86"/>
      <c r="AB15" s="87"/>
    </row>
    <row r="16" spans="1:28" ht="15.75" customHeight="1" x14ac:dyDescent="0.25">
      <c r="A16" s="788"/>
      <c r="B16" s="88" t="s">
        <v>139</v>
      </c>
      <c r="C16" s="89" t="s">
        <v>140</v>
      </c>
      <c r="D16" s="90">
        <v>1516000</v>
      </c>
      <c r="E16" s="91"/>
      <c r="F16" s="92"/>
      <c r="G16" s="92"/>
      <c r="H16" s="93"/>
      <c r="I16" s="94">
        <v>60</v>
      </c>
      <c r="J16" s="95">
        <f t="shared" si="7"/>
        <v>1516000</v>
      </c>
      <c r="K16" s="324">
        <v>98.835009284008805</v>
      </c>
      <c r="L16" s="93">
        <f t="shared" si="2"/>
        <v>149833874.07455733</v>
      </c>
      <c r="M16" s="94">
        <v>40</v>
      </c>
      <c r="N16" s="95">
        <f t="shared" si="3"/>
        <v>0</v>
      </c>
      <c r="O16" s="96">
        <v>98.835009284008805</v>
      </c>
      <c r="P16" s="93">
        <f t="shared" si="4"/>
        <v>0</v>
      </c>
      <c r="Q16" s="97">
        <v>25</v>
      </c>
      <c r="R16" s="95">
        <f t="shared" si="5"/>
        <v>0</v>
      </c>
      <c r="S16" s="96">
        <v>98.835009284008805</v>
      </c>
      <c r="T16" s="93">
        <f t="shared" si="6"/>
        <v>0</v>
      </c>
      <c r="U16" s="84"/>
      <c r="V16" s="84"/>
      <c r="X16" s="99"/>
      <c r="Y16" s="86"/>
      <c r="AA16" s="86"/>
      <c r="AB16" s="87"/>
    </row>
    <row r="17" spans="1:28" ht="15.75" customHeight="1" x14ac:dyDescent="0.25">
      <c r="A17" s="788"/>
      <c r="B17" s="88"/>
      <c r="C17" s="89" t="s">
        <v>141</v>
      </c>
      <c r="D17" s="90">
        <v>185000</v>
      </c>
      <c r="E17" s="91"/>
      <c r="F17" s="92"/>
      <c r="G17" s="92"/>
      <c r="H17" s="93"/>
      <c r="I17" s="94">
        <v>60</v>
      </c>
      <c r="J17" s="95">
        <f t="shared" si="7"/>
        <v>185000</v>
      </c>
      <c r="K17" s="324">
        <v>127.84156564843498</v>
      </c>
      <c r="L17" s="93">
        <f t="shared" si="2"/>
        <v>23650689.64496047</v>
      </c>
      <c r="M17" s="94">
        <v>40</v>
      </c>
      <c r="N17" s="95">
        <f t="shared" si="3"/>
        <v>0</v>
      </c>
      <c r="O17" s="96">
        <v>103.52055173995332</v>
      </c>
      <c r="P17" s="93">
        <f t="shared" si="4"/>
        <v>0</v>
      </c>
      <c r="Q17" s="97">
        <v>25</v>
      </c>
      <c r="R17" s="95">
        <f t="shared" si="5"/>
        <v>0</v>
      </c>
      <c r="S17" s="96">
        <v>98.835009284008805</v>
      </c>
      <c r="T17" s="93">
        <f t="shared" si="6"/>
        <v>0</v>
      </c>
      <c r="U17" s="84"/>
      <c r="V17" s="84"/>
      <c r="X17" s="99"/>
      <c r="Y17" s="86"/>
      <c r="AA17" s="86"/>
      <c r="AB17" s="87"/>
    </row>
    <row r="18" spans="1:28" ht="15.75" customHeight="1" x14ac:dyDescent="0.25">
      <c r="A18" s="788"/>
      <c r="B18" s="88" t="s">
        <v>142</v>
      </c>
      <c r="C18" s="89" t="s">
        <v>143</v>
      </c>
      <c r="D18" s="90">
        <v>9091000</v>
      </c>
      <c r="E18" s="91"/>
      <c r="F18" s="92"/>
      <c r="G18" s="92"/>
      <c r="H18" s="93"/>
      <c r="I18" s="94">
        <v>60</v>
      </c>
      <c r="J18" s="95">
        <f t="shared" si="7"/>
        <v>9091000</v>
      </c>
      <c r="K18" s="324">
        <v>63.98248064129497</v>
      </c>
      <c r="L18" s="93">
        <f t="shared" si="2"/>
        <v>581664731.51001263</v>
      </c>
      <c r="M18" s="94">
        <v>40</v>
      </c>
      <c r="N18" s="95">
        <f t="shared" si="3"/>
        <v>0</v>
      </c>
      <c r="O18" s="96">
        <v>61.373932080041662</v>
      </c>
      <c r="P18" s="93">
        <f t="shared" si="4"/>
        <v>0</v>
      </c>
      <c r="Q18" s="97">
        <v>25</v>
      </c>
      <c r="R18" s="95">
        <f t="shared" si="5"/>
        <v>0</v>
      </c>
      <c r="S18" s="96">
        <v>61.373932080041662</v>
      </c>
      <c r="T18" s="93">
        <f t="shared" si="6"/>
        <v>0</v>
      </c>
      <c r="U18" s="84"/>
      <c r="V18" s="84"/>
      <c r="X18" s="99"/>
      <c r="Y18" s="86"/>
      <c r="AA18" s="86"/>
      <c r="AB18" s="87"/>
    </row>
    <row r="19" spans="1:28" ht="15.75" customHeight="1" x14ac:dyDescent="0.25">
      <c r="A19" s="788"/>
      <c r="B19" s="88"/>
      <c r="C19" s="89" t="s">
        <v>144</v>
      </c>
      <c r="D19" s="90">
        <v>55000</v>
      </c>
      <c r="E19" s="91"/>
      <c r="F19" s="92"/>
      <c r="G19" s="92"/>
      <c r="H19" s="93"/>
      <c r="I19" s="94">
        <v>60</v>
      </c>
      <c r="J19" s="95">
        <f t="shared" si="7"/>
        <v>55000</v>
      </c>
      <c r="K19" s="324">
        <v>184.09863442905561</v>
      </c>
      <c r="L19" s="93">
        <f t="shared" si="2"/>
        <v>10125424.893598059</v>
      </c>
      <c r="M19" s="94">
        <v>40</v>
      </c>
      <c r="N19" s="95">
        <f t="shared" si="3"/>
        <v>0</v>
      </c>
      <c r="O19" s="96">
        <v>174.6309187388475</v>
      </c>
      <c r="P19" s="93">
        <f t="shared" si="4"/>
        <v>0</v>
      </c>
      <c r="Q19" s="97">
        <v>25</v>
      </c>
      <c r="R19" s="95">
        <f t="shared" si="5"/>
        <v>0</v>
      </c>
      <c r="S19" s="96">
        <v>167.05674618668098</v>
      </c>
      <c r="T19" s="93">
        <f t="shared" si="6"/>
        <v>0</v>
      </c>
      <c r="U19" s="84"/>
      <c r="V19" s="84"/>
      <c r="X19" s="99"/>
      <c r="Y19" s="86"/>
      <c r="AA19" s="86"/>
      <c r="AB19" s="87"/>
    </row>
    <row r="20" spans="1:28" ht="15.75" customHeight="1" x14ac:dyDescent="0.25">
      <c r="A20" s="788"/>
      <c r="B20" s="88"/>
      <c r="C20" s="89" t="s">
        <v>145</v>
      </c>
      <c r="D20" s="90">
        <v>81000</v>
      </c>
      <c r="E20" s="91"/>
      <c r="F20" s="92"/>
      <c r="G20" s="92"/>
      <c r="H20" s="93"/>
      <c r="I20" s="94">
        <v>60</v>
      </c>
      <c r="J20" s="95">
        <f t="shared" si="7"/>
        <v>81000</v>
      </c>
      <c r="K20" s="324">
        <v>137.94871011218811</v>
      </c>
      <c r="L20" s="93">
        <f t="shared" si="2"/>
        <v>11173845.519087236</v>
      </c>
      <c r="M20" s="94">
        <v>40</v>
      </c>
      <c r="N20" s="95">
        <f t="shared" si="3"/>
        <v>0</v>
      </c>
      <c r="O20" s="96">
        <v>129.79961381355497</v>
      </c>
      <c r="P20" s="93">
        <f t="shared" si="4"/>
        <v>0</v>
      </c>
      <c r="Q20" s="97">
        <v>25</v>
      </c>
      <c r="R20" s="95">
        <f t="shared" si="5"/>
        <v>0</v>
      </c>
      <c r="S20" s="96">
        <v>123.28033677464848</v>
      </c>
      <c r="T20" s="93">
        <f t="shared" si="6"/>
        <v>0</v>
      </c>
      <c r="U20" s="84"/>
      <c r="V20" s="84"/>
      <c r="X20" s="99"/>
      <c r="Y20" s="86"/>
      <c r="AA20" s="86"/>
      <c r="AB20" s="87"/>
    </row>
    <row r="21" spans="1:28" ht="15.75" customHeight="1" thickBot="1" x14ac:dyDescent="0.3">
      <c r="A21" s="789"/>
      <c r="B21" s="100"/>
      <c r="C21" s="101" t="s">
        <v>146</v>
      </c>
      <c r="D21" s="102">
        <v>156000</v>
      </c>
      <c r="E21" s="103"/>
      <c r="F21" s="104"/>
      <c r="G21" s="104"/>
      <c r="H21" s="105"/>
      <c r="I21" s="106">
        <v>60</v>
      </c>
      <c r="J21" s="107">
        <f t="shared" si="7"/>
        <v>156000</v>
      </c>
      <c r="K21" s="325">
        <v>97.679707187031212</v>
      </c>
      <c r="L21" s="105">
        <f t="shared" si="2"/>
        <v>15238034.32117687</v>
      </c>
      <c r="M21" s="106">
        <v>40</v>
      </c>
      <c r="N21" s="107">
        <f t="shared" si="3"/>
        <v>0</v>
      </c>
      <c r="O21" s="108">
        <v>84.34637385369787</v>
      </c>
      <c r="P21" s="105">
        <f t="shared" si="4"/>
        <v>0</v>
      </c>
      <c r="Q21" s="109">
        <v>25</v>
      </c>
      <c r="R21" s="107">
        <f t="shared" si="5"/>
        <v>0</v>
      </c>
      <c r="S21" s="108">
        <v>84.34637385369787</v>
      </c>
      <c r="T21" s="105">
        <f t="shared" si="6"/>
        <v>0</v>
      </c>
      <c r="U21" s="84"/>
      <c r="V21" s="84"/>
      <c r="X21" s="99"/>
      <c r="Y21" s="86"/>
      <c r="AA21" s="86"/>
      <c r="AB21" s="87"/>
    </row>
    <row r="22" spans="1:28" ht="15.75" customHeight="1" x14ac:dyDescent="0.25">
      <c r="A22" s="110" t="s">
        <v>147</v>
      </c>
      <c r="B22" s="111" t="s">
        <v>148</v>
      </c>
      <c r="C22" s="112" t="s">
        <v>149</v>
      </c>
      <c r="D22" s="113">
        <v>265000</v>
      </c>
      <c r="E22" s="114"/>
      <c r="F22" s="115"/>
      <c r="G22" s="115"/>
      <c r="H22" s="116"/>
      <c r="I22" s="117">
        <v>60</v>
      </c>
      <c r="J22" s="118">
        <f t="shared" si="7"/>
        <v>265000</v>
      </c>
      <c r="K22" s="326">
        <v>107.95015002391374</v>
      </c>
      <c r="L22" s="120">
        <f t="shared" si="2"/>
        <v>28606789.75633714</v>
      </c>
      <c r="M22" s="117">
        <v>40</v>
      </c>
      <c r="N22" s="118">
        <f t="shared" si="3"/>
        <v>0</v>
      </c>
      <c r="O22" s="119">
        <v>98.536816706133322</v>
      </c>
      <c r="P22" s="120">
        <f t="shared" si="4"/>
        <v>0</v>
      </c>
      <c r="Q22" s="121">
        <v>25</v>
      </c>
      <c r="R22" s="118">
        <f t="shared" si="5"/>
        <v>0</v>
      </c>
      <c r="S22" s="119">
        <v>91.006150051908989</v>
      </c>
      <c r="T22" s="120">
        <f t="shared" si="6"/>
        <v>0</v>
      </c>
      <c r="U22" s="122"/>
      <c r="V22" s="122"/>
      <c r="X22" s="123"/>
      <c r="Y22" s="86"/>
      <c r="AA22" s="86"/>
      <c r="AB22" s="87"/>
    </row>
    <row r="23" spans="1:28" ht="15.75" customHeight="1" x14ac:dyDescent="0.25">
      <c r="A23" s="124"/>
      <c r="B23" s="125" t="s">
        <v>150</v>
      </c>
      <c r="C23" s="126" t="s">
        <v>151</v>
      </c>
      <c r="D23" s="127">
        <v>725000</v>
      </c>
      <c r="E23" s="128"/>
      <c r="F23" s="129"/>
      <c r="G23" s="129"/>
      <c r="H23" s="130"/>
      <c r="I23" s="131">
        <v>60</v>
      </c>
      <c r="J23" s="132">
        <f t="shared" si="7"/>
        <v>725000</v>
      </c>
      <c r="K23" s="327">
        <v>77.305678433024994</v>
      </c>
      <c r="L23" s="134">
        <f t="shared" si="2"/>
        <v>56046616.863943122</v>
      </c>
      <c r="M23" s="131">
        <v>40</v>
      </c>
      <c r="N23" s="132">
        <f t="shared" si="3"/>
        <v>0</v>
      </c>
      <c r="O23" s="133">
        <v>77.305678433024994</v>
      </c>
      <c r="P23" s="134">
        <f t="shared" si="4"/>
        <v>0</v>
      </c>
      <c r="Q23" s="135">
        <v>25</v>
      </c>
      <c r="R23" s="132">
        <f t="shared" si="5"/>
        <v>0</v>
      </c>
      <c r="S23" s="133">
        <v>77.305678433024994</v>
      </c>
      <c r="T23" s="134">
        <f t="shared" si="6"/>
        <v>0</v>
      </c>
      <c r="U23" s="122"/>
      <c r="V23" s="122"/>
      <c r="X23" s="123"/>
      <c r="Y23" s="86"/>
      <c r="AA23" s="86"/>
      <c r="AB23" s="87"/>
    </row>
    <row r="24" spans="1:28" ht="15.75" customHeight="1" x14ac:dyDescent="0.25">
      <c r="A24" s="124"/>
      <c r="B24" s="125"/>
      <c r="C24" s="126" t="s">
        <v>152</v>
      </c>
      <c r="D24" s="127">
        <v>618000</v>
      </c>
      <c r="E24" s="128"/>
      <c r="F24" s="129"/>
      <c r="G24" s="129"/>
      <c r="H24" s="130"/>
      <c r="I24" s="136">
        <v>60</v>
      </c>
      <c r="J24" s="132">
        <f t="shared" si="7"/>
        <v>618000</v>
      </c>
      <c r="K24" s="327">
        <v>50.580205349958845</v>
      </c>
      <c r="L24" s="134">
        <f t="shared" si="2"/>
        <v>31258566.906274565</v>
      </c>
      <c r="M24" s="136">
        <v>40</v>
      </c>
      <c r="N24" s="132">
        <f t="shared" si="3"/>
        <v>0</v>
      </c>
      <c r="O24" s="133">
        <v>50.580205349958845</v>
      </c>
      <c r="P24" s="134">
        <f t="shared" si="4"/>
        <v>0</v>
      </c>
      <c r="Q24" s="137">
        <v>25</v>
      </c>
      <c r="R24" s="132">
        <f t="shared" si="5"/>
        <v>0</v>
      </c>
      <c r="S24" s="133">
        <v>50.580205349958845</v>
      </c>
      <c r="T24" s="134">
        <f t="shared" si="6"/>
        <v>0</v>
      </c>
      <c r="U24" s="122"/>
      <c r="V24" s="122"/>
      <c r="X24" s="99"/>
      <c r="Y24" s="86"/>
      <c r="AA24" s="86"/>
      <c r="AB24" s="87"/>
    </row>
    <row r="25" spans="1:28" ht="15.75" customHeight="1" x14ac:dyDescent="0.25">
      <c r="A25" s="138"/>
      <c r="B25" s="125" t="s">
        <v>153</v>
      </c>
      <c r="C25" s="126" t="s">
        <v>138</v>
      </c>
      <c r="D25" s="127">
        <v>5550</v>
      </c>
      <c r="E25" s="128"/>
      <c r="F25" s="129"/>
      <c r="G25" s="129"/>
      <c r="H25" s="130"/>
      <c r="I25" s="136">
        <v>60</v>
      </c>
      <c r="J25" s="132">
        <f t="shared" si="7"/>
        <v>5550</v>
      </c>
      <c r="K25" s="327">
        <f>K15</f>
        <v>78.732300000000009</v>
      </c>
      <c r="L25" s="134">
        <f t="shared" si="2"/>
        <v>436964.26500000007</v>
      </c>
      <c r="M25" s="136">
        <v>40</v>
      </c>
      <c r="N25" s="132">
        <f t="shared" si="3"/>
        <v>0</v>
      </c>
      <c r="O25" s="133">
        <f>O15</f>
        <v>68.843100000000007</v>
      </c>
      <c r="P25" s="134">
        <f t="shared" si="4"/>
        <v>0</v>
      </c>
      <c r="Q25" s="137">
        <v>25</v>
      </c>
      <c r="R25" s="132">
        <f t="shared" si="5"/>
        <v>0</v>
      </c>
      <c r="S25" s="133">
        <f>S15</f>
        <v>68.843100000000007</v>
      </c>
      <c r="T25" s="134">
        <f t="shared" si="6"/>
        <v>0</v>
      </c>
      <c r="U25" s="122"/>
      <c r="V25" s="122"/>
      <c r="X25" s="99"/>
      <c r="Y25" s="86"/>
      <c r="AA25" s="86"/>
      <c r="AB25" s="87"/>
    </row>
    <row r="26" spans="1:28" ht="15.75" customHeight="1" thickBot="1" x14ac:dyDescent="0.3">
      <c r="A26" s="139"/>
      <c r="B26" s="140" t="s">
        <v>155</v>
      </c>
      <c r="C26" s="126"/>
      <c r="D26" s="127">
        <v>219110</v>
      </c>
      <c r="E26" s="128"/>
      <c r="F26" s="129"/>
      <c r="G26" s="129"/>
      <c r="H26" s="130"/>
      <c r="I26" s="131">
        <v>60</v>
      </c>
      <c r="J26" s="129">
        <f>D26</f>
        <v>219110</v>
      </c>
      <c r="K26" s="327">
        <v>69</v>
      </c>
      <c r="L26" s="141">
        <f>J26*K26</f>
        <v>15118590</v>
      </c>
      <c r="M26" s="131">
        <v>40</v>
      </c>
      <c r="N26" s="142"/>
      <c r="O26" s="133"/>
      <c r="P26" s="143"/>
      <c r="Q26" s="135">
        <v>25</v>
      </c>
      <c r="R26" s="142"/>
      <c r="S26" s="133"/>
      <c r="T26" s="143"/>
      <c r="U26" s="144"/>
      <c r="V26" s="145"/>
      <c r="X26" s="99"/>
      <c r="Y26" s="86"/>
      <c r="AA26" s="86"/>
      <c r="AB26" s="87"/>
    </row>
    <row r="27" spans="1:28" ht="15.75" customHeight="1" thickBot="1" x14ac:dyDescent="0.3">
      <c r="A27" s="146" t="s">
        <v>88</v>
      </c>
      <c r="B27" s="147"/>
      <c r="C27" s="148" t="s">
        <v>156</v>
      </c>
      <c r="D27" s="149">
        <f>SUM(D4:D26)</f>
        <v>25600660</v>
      </c>
      <c r="E27" s="150"/>
      <c r="F27" s="151">
        <f>SUM(F4:F26)</f>
        <v>3846000</v>
      </c>
      <c r="G27" s="151"/>
      <c r="H27" s="152">
        <f>SUM(H4:H26)</f>
        <v>429070977.80952841</v>
      </c>
      <c r="I27" s="153">
        <v>60</v>
      </c>
      <c r="J27" s="151">
        <f>SUM(J4:J26)</f>
        <v>21754660</v>
      </c>
      <c r="K27" s="154"/>
      <c r="L27" s="155">
        <f>SUM(L4:L26)</f>
        <v>1643696590.9965699</v>
      </c>
      <c r="M27" s="153">
        <v>40</v>
      </c>
      <c r="N27" s="151">
        <f>SUM(N4:N26)</f>
        <v>0</v>
      </c>
      <c r="O27" s="154"/>
      <c r="P27" s="152">
        <f>SUM(P4:P26)</f>
        <v>0</v>
      </c>
      <c r="Q27" s="156">
        <v>25</v>
      </c>
      <c r="R27" s="151">
        <f>SUM(R4:R26)</f>
        <v>0</v>
      </c>
      <c r="S27" s="154"/>
      <c r="T27" s="152">
        <f>SUM(T4:T26)</f>
        <v>0</v>
      </c>
      <c r="U27" s="157">
        <f>H27+L27+P27+T27</f>
        <v>2072767568.8060982</v>
      </c>
      <c r="V27" s="157"/>
      <c r="X27" s="99"/>
      <c r="Y27" s="86"/>
      <c r="AA27" s="86"/>
      <c r="AB27" s="87"/>
    </row>
    <row r="28" spans="1:28" ht="15.75" customHeight="1" thickBot="1" x14ac:dyDescent="0.3">
      <c r="A28" s="158" t="s">
        <v>157</v>
      </c>
      <c r="B28" s="159"/>
      <c r="C28" s="160" t="s">
        <v>158</v>
      </c>
      <c r="D28" s="161"/>
      <c r="E28" s="162"/>
      <c r="F28" s="163"/>
      <c r="G28" s="163"/>
      <c r="H28" s="164">
        <f>H27/E4</f>
        <v>9534910.6179895196</v>
      </c>
      <c r="I28" s="165"/>
      <c r="J28" s="163"/>
      <c r="K28" s="166"/>
      <c r="L28" s="167">
        <f>L27/I8</f>
        <v>27394943.183276165</v>
      </c>
      <c r="M28" s="165"/>
      <c r="N28" s="163"/>
      <c r="O28" s="166"/>
      <c r="P28" s="167">
        <f>P27/M8</f>
        <v>0</v>
      </c>
      <c r="Q28" s="168"/>
      <c r="R28" s="163"/>
      <c r="S28" s="166"/>
      <c r="T28" s="167">
        <f>T27/Q8</f>
        <v>0</v>
      </c>
      <c r="U28" s="169"/>
      <c r="V28" s="170">
        <f>SUM(H28:T28)</f>
        <v>36929853.801265687</v>
      </c>
      <c r="X28" s="171">
        <v>44659358.085251525</v>
      </c>
      <c r="Y28" s="171">
        <v>49812360.941242091</v>
      </c>
      <c r="Z28" s="171">
        <v>33494518.563938648</v>
      </c>
      <c r="AA28" s="171">
        <v>23188512.851957526</v>
      </c>
      <c r="AB28" s="171">
        <v>33494518.563938648</v>
      </c>
    </row>
    <row r="29" spans="1:28" ht="15.75" customHeight="1" x14ac:dyDescent="0.25">
      <c r="A29" s="790" t="s">
        <v>159</v>
      </c>
      <c r="B29" s="172" t="s">
        <v>160</v>
      </c>
      <c r="C29" s="173" t="s">
        <v>161</v>
      </c>
      <c r="D29" s="174">
        <v>9797</v>
      </c>
      <c r="E29" s="175"/>
      <c r="F29" s="176"/>
      <c r="G29" s="176"/>
      <c r="H29" s="177">
        <v>15479260</v>
      </c>
      <c r="I29" s="178"/>
      <c r="J29" s="176"/>
      <c r="K29" s="179"/>
      <c r="L29" s="177"/>
      <c r="M29" s="178"/>
      <c r="N29" s="176"/>
      <c r="O29" s="179"/>
      <c r="P29" s="177"/>
      <c r="Q29" s="180"/>
      <c r="R29" s="176"/>
      <c r="S29" s="179"/>
      <c r="T29" s="177"/>
      <c r="U29" s="181">
        <f>H29</f>
        <v>15479260</v>
      </c>
      <c r="V29" s="182">
        <v>515975.33333333331</v>
      </c>
      <c r="X29" s="171">
        <f>V29</f>
        <v>515975.33333333331</v>
      </c>
      <c r="Y29" s="183">
        <f>V29</f>
        <v>515975.33333333331</v>
      </c>
      <c r="Z29" s="9">
        <f>V29</f>
        <v>515975.33333333331</v>
      </c>
      <c r="AA29" s="184">
        <f>V29</f>
        <v>515975.33333333331</v>
      </c>
      <c r="AB29" s="185">
        <f>V29</f>
        <v>515975.33333333331</v>
      </c>
    </row>
    <row r="30" spans="1:28" ht="15.75" customHeight="1" x14ac:dyDescent="0.25">
      <c r="A30" s="791"/>
      <c r="B30" s="186" t="s">
        <v>162</v>
      </c>
      <c r="C30" s="187" t="s">
        <v>161</v>
      </c>
      <c r="D30" s="188"/>
      <c r="E30" s="189"/>
      <c r="F30" s="190"/>
      <c r="G30" s="190"/>
      <c r="H30" s="191">
        <v>18140090</v>
      </c>
      <c r="I30" s="192"/>
      <c r="J30" s="190"/>
      <c r="K30" s="193"/>
      <c r="L30" s="191"/>
      <c r="M30" s="192"/>
      <c r="N30" s="190"/>
      <c r="O30" s="193"/>
      <c r="P30" s="191"/>
      <c r="Q30" s="194"/>
      <c r="R30" s="190"/>
      <c r="S30" s="193"/>
      <c r="T30" s="191"/>
      <c r="U30" s="195">
        <f>H30</f>
        <v>18140090</v>
      </c>
      <c r="V30" s="182">
        <v>646584.83333333326</v>
      </c>
      <c r="X30" s="171">
        <f>V30</f>
        <v>646584.83333333326</v>
      </c>
      <c r="Y30" s="183">
        <f>V30</f>
        <v>646584.83333333326</v>
      </c>
      <c r="Z30" s="9">
        <f>V30</f>
        <v>646584.83333333326</v>
      </c>
      <c r="AA30" s="184">
        <f>V30</f>
        <v>646584.83333333326</v>
      </c>
      <c r="AB30" s="185">
        <f>V30</f>
        <v>646584.83333333326</v>
      </c>
    </row>
    <row r="31" spans="1:28" ht="15.75" customHeight="1" thickBot="1" x14ac:dyDescent="0.3">
      <c r="A31" s="792"/>
      <c r="B31" s="196" t="s">
        <v>163</v>
      </c>
      <c r="C31" s="197"/>
      <c r="D31" s="198"/>
      <c r="E31" s="199"/>
      <c r="F31" s="200"/>
      <c r="G31" s="200"/>
      <c r="H31" s="201">
        <v>8384756</v>
      </c>
      <c r="I31" s="202"/>
      <c r="J31" s="200"/>
      <c r="K31" s="203"/>
      <c r="L31" s="201"/>
      <c r="M31" s="202"/>
      <c r="N31" s="200"/>
      <c r="O31" s="203"/>
      <c r="P31" s="201"/>
      <c r="Q31" s="202"/>
      <c r="R31" s="200"/>
      <c r="S31" s="203"/>
      <c r="T31" s="201"/>
      <c r="U31" s="204">
        <f>H31</f>
        <v>8384756</v>
      </c>
      <c r="V31" s="205">
        <v>329704.8</v>
      </c>
      <c r="X31" s="171">
        <f>V31</f>
        <v>329704.8</v>
      </c>
      <c r="Y31" s="206">
        <f>V31</f>
        <v>329704.8</v>
      </c>
      <c r="Z31" s="9">
        <f>V31</f>
        <v>329704.8</v>
      </c>
      <c r="AA31" s="184">
        <f>V31</f>
        <v>329704.8</v>
      </c>
      <c r="AB31" s="185">
        <f>V31</f>
        <v>329704.8</v>
      </c>
    </row>
    <row r="32" spans="1:28" ht="16.5" thickBot="1" x14ac:dyDescent="0.3">
      <c r="D32" s="2"/>
      <c r="H32" s="207"/>
      <c r="I32" s="1"/>
      <c r="J32" s="1"/>
      <c r="U32" s="208">
        <f>SUM(U27:U31)</f>
        <v>2114771674.8060982</v>
      </c>
      <c r="V32" s="209">
        <f>SUM(V28:V31)</f>
        <v>38422118.767932355</v>
      </c>
      <c r="X32" s="210">
        <f>SUM(X28:X31)</f>
        <v>46151623.051918194</v>
      </c>
      <c r="Y32" s="211">
        <f>SUM(Y28:Y31)</f>
        <v>51304625.90790876</v>
      </c>
      <c r="Z32" s="212">
        <f>SUM(Z28:Z31)</f>
        <v>34986783.530605316</v>
      </c>
      <c r="AA32" s="211">
        <f>SUM(AA28:AA31)</f>
        <v>24680777.818624191</v>
      </c>
      <c r="AB32" s="213">
        <f>SUM(AB28:AB31)</f>
        <v>34986783.530605316</v>
      </c>
    </row>
    <row r="33" spans="1:28" x14ac:dyDescent="0.25">
      <c r="C33" s="214" t="s">
        <v>164</v>
      </c>
      <c r="D33" s="215">
        <v>0.03</v>
      </c>
      <c r="U33" s="216">
        <f>U32*D33</f>
        <v>63443150.244182944</v>
      </c>
      <c r="V33" s="217">
        <f>D33*V32</f>
        <v>1152663.5630379706</v>
      </c>
      <c r="X33" s="218">
        <f>D33*X32</f>
        <v>1384548.6915575457</v>
      </c>
      <c r="Y33" s="219">
        <f>D33*$Y$32</f>
        <v>1539138.7772372628</v>
      </c>
      <c r="Z33" s="219">
        <f>D33*$Z$32</f>
        <v>1049603.5059181594</v>
      </c>
      <c r="AA33" s="219">
        <f>D33*$AA$32</f>
        <v>740423.33455872571</v>
      </c>
      <c r="AB33" s="220">
        <f>D33*$AB$32</f>
        <v>1049603.5059181594</v>
      </c>
    </row>
    <row r="34" spans="1:28" x14ac:dyDescent="0.25">
      <c r="C34" s="214" t="s">
        <v>165</v>
      </c>
      <c r="D34" s="215">
        <v>0.05</v>
      </c>
      <c r="U34" s="216">
        <f>U32*D34</f>
        <v>105738583.74030492</v>
      </c>
      <c r="V34" s="216">
        <f>D34*V32</f>
        <v>1921105.9383966178</v>
      </c>
      <c r="X34" s="218">
        <f>D34*X32</f>
        <v>2307581.1525959098</v>
      </c>
      <c r="Y34" s="221">
        <f t="shared" ref="Y34:Y37" si="8">D34*$Y$32</f>
        <v>2565231.2953954381</v>
      </c>
      <c r="Z34" s="221">
        <f t="shared" ref="Z34:Z37" si="9">D34*$Z$32</f>
        <v>1749339.1765302659</v>
      </c>
      <c r="AA34" s="221">
        <f t="shared" ref="AA34:AA37" si="10">D34*$AA$32</f>
        <v>1234038.8909312095</v>
      </c>
      <c r="AB34" s="222">
        <f t="shared" ref="AB34:AB37" si="11">D34*$AB$32</f>
        <v>1749339.1765302659</v>
      </c>
    </row>
    <row r="35" spans="1:28" x14ac:dyDescent="0.25">
      <c r="C35" s="214" t="s">
        <v>166</v>
      </c>
      <c r="D35" s="215">
        <v>0.1</v>
      </c>
      <c r="U35" s="216">
        <f>U32*D35</f>
        <v>211477167.48060983</v>
      </c>
      <c r="V35" s="216">
        <f>D35*V32</f>
        <v>3842211.8767932355</v>
      </c>
      <c r="X35" s="218">
        <f>D35*X32</f>
        <v>4615162.3051918196</v>
      </c>
      <c r="Y35" s="221">
        <f t="shared" si="8"/>
        <v>5130462.5907908762</v>
      </c>
      <c r="Z35" s="221">
        <f t="shared" si="9"/>
        <v>3498678.3530605319</v>
      </c>
      <c r="AA35" s="221">
        <f t="shared" si="10"/>
        <v>2468077.7818624191</v>
      </c>
      <c r="AB35" s="222">
        <f t="shared" si="11"/>
        <v>3498678.3530605319</v>
      </c>
    </row>
    <row r="36" spans="1:28" x14ac:dyDescent="0.25">
      <c r="C36" s="214" t="s">
        <v>167</v>
      </c>
      <c r="D36" s="215">
        <v>0.06</v>
      </c>
      <c r="U36" s="216">
        <f>U32*D36</f>
        <v>126886300.48836589</v>
      </c>
      <c r="V36" s="216">
        <f>D36*V32</f>
        <v>2305327.1260759411</v>
      </c>
      <c r="X36" s="218">
        <f>D36*X32</f>
        <v>2769097.3831150914</v>
      </c>
      <c r="Y36" s="221">
        <f t="shared" si="8"/>
        <v>3078277.5544745256</v>
      </c>
      <c r="Z36" s="221">
        <f t="shared" si="9"/>
        <v>2099207.0118363188</v>
      </c>
      <c r="AA36" s="221">
        <f t="shared" si="10"/>
        <v>1480846.6691174514</v>
      </c>
      <c r="AB36" s="222">
        <f t="shared" si="11"/>
        <v>2099207.0118363188</v>
      </c>
    </row>
    <row r="37" spans="1:28" ht="16.5" thickBot="1" x14ac:dyDescent="0.3">
      <c r="C37" s="214" t="s">
        <v>168</v>
      </c>
      <c r="D37" s="215">
        <v>0.05</v>
      </c>
      <c r="U37" s="216">
        <f>U32*D37</f>
        <v>105738583.74030492</v>
      </c>
      <c r="V37" s="216">
        <f>D37*V32</f>
        <v>1921105.9383966178</v>
      </c>
      <c r="X37" s="223">
        <f>D37*X32</f>
        <v>2307581.1525959098</v>
      </c>
      <c r="Y37" s="224">
        <f t="shared" si="8"/>
        <v>2565231.2953954381</v>
      </c>
      <c r="Z37" s="224">
        <f t="shared" si="9"/>
        <v>1749339.1765302659</v>
      </c>
      <c r="AA37" s="224">
        <f t="shared" si="10"/>
        <v>1234038.8909312095</v>
      </c>
      <c r="AB37" s="225">
        <f t="shared" si="11"/>
        <v>1749339.1765302659</v>
      </c>
    </row>
    <row r="38" spans="1:28" ht="16.5" thickBot="1" x14ac:dyDescent="0.3">
      <c r="U38" s="226">
        <f>SUM(U32:U37)</f>
        <v>2728055460.4998665</v>
      </c>
      <c r="V38" s="226">
        <f>SUM(V32:V37)</f>
        <v>49564533.210632734</v>
      </c>
      <c r="X38" s="226">
        <f>SUM(X32:X37)</f>
        <v>59535593.73697447</v>
      </c>
      <c r="Y38" s="226">
        <f>SUM(Y32:Y37)</f>
        <v>66182967.421202309</v>
      </c>
      <c r="Z38" s="226">
        <f>SUM(Z32:Z37)</f>
        <v>45132950.754480854</v>
      </c>
      <c r="AA38" s="226">
        <f>SUM(AA32:AA37)</f>
        <v>31838203.386025205</v>
      </c>
      <c r="AB38" s="226">
        <f>SUM(AB32:AB37)</f>
        <v>45132950.754480854</v>
      </c>
    </row>
    <row r="40" spans="1:28" x14ac:dyDescent="0.25">
      <c r="C40" s="227" t="s">
        <v>169</v>
      </c>
      <c r="V40" s="228">
        <v>-6000000</v>
      </c>
      <c r="W40" s="229"/>
      <c r="X40" s="228">
        <f>V40</f>
        <v>-6000000</v>
      </c>
      <c r="Y40" s="228">
        <f>V40</f>
        <v>-6000000</v>
      </c>
      <c r="Z40" s="228">
        <f>V40</f>
        <v>-6000000</v>
      </c>
      <c r="AA40" s="228">
        <f>V40</f>
        <v>-6000000</v>
      </c>
      <c r="AB40" s="228">
        <f>V40</f>
        <v>-6000000</v>
      </c>
    </row>
    <row r="41" spans="1:28" ht="16.5" thickBot="1" x14ac:dyDescent="0.3"/>
    <row r="42" spans="1:28" ht="16.5" thickBot="1" x14ac:dyDescent="0.3">
      <c r="V42" s="230">
        <f>V38+V40</f>
        <v>43564533.210632734</v>
      </c>
      <c r="X42" s="231">
        <f>X38+X40</f>
        <v>53535593.73697447</v>
      </c>
      <c r="Y42" s="231">
        <f t="shared" ref="Y42:AA42" si="12">Y38+Y40</f>
        <v>60182967.421202309</v>
      </c>
      <c r="Z42" s="231">
        <f t="shared" si="12"/>
        <v>39132950.754480854</v>
      </c>
      <c r="AA42" s="231">
        <f t="shared" si="12"/>
        <v>25838203.386025205</v>
      </c>
      <c r="AB42" s="232">
        <f>AB38+AB40</f>
        <v>39132950.754480854</v>
      </c>
    </row>
    <row r="43" spans="1:28" ht="16.5" thickBot="1" x14ac:dyDescent="0.3">
      <c r="A43" s="8" t="s">
        <v>170</v>
      </c>
      <c r="V43" s="233"/>
      <c r="X43" s="233"/>
      <c r="Y43" s="233"/>
      <c r="Z43" s="233"/>
      <c r="AA43" s="233"/>
      <c r="AB43" s="233"/>
    </row>
    <row r="44" spans="1:28" ht="15.75" customHeight="1" x14ac:dyDescent="0.25">
      <c r="A44" s="793" t="s">
        <v>170</v>
      </c>
      <c r="B44" s="234" t="s">
        <v>171</v>
      </c>
      <c r="C44" s="235" t="s">
        <v>172</v>
      </c>
      <c r="D44" s="236">
        <v>2584500</v>
      </c>
      <c r="E44" s="237"/>
      <c r="F44" s="238"/>
      <c r="G44" s="238"/>
      <c r="H44" s="239"/>
      <c r="I44" s="240">
        <v>60</v>
      </c>
      <c r="J44" s="238">
        <f>D44*I2</f>
        <v>2584500</v>
      </c>
      <c r="K44" s="241">
        <f>K10-K9</f>
        <v>12.509100000000004</v>
      </c>
      <c r="L44" s="239">
        <f>J44*K44</f>
        <v>32329768.95000001</v>
      </c>
      <c r="M44" s="240">
        <v>40</v>
      </c>
      <c r="N44" s="238">
        <f>D44*M2</f>
        <v>0</v>
      </c>
      <c r="O44" s="241">
        <f>O10-O9</f>
        <v>8.8108999999999895</v>
      </c>
      <c r="P44" s="239">
        <f>N44*O44</f>
        <v>0</v>
      </c>
      <c r="Q44" s="240">
        <v>25</v>
      </c>
      <c r="R44" s="238">
        <f>D44*Q2</f>
        <v>0</v>
      </c>
      <c r="S44" s="241">
        <f>S10-S9</f>
        <v>8.8108999999999895</v>
      </c>
      <c r="T44" s="239">
        <f>R44*S44</f>
        <v>0</v>
      </c>
      <c r="U44" s="242">
        <f>L44+P44+T44</f>
        <v>32329768.95000001</v>
      </c>
      <c r="V44" s="243"/>
      <c r="X44" s="244"/>
      <c r="Y44" s="245"/>
      <c r="Z44" s="246"/>
      <c r="AA44" s="245"/>
      <c r="AB44" s="247"/>
    </row>
    <row r="45" spans="1:28" ht="15.75" customHeight="1" x14ac:dyDescent="0.25">
      <c r="A45" s="794"/>
      <c r="B45" s="248" t="s">
        <v>127</v>
      </c>
      <c r="C45" s="249" t="s">
        <v>173</v>
      </c>
      <c r="D45" s="149">
        <v>651000</v>
      </c>
      <c r="E45" s="250"/>
      <c r="F45" s="251"/>
      <c r="G45" s="251">
        <f>G5-G4</f>
        <v>0.68523299999999665</v>
      </c>
      <c r="H45" s="252">
        <f>D45*G45</f>
        <v>446086.68299999781</v>
      </c>
      <c r="I45" s="253"/>
      <c r="J45" s="251"/>
      <c r="K45" s="254"/>
      <c r="L45" s="252"/>
      <c r="M45" s="253"/>
      <c r="N45" s="251"/>
      <c r="O45" s="254"/>
      <c r="P45" s="252"/>
      <c r="Q45" s="253"/>
      <c r="R45" s="251"/>
      <c r="S45" s="254"/>
      <c r="T45" s="252"/>
      <c r="U45" s="255">
        <f>H45</f>
        <v>446086.68299999781</v>
      </c>
      <c r="V45" s="256"/>
      <c r="X45" s="257"/>
      <c r="Y45" s="184"/>
      <c r="Z45" s="9"/>
      <c r="AA45" s="184"/>
      <c r="AB45" s="258"/>
    </row>
    <row r="46" spans="1:28" ht="15.75" customHeight="1" x14ac:dyDescent="0.25">
      <c r="A46" s="794"/>
      <c r="B46" s="259" t="s">
        <v>174</v>
      </c>
      <c r="C46" s="249" t="s">
        <v>175</v>
      </c>
      <c r="D46" s="260">
        <v>1828000</v>
      </c>
      <c r="E46" s="261"/>
      <c r="F46" s="251"/>
      <c r="G46" s="251"/>
      <c r="H46" s="262"/>
      <c r="I46" s="263">
        <v>60</v>
      </c>
      <c r="J46" s="251">
        <f>D46*I2</f>
        <v>1828000</v>
      </c>
      <c r="K46" s="254">
        <f>K11-K9</f>
        <v>4.6862999999999744</v>
      </c>
      <c r="L46" s="252">
        <f>J46*K46</f>
        <v>8566556.3999999538</v>
      </c>
      <c r="M46" s="253">
        <v>40</v>
      </c>
      <c r="N46" s="251">
        <f>D46*M2</f>
        <v>0</v>
      </c>
      <c r="O46" s="254">
        <f>O11-O9</f>
        <v>2.1666642425060161</v>
      </c>
      <c r="P46" s="252">
        <f>N46*O46</f>
        <v>0</v>
      </c>
      <c r="Q46" s="253">
        <v>25</v>
      </c>
      <c r="R46" s="251">
        <f>D46*Q2</f>
        <v>0</v>
      </c>
      <c r="S46" s="254">
        <f>S11-S9</f>
        <v>2.1666642425060161</v>
      </c>
      <c r="T46" s="252">
        <f>R46*S46</f>
        <v>0</v>
      </c>
      <c r="U46" s="255">
        <f>T46+P46+L46</f>
        <v>8566556.3999999538</v>
      </c>
      <c r="V46" s="256"/>
      <c r="X46" s="257"/>
      <c r="Y46" s="184"/>
      <c r="Z46" s="9"/>
      <c r="AA46" s="184"/>
      <c r="AB46" s="258"/>
    </row>
    <row r="47" spans="1:28" s="275" customFormat="1" ht="15.75" customHeight="1" thickBot="1" x14ac:dyDescent="0.3">
      <c r="A47" s="795"/>
      <c r="B47" s="264"/>
      <c r="C47" s="265"/>
      <c r="D47" s="266"/>
      <c r="E47" s="267"/>
      <c r="F47" s="268"/>
      <c r="G47" s="268"/>
      <c r="H47" s="269">
        <f>SUM(H44:H46)/45</f>
        <v>9913.037399999952</v>
      </c>
      <c r="I47" s="270"/>
      <c r="J47" s="268"/>
      <c r="K47" s="271"/>
      <c r="L47" s="269">
        <f>SUM(L44:L46)/I8</f>
        <v>681605.4224999994</v>
      </c>
      <c r="M47" s="270"/>
      <c r="N47" s="268"/>
      <c r="O47" s="271"/>
      <c r="P47" s="269">
        <f>SUM(P44:P46)/M8</f>
        <v>0</v>
      </c>
      <c r="Q47" s="272"/>
      <c r="R47" s="268"/>
      <c r="S47" s="271"/>
      <c r="T47" s="269">
        <f>SUM(T44:T46)/Q8</f>
        <v>0</v>
      </c>
      <c r="U47" s="273"/>
      <c r="V47" s="274">
        <f>SUM(H47:T47)</f>
        <v>691518.45989999932</v>
      </c>
      <c r="X47" s="276">
        <v>836254.88173953397</v>
      </c>
      <c r="Y47" s="277">
        <v>932745.82963255723</v>
      </c>
      <c r="Z47" s="278">
        <v>627191.1613046506</v>
      </c>
      <c r="AA47" s="277">
        <v>434209.26551860425</v>
      </c>
      <c r="AB47" s="279">
        <v>627191.1613046506</v>
      </c>
    </row>
    <row r="48" spans="1:28" hidden="1" x14ac:dyDescent="0.25">
      <c r="V48" s="233"/>
      <c r="X48" s="233"/>
      <c r="Y48" s="233"/>
      <c r="Z48" s="233"/>
      <c r="AA48" s="233"/>
      <c r="AB48" s="233"/>
    </row>
    <row r="49" spans="1:28" hidden="1" x14ac:dyDescent="0.25">
      <c r="V49" s="233"/>
      <c r="X49" s="233"/>
      <c r="Y49" s="233"/>
      <c r="Z49" s="233"/>
      <c r="AA49" s="233"/>
      <c r="AB49" s="233"/>
    </row>
    <row r="50" spans="1:28" hidden="1" x14ac:dyDescent="0.25">
      <c r="V50" s="233"/>
      <c r="X50" s="233"/>
      <c r="Y50" s="233"/>
      <c r="Z50" s="233"/>
      <c r="AA50" s="233"/>
      <c r="AB50" s="233"/>
    </row>
    <row r="51" spans="1:28" hidden="1" x14ac:dyDescent="0.25">
      <c r="V51" s="233"/>
      <c r="X51" s="233"/>
      <c r="Y51" s="233"/>
      <c r="Z51" s="233"/>
      <c r="AA51" s="233"/>
      <c r="AB51" s="233"/>
    </row>
    <row r="52" spans="1:28" hidden="1" x14ac:dyDescent="0.25"/>
    <row r="53" spans="1:28" ht="16.5" hidden="1" thickBot="1" x14ac:dyDescent="0.3"/>
    <row r="54" spans="1:28" ht="21.75" hidden="1" thickBot="1" x14ac:dyDescent="0.4">
      <c r="A54" s="796" t="s">
        <v>177</v>
      </c>
      <c r="B54" s="797"/>
      <c r="C54" s="797"/>
      <c r="D54" s="797"/>
      <c r="E54" s="797"/>
      <c r="F54" s="797"/>
      <c r="G54" s="797"/>
      <c r="H54" s="797"/>
      <c r="I54" s="797"/>
      <c r="J54" s="797"/>
      <c r="K54" s="797"/>
      <c r="L54" s="797"/>
      <c r="M54" s="797"/>
      <c r="N54" s="797"/>
      <c r="O54" s="797"/>
      <c r="P54" s="797"/>
      <c r="Q54" s="797"/>
      <c r="R54" s="797"/>
      <c r="S54" s="797"/>
      <c r="T54" s="797"/>
      <c r="U54" s="798"/>
      <c r="V54" s="280"/>
    </row>
    <row r="55" spans="1:28" ht="16.5" hidden="1" thickBot="1" x14ac:dyDescent="0.3">
      <c r="A55" s="281"/>
      <c r="B55" s="281"/>
      <c r="C55" s="281"/>
      <c r="D55" s="281"/>
      <c r="E55" s="281"/>
      <c r="F55" s="282"/>
      <c r="G55" s="283"/>
      <c r="H55" s="283"/>
      <c r="I55" s="283"/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3"/>
      <c r="U55" s="284"/>
      <c r="V55" s="4"/>
    </row>
    <row r="56" spans="1:28" ht="16.5" hidden="1" thickBot="1" x14ac:dyDescent="0.3">
      <c r="A56" s="781" t="s">
        <v>93</v>
      </c>
      <c r="B56" s="782"/>
      <c r="C56" s="783"/>
      <c r="D56" s="13" t="s">
        <v>94</v>
      </c>
      <c r="E56" s="833" t="s">
        <v>253</v>
      </c>
      <c r="F56" s="834"/>
      <c r="G56" s="834"/>
      <c r="H56" s="835"/>
      <c r="I56" s="14">
        <v>1</v>
      </c>
      <c r="J56" s="285" t="s">
        <v>254</v>
      </c>
      <c r="K56" s="285"/>
      <c r="L56" s="286"/>
      <c r="M56" s="14"/>
      <c r="N56" s="285" t="s">
        <v>255</v>
      </c>
      <c r="O56" s="285"/>
      <c r="P56" s="286"/>
      <c r="Q56" s="15"/>
      <c r="R56" s="285" t="s">
        <v>256</v>
      </c>
      <c r="S56" s="287"/>
      <c r="T56" s="288"/>
      <c r="U56" s="289"/>
      <c r="V56"/>
    </row>
    <row r="57" spans="1:28" ht="48" hidden="1" thickBot="1" x14ac:dyDescent="0.3">
      <c r="A57" s="18" t="s">
        <v>107</v>
      </c>
      <c r="B57" s="19" t="s">
        <v>108</v>
      </c>
      <c r="C57" s="20" t="s">
        <v>109</v>
      </c>
      <c r="D57" s="21" t="s">
        <v>111</v>
      </c>
      <c r="E57" s="22" t="s">
        <v>112</v>
      </c>
      <c r="F57" s="23" t="s">
        <v>113</v>
      </c>
      <c r="G57" s="23" t="s">
        <v>114</v>
      </c>
      <c r="H57" s="24" t="s">
        <v>115</v>
      </c>
      <c r="I57" s="22" t="s">
        <v>112</v>
      </c>
      <c r="J57" s="23" t="s">
        <v>113</v>
      </c>
      <c r="K57" s="23" t="s">
        <v>114</v>
      </c>
      <c r="L57" s="25" t="s">
        <v>115</v>
      </c>
      <c r="M57" s="22" t="s">
        <v>112</v>
      </c>
      <c r="N57" s="23" t="s">
        <v>113</v>
      </c>
      <c r="O57" s="23" t="s">
        <v>114</v>
      </c>
      <c r="P57" s="25" t="s">
        <v>115</v>
      </c>
      <c r="Q57" s="22" t="s">
        <v>112</v>
      </c>
      <c r="R57" s="23" t="s">
        <v>113</v>
      </c>
      <c r="S57" s="23" t="s">
        <v>114</v>
      </c>
      <c r="T57" s="25" t="s">
        <v>115</v>
      </c>
      <c r="U57" s="290" t="s">
        <v>257</v>
      </c>
      <c r="V57" s="291"/>
    </row>
    <row r="58" spans="1:28" hidden="1" x14ac:dyDescent="0.25">
      <c r="A58" s="784" t="s">
        <v>123</v>
      </c>
      <c r="B58" s="31" t="s">
        <v>124</v>
      </c>
      <c r="C58" s="32" t="s">
        <v>125</v>
      </c>
      <c r="D58" s="33">
        <v>2622000</v>
      </c>
      <c r="E58" s="34">
        <v>45</v>
      </c>
      <c r="F58" s="35">
        <f>D58</f>
        <v>2622000</v>
      </c>
      <c r="G58" s="36">
        <v>56.2307838981</v>
      </c>
      <c r="H58" s="37">
        <f>F58*G58</f>
        <v>147437115.38081819</v>
      </c>
      <c r="I58" s="34">
        <v>45</v>
      </c>
      <c r="J58" s="38"/>
      <c r="K58" s="36"/>
      <c r="L58" s="39"/>
      <c r="M58" s="34"/>
      <c r="N58" s="40"/>
      <c r="O58" s="36"/>
      <c r="P58" s="41"/>
      <c r="Q58" s="42"/>
      <c r="R58" s="40"/>
      <c r="S58" s="36"/>
      <c r="T58" s="41"/>
      <c r="U58" s="292"/>
      <c r="V58" s="6"/>
    </row>
    <row r="59" spans="1:28" hidden="1" x14ac:dyDescent="0.25">
      <c r="A59" s="785"/>
      <c r="B59" s="47" t="s">
        <v>126</v>
      </c>
      <c r="C59" s="48" t="s">
        <v>127</v>
      </c>
      <c r="D59" s="49">
        <v>349000</v>
      </c>
      <c r="E59" s="50">
        <v>45</v>
      </c>
      <c r="F59" s="51">
        <f t="shared" ref="F59:F61" si="13">D59</f>
        <v>349000</v>
      </c>
      <c r="G59" s="52">
        <v>94.903030505099991</v>
      </c>
      <c r="H59" s="53">
        <f t="shared" ref="H59:H61" si="14">F59*G59</f>
        <v>33121157.646279898</v>
      </c>
      <c r="I59" s="50">
        <v>45</v>
      </c>
      <c r="J59" s="54"/>
      <c r="K59" s="52"/>
      <c r="L59" s="55"/>
      <c r="M59" s="50"/>
      <c r="N59" s="56"/>
      <c r="O59" s="52"/>
      <c r="P59" s="57"/>
      <c r="Q59" s="58"/>
      <c r="R59" s="56"/>
      <c r="S59" s="52"/>
      <c r="T59" s="57"/>
      <c r="U59" s="292"/>
      <c r="V59" s="6"/>
    </row>
    <row r="60" spans="1:28" hidden="1" x14ac:dyDescent="0.25">
      <c r="A60" s="785"/>
      <c r="B60" s="47" t="s">
        <v>126</v>
      </c>
      <c r="C60" s="48" t="s">
        <v>128</v>
      </c>
      <c r="D60" s="49">
        <v>690000</v>
      </c>
      <c r="E60" s="50">
        <v>45</v>
      </c>
      <c r="F60" s="51">
        <f t="shared" si="13"/>
        <v>690000</v>
      </c>
      <c r="G60" s="52">
        <v>58.056000000000004</v>
      </c>
      <c r="H60" s="53">
        <f t="shared" si="14"/>
        <v>40058640</v>
      </c>
      <c r="I60" s="50">
        <v>45</v>
      </c>
      <c r="J60" s="54"/>
      <c r="K60" s="52"/>
      <c r="L60" s="55"/>
      <c r="M60" s="50"/>
      <c r="N60" s="56"/>
      <c r="O60" s="52"/>
      <c r="P60" s="57"/>
      <c r="Q60" s="58"/>
      <c r="R60" s="56"/>
      <c r="S60" s="52"/>
      <c r="T60" s="57"/>
      <c r="U60" s="292"/>
      <c r="V60" s="6"/>
    </row>
    <row r="61" spans="1:28" ht="16.5" hidden="1" thickBot="1" x14ac:dyDescent="0.3">
      <c r="A61" s="786"/>
      <c r="B61" s="61" t="s">
        <v>129</v>
      </c>
      <c r="C61" s="62" t="s">
        <v>130</v>
      </c>
      <c r="D61" s="63">
        <v>185000</v>
      </c>
      <c r="E61" s="64">
        <v>45</v>
      </c>
      <c r="F61" s="65">
        <f t="shared" si="13"/>
        <v>185000</v>
      </c>
      <c r="G61" s="66">
        <v>64.525800000000004</v>
      </c>
      <c r="H61" s="67">
        <f t="shared" si="14"/>
        <v>11937273</v>
      </c>
      <c r="I61" s="64">
        <v>45</v>
      </c>
      <c r="J61" s="68"/>
      <c r="K61" s="66"/>
      <c r="L61" s="69"/>
      <c r="M61" s="64"/>
      <c r="N61" s="70"/>
      <c r="O61" s="66"/>
      <c r="P61" s="71"/>
      <c r="Q61" s="72"/>
      <c r="R61" s="70"/>
      <c r="S61" s="66"/>
      <c r="T61" s="71"/>
      <c r="U61" s="292"/>
      <c r="V61" s="6"/>
    </row>
    <row r="62" spans="1:28" hidden="1" x14ac:dyDescent="0.25">
      <c r="A62" s="787" t="s">
        <v>132</v>
      </c>
      <c r="B62" s="74" t="s">
        <v>133</v>
      </c>
      <c r="C62" s="75" t="s">
        <v>125</v>
      </c>
      <c r="D62" s="76">
        <v>1146000</v>
      </c>
      <c r="E62" s="77"/>
      <c r="F62" s="78"/>
      <c r="G62" s="78"/>
      <c r="H62" s="79"/>
      <c r="I62" s="80">
        <v>60</v>
      </c>
      <c r="J62" s="81">
        <f>D62*$I$2</f>
        <v>1146000</v>
      </c>
      <c r="K62" s="82">
        <v>77.059499999999986</v>
      </c>
      <c r="L62" s="79">
        <f>J62*K62</f>
        <v>88310186.999999985</v>
      </c>
      <c r="M62" s="80">
        <v>40</v>
      </c>
      <c r="N62" s="81">
        <f>D62*$M$2</f>
        <v>0</v>
      </c>
      <c r="O62" s="82">
        <v>56.97359999999999</v>
      </c>
      <c r="P62" s="79">
        <f>N62*O62</f>
        <v>0</v>
      </c>
      <c r="Q62" s="83">
        <v>25</v>
      </c>
      <c r="R62" s="81">
        <f>D62*$Q$2</f>
        <v>0</v>
      </c>
      <c r="S62" s="82">
        <v>20.085899999999999</v>
      </c>
      <c r="T62" s="79">
        <f>R62*S62</f>
        <v>0</v>
      </c>
      <c r="U62" s="293"/>
      <c r="V62" s="294"/>
    </row>
    <row r="63" spans="1:28" hidden="1" x14ac:dyDescent="0.25">
      <c r="A63" s="788"/>
      <c r="B63" s="88"/>
      <c r="C63" s="89" t="s">
        <v>134</v>
      </c>
      <c r="D63" s="90">
        <v>4141000</v>
      </c>
      <c r="E63" s="91"/>
      <c r="F63" s="92"/>
      <c r="G63" s="92"/>
      <c r="H63" s="93"/>
      <c r="I63" s="94">
        <v>60</v>
      </c>
      <c r="J63" s="95">
        <f>D63*$I$2</f>
        <v>4141000</v>
      </c>
      <c r="K63" s="96">
        <v>44.489100000000001</v>
      </c>
      <c r="L63" s="93">
        <f t="shared" ref="L63:L79" si="15">J63*K63</f>
        <v>184229363.09999999</v>
      </c>
      <c r="M63" s="94">
        <v>40</v>
      </c>
      <c r="N63" s="95">
        <f t="shared" ref="N63:N79" si="16">D63*$M$2</f>
        <v>0</v>
      </c>
      <c r="O63" s="96">
        <v>55.903500000000008</v>
      </c>
      <c r="P63" s="93">
        <f t="shared" ref="P63:P79" si="17">N63*O63</f>
        <v>0</v>
      </c>
      <c r="Q63" s="97">
        <v>25</v>
      </c>
      <c r="R63" s="95">
        <f t="shared" ref="R63:R79" si="18">D63*$Q$2</f>
        <v>0</v>
      </c>
      <c r="S63" s="96">
        <v>17.795640000000002</v>
      </c>
      <c r="T63" s="93">
        <f t="shared" ref="T63:T79" si="19">R63*S63</f>
        <v>0</v>
      </c>
      <c r="U63" s="293"/>
      <c r="V63" s="294"/>
    </row>
    <row r="64" spans="1:28" hidden="1" x14ac:dyDescent="0.25">
      <c r="A64" s="788"/>
      <c r="B64" s="88"/>
      <c r="C64" s="89" t="s">
        <v>135</v>
      </c>
      <c r="D64" s="90">
        <v>737000</v>
      </c>
      <c r="E64" s="91"/>
      <c r="F64" s="92"/>
      <c r="G64" s="92"/>
      <c r="H64" s="93"/>
      <c r="I64" s="94">
        <v>60</v>
      </c>
      <c r="J64" s="95">
        <f t="shared" ref="J64:J79" si="20">D64*$I$2</f>
        <v>737000</v>
      </c>
      <c r="K64" s="96">
        <v>101.721</v>
      </c>
      <c r="L64" s="93">
        <f t="shared" si="15"/>
        <v>74968377</v>
      </c>
      <c r="M64" s="94">
        <v>40</v>
      </c>
      <c r="N64" s="95">
        <f t="shared" si="16"/>
        <v>0</v>
      </c>
      <c r="O64" s="96">
        <v>64.320800000000006</v>
      </c>
      <c r="P64" s="93">
        <f t="shared" si="17"/>
        <v>0</v>
      </c>
      <c r="Q64" s="97">
        <v>25</v>
      </c>
      <c r="R64" s="95">
        <f t="shared" si="18"/>
        <v>0</v>
      </c>
      <c r="S64" s="96">
        <v>25.430250000000001</v>
      </c>
      <c r="T64" s="93">
        <f t="shared" si="19"/>
        <v>0</v>
      </c>
      <c r="U64" s="293"/>
      <c r="V64" s="294"/>
    </row>
    <row r="65" spans="1:22" hidden="1" x14ac:dyDescent="0.25">
      <c r="A65" s="788"/>
      <c r="B65" s="88"/>
      <c r="C65" s="89" t="s">
        <v>136</v>
      </c>
      <c r="D65" s="90">
        <v>172000</v>
      </c>
      <c r="E65" s="91"/>
      <c r="F65" s="92"/>
      <c r="G65" s="92"/>
      <c r="H65" s="93"/>
      <c r="I65" s="94">
        <v>60</v>
      </c>
      <c r="J65" s="95">
        <f t="shared" si="20"/>
        <v>172000</v>
      </c>
      <c r="K65" s="96">
        <v>124.3914</v>
      </c>
      <c r="L65" s="93">
        <f t="shared" si="15"/>
        <v>21395320.800000001</v>
      </c>
      <c r="M65" s="94">
        <v>40</v>
      </c>
      <c r="N65" s="95">
        <f t="shared" si="16"/>
        <v>0</v>
      </c>
      <c r="O65" s="96">
        <v>72.065582121253016</v>
      </c>
      <c r="P65" s="93">
        <f t="shared" si="17"/>
        <v>0</v>
      </c>
      <c r="Q65" s="97">
        <v>25</v>
      </c>
      <c r="R65" s="95">
        <f t="shared" si="18"/>
        <v>0</v>
      </c>
      <c r="S65" s="96">
        <v>34.347850000000001</v>
      </c>
      <c r="T65" s="93">
        <f t="shared" si="19"/>
        <v>0</v>
      </c>
      <c r="U65" s="293"/>
      <c r="V65" s="294"/>
    </row>
    <row r="66" spans="1:22" hidden="1" x14ac:dyDescent="0.25">
      <c r="A66" s="788"/>
      <c r="B66" s="98" t="s">
        <v>137</v>
      </c>
      <c r="C66" s="89" t="s">
        <v>134</v>
      </c>
      <c r="D66" s="90">
        <v>2045000</v>
      </c>
      <c r="E66" s="91"/>
      <c r="F66" s="92"/>
      <c r="G66" s="92"/>
      <c r="H66" s="93"/>
      <c r="I66" s="94">
        <v>60</v>
      </c>
      <c r="J66" s="95">
        <f t="shared" si="20"/>
        <v>2045000</v>
      </c>
      <c r="K66" s="96">
        <v>39.144499341191796</v>
      </c>
      <c r="L66" s="93">
        <f t="shared" si="15"/>
        <v>80050501.15273723</v>
      </c>
      <c r="M66" s="94">
        <v>40</v>
      </c>
      <c r="N66" s="95">
        <f t="shared" si="16"/>
        <v>0</v>
      </c>
      <c r="O66" s="96">
        <v>45.811166007858468</v>
      </c>
      <c r="P66" s="93">
        <f t="shared" si="17"/>
        <v>0</v>
      </c>
      <c r="Q66" s="97">
        <v>25</v>
      </c>
      <c r="R66" s="95">
        <f t="shared" si="18"/>
        <v>0</v>
      </c>
      <c r="S66" s="96">
        <v>22.402673181879521</v>
      </c>
      <c r="T66" s="93">
        <f t="shared" si="19"/>
        <v>0</v>
      </c>
      <c r="U66" s="293"/>
      <c r="V66" s="294"/>
    </row>
    <row r="67" spans="1:22" hidden="1" x14ac:dyDescent="0.25">
      <c r="A67" s="788"/>
      <c r="B67" s="98"/>
      <c r="C67" s="89" t="s">
        <v>135</v>
      </c>
      <c r="D67" s="90">
        <v>280000</v>
      </c>
      <c r="E67" s="91"/>
      <c r="F67" s="92"/>
      <c r="G67" s="92"/>
      <c r="H67" s="93"/>
      <c r="I67" s="94">
        <v>60</v>
      </c>
      <c r="J67" s="95">
        <f t="shared" si="20"/>
        <v>280000</v>
      </c>
      <c r="K67" s="96">
        <v>89.610692727518085</v>
      </c>
      <c r="L67" s="93">
        <f t="shared" si="15"/>
        <v>25090993.963705063</v>
      </c>
      <c r="M67" s="94">
        <v>40</v>
      </c>
      <c r="N67" s="95">
        <f t="shared" si="16"/>
        <v>0</v>
      </c>
      <c r="O67" s="96">
        <v>51.472013030425707</v>
      </c>
      <c r="P67" s="93">
        <f t="shared" si="17"/>
        <v>0</v>
      </c>
      <c r="Q67" s="97">
        <v>25</v>
      </c>
      <c r="R67" s="95">
        <f t="shared" si="18"/>
        <v>0</v>
      </c>
      <c r="S67" s="96">
        <v>22.402673181879521</v>
      </c>
      <c r="T67" s="93">
        <f t="shared" si="19"/>
        <v>0</v>
      </c>
      <c r="U67" s="293"/>
      <c r="V67" s="294"/>
    </row>
    <row r="68" spans="1:22" hidden="1" x14ac:dyDescent="0.25">
      <c r="A68" s="788"/>
      <c r="B68" s="98"/>
      <c r="C68" s="89" t="s">
        <v>125</v>
      </c>
      <c r="D68" s="90">
        <v>123000</v>
      </c>
      <c r="E68" s="91"/>
      <c r="F68" s="92"/>
      <c r="G68" s="92"/>
      <c r="H68" s="93"/>
      <c r="I68" s="94">
        <v>60</v>
      </c>
      <c r="J68" s="95">
        <f t="shared" si="20"/>
        <v>123000</v>
      </c>
      <c r="K68" s="96">
        <f>K62</f>
        <v>77.059499999999986</v>
      </c>
      <c r="L68" s="93">
        <f t="shared" si="15"/>
        <v>9478318.4999999981</v>
      </c>
      <c r="M68" s="94">
        <v>40</v>
      </c>
      <c r="N68" s="95">
        <f t="shared" si="16"/>
        <v>0</v>
      </c>
      <c r="O68" s="96">
        <f>O62</f>
        <v>56.97359999999999</v>
      </c>
      <c r="P68" s="93">
        <f t="shared" si="17"/>
        <v>0</v>
      </c>
      <c r="Q68" s="97">
        <v>25</v>
      </c>
      <c r="R68" s="95">
        <f t="shared" si="18"/>
        <v>0</v>
      </c>
      <c r="S68" s="96">
        <f>S62</f>
        <v>20.085899999999999</v>
      </c>
      <c r="T68" s="93">
        <f t="shared" si="19"/>
        <v>0</v>
      </c>
      <c r="U68" s="293"/>
      <c r="V68" s="294"/>
    </row>
    <row r="69" spans="1:22" hidden="1" x14ac:dyDescent="0.25">
      <c r="A69" s="788"/>
      <c r="B69" s="98"/>
      <c r="C69" s="89" t="s">
        <v>138</v>
      </c>
      <c r="D69" s="90">
        <v>194000</v>
      </c>
      <c r="E69" s="91"/>
      <c r="F69" s="92"/>
      <c r="G69" s="92"/>
      <c r="H69" s="93"/>
      <c r="I69" s="94">
        <v>60</v>
      </c>
      <c r="J69" s="95">
        <f t="shared" si="20"/>
        <v>194000</v>
      </c>
      <c r="K69" s="96">
        <f>K63</f>
        <v>44.489100000000001</v>
      </c>
      <c r="L69" s="93">
        <f t="shared" si="15"/>
        <v>8630885.4000000004</v>
      </c>
      <c r="M69" s="94">
        <v>40</v>
      </c>
      <c r="N69" s="95">
        <f t="shared" si="16"/>
        <v>0</v>
      </c>
      <c r="O69" s="96">
        <f>O63</f>
        <v>55.903500000000008</v>
      </c>
      <c r="P69" s="93">
        <f t="shared" si="17"/>
        <v>0</v>
      </c>
      <c r="Q69" s="97">
        <v>25</v>
      </c>
      <c r="R69" s="95">
        <f t="shared" si="18"/>
        <v>0</v>
      </c>
      <c r="S69" s="96">
        <f>S63</f>
        <v>17.795640000000002</v>
      </c>
      <c r="T69" s="93">
        <f t="shared" si="19"/>
        <v>0</v>
      </c>
      <c r="U69" s="293"/>
      <c r="V69" s="294"/>
    </row>
    <row r="70" spans="1:22" hidden="1" x14ac:dyDescent="0.25">
      <c r="A70" s="788"/>
      <c r="B70" s="88" t="s">
        <v>139</v>
      </c>
      <c r="C70" s="89" t="s">
        <v>140</v>
      </c>
      <c r="D70" s="90">
        <v>1516000</v>
      </c>
      <c r="E70" s="91"/>
      <c r="F70" s="92"/>
      <c r="G70" s="92"/>
      <c r="H70" s="93"/>
      <c r="I70" s="94">
        <v>60</v>
      </c>
      <c r="J70" s="95">
        <f t="shared" si="20"/>
        <v>1516000</v>
      </c>
      <c r="K70" s="96">
        <v>99.917710543200499</v>
      </c>
      <c r="L70" s="93">
        <f t="shared" si="15"/>
        <v>151475249.18349195</v>
      </c>
      <c r="M70" s="94">
        <v>40</v>
      </c>
      <c r="N70" s="95">
        <f t="shared" si="16"/>
        <v>0</v>
      </c>
      <c r="O70" s="96">
        <v>72.278473695467</v>
      </c>
      <c r="P70" s="93">
        <f t="shared" si="17"/>
        <v>0</v>
      </c>
      <c r="Q70" s="97">
        <v>25</v>
      </c>
      <c r="R70" s="95">
        <f t="shared" si="18"/>
        <v>0</v>
      </c>
      <c r="S70" s="96">
        <v>27.639236847733496</v>
      </c>
      <c r="T70" s="93">
        <f t="shared" si="19"/>
        <v>0</v>
      </c>
      <c r="U70" s="293"/>
      <c r="V70" s="294"/>
    </row>
    <row r="71" spans="1:22" hidden="1" x14ac:dyDescent="0.25">
      <c r="A71" s="788"/>
      <c r="B71" s="88"/>
      <c r="C71" s="89" t="s">
        <v>141</v>
      </c>
      <c r="D71" s="90">
        <v>185000</v>
      </c>
      <c r="E71" s="91"/>
      <c r="F71" s="92"/>
      <c r="G71" s="92"/>
      <c r="H71" s="93"/>
      <c r="I71" s="94">
        <v>60</v>
      </c>
      <c r="J71" s="95">
        <f t="shared" si="20"/>
        <v>185000</v>
      </c>
      <c r="K71" s="96">
        <v>130.13975060208747</v>
      </c>
      <c r="L71" s="93">
        <f t="shared" si="15"/>
        <v>24075853.861386184</v>
      </c>
      <c r="M71" s="94">
        <v>40</v>
      </c>
      <c r="N71" s="95">
        <f t="shared" si="16"/>
        <v>0</v>
      </c>
      <c r="O71" s="96">
        <v>78.026711452379161</v>
      </c>
      <c r="P71" s="93">
        <f t="shared" si="17"/>
        <v>0</v>
      </c>
      <c r="Q71" s="97">
        <v>25</v>
      </c>
      <c r="R71" s="95">
        <f t="shared" si="18"/>
        <v>0</v>
      </c>
      <c r="S71" s="96">
        <v>35.680022392856245</v>
      </c>
      <c r="T71" s="93">
        <f t="shared" si="19"/>
        <v>0</v>
      </c>
      <c r="U71" s="293"/>
      <c r="V71" s="294"/>
    </row>
    <row r="72" spans="1:22" hidden="1" x14ac:dyDescent="0.25">
      <c r="A72" s="788"/>
      <c r="B72" s="88" t="s">
        <v>142</v>
      </c>
      <c r="C72" s="89" t="s">
        <v>143</v>
      </c>
      <c r="D72" s="90">
        <v>9091000</v>
      </c>
      <c r="E72" s="91"/>
      <c r="F72" s="92"/>
      <c r="G72" s="92"/>
      <c r="H72" s="93"/>
      <c r="I72" s="94">
        <v>60</v>
      </c>
      <c r="J72" s="95">
        <f t="shared" si="20"/>
        <v>9091000</v>
      </c>
      <c r="K72" s="96">
        <v>48.083589359298003</v>
      </c>
      <c r="L72" s="93">
        <f t="shared" si="15"/>
        <v>437127910.86537814</v>
      </c>
      <c r="M72" s="94">
        <v>40</v>
      </c>
      <c r="N72" s="95">
        <f t="shared" si="16"/>
        <v>0</v>
      </c>
      <c r="O72" s="96">
        <v>46.736324466081669</v>
      </c>
      <c r="P72" s="93">
        <f t="shared" si="17"/>
        <v>0</v>
      </c>
      <c r="Q72" s="97">
        <v>25</v>
      </c>
      <c r="R72" s="95">
        <f t="shared" si="18"/>
        <v>0</v>
      </c>
      <c r="S72" s="96">
        <v>16.027863119766</v>
      </c>
      <c r="T72" s="93">
        <f t="shared" si="19"/>
        <v>0</v>
      </c>
      <c r="U72" s="293"/>
      <c r="V72" s="294"/>
    </row>
    <row r="73" spans="1:22" hidden="1" x14ac:dyDescent="0.25">
      <c r="A73" s="788"/>
      <c r="B73" s="88"/>
      <c r="C73" s="89" t="s">
        <v>144</v>
      </c>
      <c r="D73" s="90">
        <v>55000</v>
      </c>
      <c r="E73" s="91"/>
      <c r="F73" s="92"/>
      <c r="G73" s="92"/>
      <c r="H73" s="93"/>
      <c r="I73" s="94">
        <v>60</v>
      </c>
      <c r="J73" s="95">
        <f t="shared" si="20"/>
        <v>55000</v>
      </c>
      <c r="K73" s="96">
        <v>455.49518366835741</v>
      </c>
      <c r="L73" s="93">
        <f t="shared" si="15"/>
        <v>25052235.101759657</v>
      </c>
      <c r="M73" s="94">
        <v>40</v>
      </c>
      <c r="N73" s="95">
        <f t="shared" si="16"/>
        <v>0</v>
      </c>
      <c r="O73" s="96">
        <v>277.19218844276998</v>
      </c>
      <c r="P73" s="93">
        <f t="shared" si="17"/>
        <v>0</v>
      </c>
      <c r="Q73" s="97">
        <v>25</v>
      </c>
      <c r="R73" s="95">
        <f t="shared" si="18"/>
        <v>0</v>
      </c>
      <c r="S73" s="96">
        <v>138.59609422138499</v>
      </c>
      <c r="T73" s="93">
        <f t="shared" si="19"/>
        <v>0</v>
      </c>
      <c r="U73" s="293"/>
      <c r="V73" s="294"/>
    </row>
    <row r="74" spans="1:22" hidden="1" x14ac:dyDescent="0.25">
      <c r="A74" s="788"/>
      <c r="B74" s="88"/>
      <c r="C74" s="89" t="s">
        <v>145</v>
      </c>
      <c r="D74" s="90">
        <v>81000</v>
      </c>
      <c r="E74" s="91"/>
      <c r="F74" s="92"/>
      <c r="G74" s="92"/>
      <c r="H74" s="93"/>
      <c r="I74" s="94">
        <v>60</v>
      </c>
      <c r="J74" s="95">
        <f t="shared" si="20"/>
        <v>81000</v>
      </c>
      <c r="K74" s="96">
        <v>352.64813429027993</v>
      </c>
      <c r="L74" s="93">
        <f t="shared" si="15"/>
        <v>28564498.877512675</v>
      </c>
      <c r="M74" s="94">
        <v>40</v>
      </c>
      <c r="N74" s="95">
        <f t="shared" si="16"/>
        <v>0</v>
      </c>
      <c r="O74" s="96">
        <v>208.62748885738498</v>
      </c>
      <c r="P74" s="93">
        <f t="shared" si="17"/>
        <v>0</v>
      </c>
      <c r="Q74" s="97">
        <v>25</v>
      </c>
      <c r="R74" s="95">
        <f t="shared" si="18"/>
        <v>0</v>
      </c>
      <c r="S74" s="96">
        <v>104.31374442869249</v>
      </c>
      <c r="T74" s="93">
        <f t="shared" si="19"/>
        <v>0</v>
      </c>
      <c r="U74" s="293"/>
      <c r="V74" s="294"/>
    </row>
    <row r="75" spans="1:22" ht="16.5" hidden="1" thickBot="1" x14ac:dyDescent="0.3">
      <c r="A75" s="789"/>
      <c r="B75" s="100"/>
      <c r="C75" s="101" t="s">
        <v>146</v>
      </c>
      <c r="D75" s="102">
        <v>156000</v>
      </c>
      <c r="E75" s="103"/>
      <c r="F75" s="104"/>
      <c r="G75" s="104"/>
      <c r="H75" s="105"/>
      <c r="I75" s="106">
        <v>60</v>
      </c>
      <c r="J75" s="107">
        <f t="shared" si="20"/>
        <v>156000</v>
      </c>
      <c r="K75" s="108">
        <v>81.887015056469991</v>
      </c>
      <c r="L75" s="105">
        <f t="shared" si="15"/>
        <v>12774374.348809319</v>
      </c>
      <c r="M75" s="106">
        <v>40</v>
      </c>
      <c r="N75" s="107">
        <f t="shared" si="16"/>
        <v>0</v>
      </c>
      <c r="O75" s="108">
        <v>59.85557408116707</v>
      </c>
      <c r="P75" s="105">
        <f t="shared" si="17"/>
        <v>0</v>
      </c>
      <c r="Q75" s="109">
        <v>25</v>
      </c>
      <c r="R75" s="107">
        <f t="shared" si="18"/>
        <v>0</v>
      </c>
      <c r="S75" s="108">
        <v>20.471753764117498</v>
      </c>
      <c r="T75" s="105">
        <f t="shared" si="19"/>
        <v>0</v>
      </c>
      <c r="U75" s="293"/>
      <c r="V75" s="294"/>
    </row>
    <row r="76" spans="1:22" hidden="1" x14ac:dyDescent="0.25">
      <c r="A76" s="110" t="s">
        <v>147</v>
      </c>
      <c r="B76" s="111" t="s">
        <v>148</v>
      </c>
      <c r="C76" s="112" t="s">
        <v>149</v>
      </c>
      <c r="D76" s="113">
        <v>265000</v>
      </c>
      <c r="E76" s="114"/>
      <c r="F76" s="115"/>
      <c r="G76" s="115"/>
      <c r="H76" s="116"/>
      <c r="I76" s="117">
        <v>60</v>
      </c>
      <c r="J76" s="118">
        <f t="shared" si="20"/>
        <v>265000</v>
      </c>
      <c r="K76" s="119">
        <v>59.710150070572496</v>
      </c>
      <c r="L76" s="120">
        <f t="shared" si="15"/>
        <v>15823189.768701712</v>
      </c>
      <c r="M76" s="117">
        <v>40</v>
      </c>
      <c r="N76" s="118">
        <f t="shared" si="16"/>
        <v>0</v>
      </c>
      <c r="O76" s="119">
        <v>23.884060028229001</v>
      </c>
      <c r="P76" s="120">
        <f t="shared" si="17"/>
        <v>0</v>
      </c>
      <c r="Q76" s="121">
        <v>25</v>
      </c>
      <c r="R76" s="118">
        <f t="shared" si="18"/>
        <v>0</v>
      </c>
      <c r="S76" s="119">
        <v>4.7768120056458008</v>
      </c>
      <c r="T76" s="120">
        <f t="shared" si="19"/>
        <v>0</v>
      </c>
      <c r="U76" s="295"/>
      <c r="V76" s="294"/>
    </row>
    <row r="77" spans="1:22" hidden="1" x14ac:dyDescent="0.25">
      <c r="A77" s="124"/>
      <c r="B77" s="125" t="s">
        <v>150</v>
      </c>
      <c r="C77" s="126" t="s">
        <v>151</v>
      </c>
      <c r="D77" s="127">
        <v>725000</v>
      </c>
      <c r="E77" s="128"/>
      <c r="F77" s="129"/>
      <c r="G77" s="129"/>
      <c r="H77" s="130"/>
      <c r="I77" s="131">
        <v>60</v>
      </c>
      <c r="J77" s="132">
        <f t="shared" si="20"/>
        <v>725000</v>
      </c>
      <c r="K77" s="133">
        <v>44.533052006723992</v>
      </c>
      <c r="L77" s="134">
        <f t="shared" si="15"/>
        <v>32286462.704874896</v>
      </c>
      <c r="M77" s="131">
        <v>40</v>
      </c>
      <c r="N77" s="132">
        <f t="shared" si="16"/>
        <v>0</v>
      </c>
      <c r="O77" s="133">
        <v>37.110876672269995</v>
      </c>
      <c r="P77" s="134">
        <f t="shared" si="17"/>
        <v>0</v>
      </c>
      <c r="Q77" s="135">
        <v>25</v>
      </c>
      <c r="R77" s="132">
        <f t="shared" si="18"/>
        <v>0</v>
      </c>
      <c r="S77" s="133">
        <v>3.7110876672269999</v>
      </c>
      <c r="T77" s="134">
        <f t="shared" si="19"/>
        <v>0</v>
      </c>
      <c r="U77" s="295"/>
      <c r="V77" s="294"/>
    </row>
    <row r="78" spans="1:22" hidden="1" x14ac:dyDescent="0.25">
      <c r="A78" s="124"/>
      <c r="B78" s="125"/>
      <c r="C78" s="126" t="s">
        <v>152</v>
      </c>
      <c r="D78" s="127">
        <v>618000</v>
      </c>
      <c r="E78" s="128"/>
      <c r="F78" s="129"/>
      <c r="G78" s="129"/>
      <c r="H78" s="130"/>
      <c r="I78" s="136">
        <v>60</v>
      </c>
      <c r="J78" s="132">
        <f t="shared" si="20"/>
        <v>618000</v>
      </c>
      <c r="K78" s="133">
        <v>24.899727021149996</v>
      </c>
      <c r="L78" s="134">
        <f t="shared" si="15"/>
        <v>15388031.299070697</v>
      </c>
      <c r="M78" s="136">
        <v>40</v>
      </c>
      <c r="N78" s="132">
        <f t="shared" si="16"/>
        <v>0</v>
      </c>
      <c r="O78" s="133">
        <v>8.7114160251899992</v>
      </c>
      <c r="P78" s="134">
        <f t="shared" si="17"/>
        <v>0</v>
      </c>
      <c r="Q78" s="137">
        <v>25</v>
      </c>
      <c r="R78" s="132">
        <f t="shared" si="18"/>
        <v>0</v>
      </c>
      <c r="S78" s="133">
        <v>0.93286765523999993</v>
      </c>
      <c r="T78" s="134">
        <f t="shared" si="19"/>
        <v>0</v>
      </c>
      <c r="U78" s="295"/>
      <c r="V78" s="294"/>
    </row>
    <row r="79" spans="1:22" hidden="1" x14ac:dyDescent="0.25">
      <c r="A79" s="138"/>
      <c r="B79" s="125" t="s">
        <v>153</v>
      </c>
      <c r="C79" s="126" t="s">
        <v>138</v>
      </c>
      <c r="D79" s="127">
        <v>5550</v>
      </c>
      <c r="E79" s="128"/>
      <c r="F79" s="129"/>
      <c r="G79" s="129"/>
      <c r="H79" s="130"/>
      <c r="I79" s="136">
        <v>60</v>
      </c>
      <c r="J79" s="132">
        <f t="shared" si="20"/>
        <v>5550</v>
      </c>
      <c r="K79" s="133">
        <f>K69</f>
        <v>44.489100000000001</v>
      </c>
      <c r="L79" s="134">
        <f t="shared" si="15"/>
        <v>246914.505</v>
      </c>
      <c r="M79" s="136">
        <v>40</v>
      </c>
      <c r="N79" s="132">
        <f t="shared" si="16"/>
        <v>0</v>
      </c>
      <c r="O79" s="133">
        <f>O69</f>
        <v>55.903500000000008</v>
      </c>
      <c r="P79" s="134">
        <f t="shared" si="17"/>
        <v>0</v>
      </c>
      <c r="Q79" s="137">
        <v>25</v>
      </c>
      <c r="R79" s="132">
        <f t="shared" si="18"/>
        <v>0</v>
      </c>
      <c r="S79" s="133">
        <f>S69</f>
        <v>17.795640000000002</v>
      </c>
      <c r="T79" s="134">
        <f t="shared" si="19"/>
        <v>0</v>
      </c>
      <c r="U79" s="295"/>
      <c r="V79" s="294"/>
    </row>
    <row r="80" spans="1:22" ht="31.5" hidden="1" x14ac:dyDescent="0.25">
      <c r="A80" s="139"/>
      <c r="B80" s="140" t="s">
        <v>155</v>
      </c>
      <c r="C80" s="126"/>
      <c r="D80" s="127">
        <v>219110</v>
      </c>
      <c r="E80" s="128"/>
      <c r="F80" s="129"/>
      <c r="G80" s="129"/>
      <c r="H80" s="130"/>
      <c r="I80" s="131">
        <v>60</v>
      </c>
      <c r="J80" s="129">
        <f>D80</f>
        <v>219110</v>
      </c>
      <c r="K80" s="133">
        <v>55.05</v>
      </c>
      <c r="L80" s="296">
        <f>J80*K80</f>
        <v>12062005.5</v>
      </c>
      <c r="M80" s="131">
        <v>40</v>
      </c>
      <c r="N80" s="142"/>
      <c r="O80" s="133"/>
      <c r="P80" s="143"/>
      <c r="Q80" s="135">
        <v>25</v>
      </c>
      <c r="R80" s="142"/>
      <c r="S80" s="133"/>
      <c r="T80" s="143"/>
      <c r="U80" s="297"/>
      <c r="V80" s="6"/>
    </row>
    <row r="81" spans="1:22" hidden="1" x14ac:dyDescent="0.25">
      <c r="A81" s="146" t="s">
        <v>88</v>
      </c>
      <c r="B81" s="147"/>
      <c r="C81" s="148" t="s">
        <v>190</v>
      </c>
      <c r="D81" s="149">
        <f>SUM(D58:D80)</f>
        <v>25600660</v>
      </c>
      <c r="E81" s="150"/>
      <c r="F81" s="151">
        <f>SUM(F58:F80)</f>
        <v>3846000</v>
      </c>
      <c r="G81" s="151"/>
      <c r="H81" s="152">
        <f>SUM(H58:H80)</f>
        <v>232554186.02709809</v>
      </c>
      <c r="I81" s="153">
        <v>60</v>
      </c>
      <c r="J81" s="151">
        <f>SUM(J58:J80)</f>
        <v>21754660</v>
      </c>
      <c r="K81" s="154"/>
      <c r="L81" s="155">
        <f>SUM(L58:L80)</f>
        <v>1247030672.9324276</v>
      </c>
      <c r="M81" s="153">
        <v>40</v>
      </c>
      <c r="N81" s="151">
        <f>SUM(N58:N80)</f>
        <v>0</v>
      </c>
      <c r="O81" s="154"/>
      <c r="P81" s="152">
        <f>SUM(P58:P80)</f>
        <v>0</v>
      </c>
      <c r="Q81" s="156">
        <v>25</v>
      </c>
      <c r="R81" s="151">
        <f>SUM(R58:R80)</f>
        <v>0</v>
      </c>
      <c r="S81" s="154"/>
      <c r="T81" s="152">
        <f>SUM(T58:T80)</f>
        <v>0</v>
      </c>
      <c r="U81" s="256"/>
      <c r="V81" s="298"/>
    </row>
    <row r="82" spans="1:22" ht="16.5" hidden="1" thickBot="1" x14ac:dyDescent="0.3">
      <c r="A82" s="158" t="s">
        <v>157</v>
      </c>
      <c r="B82" s="159"/>
      <c r="C82" s="160" t="s">
        <v>191</v>
      </c>
      <c r="D82" s="161"/>
      <c r="E82" s="162"/>
      <c r="F82" s="163"/>
      <c r="G82" s="163"/>
      <c r="H82" s="164">
        <f>H81/E58</f>
        <v>5167870.80060218</v>
      </c>
      <c r="I82" s="165"/>
      <c r="J82" s="163"/>
      <c r="K82" s="166"/>
      <c r="L82" s="167">
        <f>L81/I62</f>
        <v>20783844.548873793</v>
      </c>
      <c r="M82" s="165"/>
      <c r="N82" s="163"/>
      <c r="O82" s="166"/>
      <c r="P82" s="167">
        <f>P81/M62</f>
        <v>0</v>
      </c>
      <c r="Q82" s="168"/>
      <c r="R82" s="163"/>
      <c r="S82" s="166"/>
      <c r="T82" s="167">
        <f>T81/Q62</f>
        <v>0</v>
      </c>
      <c r="U82" s="299">
        <f>SUM(H82:T82)</f>
        <v>25951715.349475972</v>
      </c>
      <c r="V82" s="300"/>
    </row>
    <row r="83" spans="1:22" hidden="1" x14ac:dyDescent="0.25">
      <c r="A83" s="793" t="s">
        <v>170</v>
      </c>
      <c r="B83" s="301" t="s">
        <v>171</v>
      </c>
      <c r="C83" s="249" t="s">
        <v>192</v>
      </c>
      <c r="D83" s="149">
        <f>D44</f>
        <v>2584500</v>
      </c>
      <c r="E83" s="250"/>
      <c r="F83" s="251"/>
      <c r="G83" s="251"/>
      <c r="H83" s="252"/>
      <c r="I83" s="153">
        <v>60</v>
      </c>
      <c r="J83" s="302">
        <f t="shared" ref="J83" si="21">D83*$I$2</f>
        <v>2584500</v>
      </c>
      <c r="K83" s="254">
        <f>K64-K63</f>
        <v>57.231900000000003</v>
      </c>
      <c r="L83" s="252">
        <f>J83*K83</f>
        <v>147915845.55000001</v>
      </c>
      <c r="M83" s="153">
        <v>40</v>
      </c>
      <c r="N83" s="302">
        <f t="shared" ref="N83" si="22">D83*$M$2</f>
        <v>0</v>
      </c>
      <c r="O83" s="254">
        <f>O64-O63</f>
        <v>8.4172999999999973</v>
      </c>
      <c r="P83" s="252">
        <f>N83*O83</f>
        <v>0</v>
      </c>
      <c r="Q83" s="156">
        <v>25</v>
      </c>
      <c r="R83" s="302">
        <f t="shared" ref="R83" si="23">D83*$Q$2</f>
        <v>0</v>
      </c>
      <c r="S83" s="254">
        <f>S64-S63</f>
        <v>7.6346099999999986</v>
      </c>
      <c r="T83" s="252">
        <f>R83*S83</f>
        <v>0</v>
      </c>
      <c r="U83" s="303"/>
      <c r="V83" s="298"/>
    </row>
    <row r="84" spans="1:22" hidden="1" x14ac:dyDescent="0.25">
      <c r="A84" s="794"/>
      <c r="B84" s="248" t="s">
        <v>127</v>
      </c>
      <c r="C84" s="249" t="s">
        <v>193</v>
      </c>
      <c r="D84" s="149">
        <f>D45</f>
        <v>651000</v>
      </c>
      <c r="E84" s="250">
        <v>45</v>
      </c>
      <c r="F84" s="251">
        <f>D84</f>
        <v>651000</v>
      </c>
      <c r="G84" s="251">
        <f>G59-G58</f>
        <v>38.672246606999991</v>
      </c>
      <c r="H84" s="252">
        <f>F84*G84</f>
        <v>25175632.541156992</v>
      </c>
      <c r="I84" s="153"/>
      <c r="J84" s="302"/>
      <c r="K84" s="254"/>
      <c r="L84" s="252"/>
      <c r="M84" s="153"/>
      <c r="N84" s="302"/>
      <c r="O84" s="254"/>
      <c r="P84" s="252"/>
      <c r="Q84" s="156"/>
      <c r="R84" s="302"/>
      <c r="S84" s="254"/>
      <c r="T84" s="252"/>
      <c r="U84" s="256"/>
      <c r="V84" s="298"/>
    </row>
    <row r="85" spans="1:22" hidden="1" x14ac:dyDescent="0.25">
      <c r="A85" s="794"/>
      <c r="B85" s="147" t="s">
        <v>174</v>
      </c>
      <c r="C85" s="148" t="s">
        <v>193</v>
      </c>
      <c r="D85" s="149">
        <f>D46</f>
        <v>1828000</v>
      </c>
      <c r="E85" s="150"/>
      <c r="F85" s="151"/>
      <c r="G85" s="151"/>
      <c r="H85" s="155"/>
      <c r="I85" s="153">
        <v>60</v>
      </c>
      <c r="J85" s="302">
        <f>D85*$I$2</f>
        <v>1828000</v>
      </c>
      <c r="K85" s="154">
        <f>K65-K63</f>
        <v>79.902299999999997</v>
      </c>
      <c r="L85" s="252">
        <f>J85*K85</f>
        <v>146061404.40000001</v>
      </c>
      <c r="M85" s="153">
        <v>40</v>
      </c>
      <c r="N85" s="302">
        <f>D85*$M$2</f>
        <v>0</v>
      </c>
      <c r="O85" s="154">
        <f>O65-O63</f>
        <v>16.162082121253007</v>
      </c>
      <c r="P85" s="152">
        <f>N85*O85</f>
        <v>0</v>
      </c>
      <c r="Q85" s="156">
        <v>25</v>
      </c>
      <c r="R85" s="302">
        <f>D85*$Q$2</f>
        <v>0</v>
      </c>
      <c r="S85" s="154">
        <f>S65-S63</f>
        <v>16.552209999999999</v>
      </c>
      <c r="T85" s="152">
        <f>R85*S85</f>
        <v>0</v>
      </c>
      <c r="U85" s="304"/>
      <c r="V85" s="305"/>
    </row>
    <row r="86" spans="1:22" ht="16.5" hidden="1" thickBot="1" x14ac:dyDescent="0.3">
      <c r="A86" s="795"/>
      <c r="B86" s="306"/>
      <c r="C86" s="307" t="s">
        <v>194</v>
      </c>
      <c r="D86" s="308"/>
      <c r="E86" s="309"/>
      <c r="F86" s="310"/>
      <c r="G86" s="310"/>
      <c r="H86" s="311">
        <f>H84/E84</f>
        <v>559458.50091459986</v>
      </c>
      <c r="I86" s="309"/>
      <c r="J86" s="310"/>
      <c r="K86" s="310"/>
      <c r="L86" s="311">
        <f>(L83+L85)/I85</f>
        <v>4899620.8325000005</v>
      </c>
      <c r="M86" s="309"/>
      <c r="N86" s="310"/>
      <c r="O86" s="310"/>
      <c r="P86" s="311">
        <f>(P83+P85)/M85</f>
        <v>0</v>
      </c>
      <c r="Q86" s="309"/>
      <c r="R86" s="310"/>
      <c r="S86" s="310"/>
      <c r="T86" s="311">
        <f>(T83+T85)/Q85</f>
        <v>0</v>
      </c>
      <c r="U86" s="312">
        <f>SUM(H86:T86)</f>
        <v>5459079.3334146002</v>
      </c>
      <c r="V86" s="313"/>
    </row>
    <row r="87" spans="1:22" hidden="1" x14ac:dyDescent="0.25">
      <c r="A87" s="790" t="s">
        <v>159</v>
      </c>
      <c r="B87" s="172" t="s">
        <v>160</v>
      </c>
      <c r="C87" s="173" t="s">
        <v>161</v>
      </c>
      <c r="D87" s="174">
        <v>9797</v>
      </c>
      <c r="E87" s="175"/>
      <c r="F87" s="176"/>
      <c r="G87" s="176"/>
      <c r="H87" s="177">
        <v>111000</v>
      </c>
      <c r="I87" s="178"/>
      <c r="J87" s="176"/>
      <c r="K87" s="179"/>
      <c r="L87" s="177"/>
      <c r="M87" s="178"/>
      <c r="N87" s="176"/>
      <c r="O87" s="179"/>
      <c r="P87" s="177"/>
      <c r="Q87" s="180"/>
      <c r="R87" s="176"/>
      <c r="S87" s="179"/>
      <c r="T87" s="177"/>
      <c r="U87" s="182">
        <f>H87</f>
        <v>111000</v>
      </c>
      <c r="V87" s="298"/>
    </row>
    <row r="88" spans="1:22" hidden="1" x14ac:dyDescent="0.25">
      <c r="A88" s="791"/>
      <c r="B88" s="186" t="s">
        <v>162</v>
      </c>
      <c r="C88" s="187" t="s">
        <v>161</v>
      </c>
      <c r="D88" s="188"/>
      <c r="E88" s="189"/>
      <c r="F88" s="190"/>
      <c r="G88" s="190"/>
      <c r="H88" s="191">
        <v>963000</v>
      </c>
      <c r="I88" s="192"/>
      <c r="J88" s="190"/>
      <c r="K88" s="193"/>
      <c r="L88" s="191"/>
      <c r="M88" s="192"/>
      <c r="N88" s="190"/>
      <c r="O88" s="193"/>
      <c r="P88" s="191"/>
      <c r="Q88" s="194"/>
      <c r="R88" s="190"/>
      <c r="S88" s="193"/>
      <c r="T88" s="191"/>
      <c r="U88" s="182">
        <f>H88</f>
        <v>963000</v>
      </c>
      <c r="V88" s="298"/>
    </row>
    <row r="89" spans="1:22" ht="16.5" hidden="1" thickBot="1" x14ac:dyDescent="0.3">
      <c r="A89" s="792"/>
      <c r="B89" s="196" t="s">
        <v>163</v>
      </c>
      <c r="C89" s="197"/>
      <c r="D89" s="198"/>
      <c r="E89" s="199"/>
      <c r="F89" s="200"/>
      <c r="G89" s="200"/>
      <c r="H89" s="201">
        <v>72000</v>
      </c>
      <c r="I89" s="202"/>
      <c r="J89" s="200"/>
      <c r="K89" s="203"/>
      <c r="L89" s="201"/>
      <c r="M89" s="202"/>
      <c r="N89" s="200"/>
      <c r="O89" s="203"/>
      <c r="P89" s="201"/>
      <c r="Q89" s="202"/>
      <c r="R89" s="200"/>
      <c r="S89" s="203"/>
      <c r="T89" s="201"/>
      <c r="U89" s="314">
        <f>H89</f>
        <v>72000</v>
      </c>
      <c r="V89" s="298"/>
    </row>
    <row r="90" spans="1:22" ht="16.5" hidden="1" thickBot="1" x14ac:dyDescent="0.3">
      <c r="D90" s="2"/>
      <c r="H90" s="207"/>
      <c r="I90" s="1"/>
      <c r="J90" s="1"/>
      <c r="U90" s="315">
        <f>SUM(U82:U89)</f>
        <v>32556794.682890572</v>
      </c>
      <c r="V90" s="316"/>
    </row>
    <row r="91" spans="1:22" hidden="1" x14ac:dyDescent="0.25">
      <c r="C91" s="214" t="s">
        <v>164</v>
      </c>
      <c r="D91" s="215">
        <v>0.03</v>
      </c>
      <c r="U91" s="317">
        <f>D91*U90</f>
        <v>976703.84048671706</v>
      </c>
      <c r="V91" s="207"/>
    </row>
    <row r="92" spans="1:22" hidden="1" x14ac:dyDescent="0.25">
      <c r="C92" s="214" t="s">
        <v>165</v>
      </c>
      <c r="D92" s="215">
        <v>0.05</v>
      </c>
      <c r="U92" s="318">
        <f>D92*U90</f>
        <v>1627839.7341445286</v>
      </c>
      <c r="V92" s="207"/>
    </row>
    <row r="93" spans="1:22" hidden="1" x14ac:dyDescent="0.25">
      <c r="C93" s="214" t="s">
        <v>166</v>
      </c>
      <c r="D93" s="215">
        <v>0.1</v>
      </c>
      <c r="U93" s="318">
        <f>D93*U90</f>
        <v>3255679.4682890573</v>
      </c>
      <c r="V93" s="207"/>
    </row>
    <row r="94" spans="1:22" hidden="1" x14ac:dyDescent="0.25">
      <c r="C94" s="214" t="s">
        <v>167</v>
      </c>
      <c r="D94" s="215">
        <v>0.06</v>
      </c>
      <c r="U94" s="318">
        <f>D94*U90</f>
        <v>1953407.6809734341</v>
      </c>
      <c r="V94" s="207"/>
    </row>
    <row r="95" spans="1:22" hidden="1" x14ac:dyDescent="0.25">
      <c r="C95" s="214" t="s">
        <v>168</v>
      </c>
      <c r="D95" s="215">
        <v>0.05</v>
      </c>
      <c r="U95" s="318">
        <f>D95*U90</f>
        <v>1627839.7341445286</v>
      </c>
      <c r="V95" s="207"/>
    </row>
    <row r="96" spans="1:22" ht="16.5" hidden="1" thickBot="1" x14ac:dyDescent="0.3">
      <c r="U96" s="319">
        <f>SUM(U90:U95)</f>
        <v>41998265.140928835</v>
      </c>
      <c r="V96" s="316"/>
    </row>
  </sheetData>
  <mergeCells count="17">
    <mergeCell ref="E56:H56"/>
    <mergeCell ref="E2:H2"/>
    <mergeCell ref="J2:L2"/>
    <mergeCell ref="N2:P2"/>
    <mergeCell ref="R2:T2"/>
    <mergeCell ref="A1:O1"/>
    <mergeCell ref="A8:A21"/>
    <mergeCell ref="A29:A31"/>
    <mergeCell ref="A44:A47"/>
    <mergeCell ref="A54:U54"/>
    <mergeCell ref="A4:A7"/>
    <mergeCell ref="A2:C2"/>
    <mergeCell ref="A58:A61"/>
    <mergeCell ref="A62:A75"/>
    <mergeCell ref="A83:A86"/>
    <mergeCell ref="A87:A89"/>
    <mergeCell ref="A56:C5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193C-B83E-4771-AAB8-DD3ACF731210}">
  <dimension ref="A1:AL70"/>
  <sheetViews>
    <sheetView zoomScale="70" zoomScaleNormal="70" workbookViewId="0">
      <selection activeCell="K15" sqref="K15"/>
    </sheetView>
  </sheetViews>
  <sheetFormatPr defaultRowHeight="15.75" x14ac:dyDescent="0.25"/>
  <cols>
    <col min="1" max="1" width="26.75" customWidth="1"/>
    <col min="3" max="3" width="23.375" customWidth="1"/>
    <col min="4" max="4" width="14.75" customWidth="1"/>
    <col min="5" max="5" width="28.25" bestFit="1" customWidth="1"/>
    <col min="6" max="6" width="28.25" customWidth="1"/>
    <col min="7" max="7" width="20.5" customWidth="1"/>
    <col min="10" max="10" width="20.5" customWidth="1"/>
    <col min="11" max="11" width="28.625" customWidth="1"/>
    <col min="13" max="13" width="17.75" customWidth="1"/>
    <col min="14" max="14" width="15.25" bestFit="1" customWidth="1"/>
    <col min="15" max="15" width="9.625" customWidth="1"/>
    <col min="23" max="23" width="13.875" bestFit="1" customWidth="1"/>
    <col min="24" max="24" width="19.125" customWidth="1"/>
    <col min="25" max="25" width="13.25" bestFit="1" customWidth="1"/>
    <col min="27" max="27" width="15.25" customWidth="1"/>
    <col min="30" max="30" width="12.5" customWidth="1"/>
    <col min="31" max="31" width="16.25" bestFit="1" customWidth="1"/>
    <col min="33" max="33" width="15.125" bestFit="1" customWidth="1"/>
    <col min="35" max="35" width="18.75" customWidth="1"/>
  </cols>
  <sheetData>
    <row r="1" spans="1:38" x14ac:dyDescent="0.25">
      <c r="P1" s="543"/>
      <c r="Q1" s="543" t="s">
        <v>258</v>
      </c>
      <c r="R1" s="543"/>
      <c r="S1" s="543"/>
      <c r="T1" s="543"/>
      <c r="U1" s="543"/>
      <c r="V1" s="543"/>
      <c r="W1" s="543"/>
      <c r="X1" s="543"/>
      <c r="Y1" s="543"/>
      <c r="Z1" s="543"/>
      <c r="AA1" s="543"/>
      <c r="AB1" s="543"/>
      <c r="AC1" s="543"/>
      <c r="AD1" s="543"/>
      <c r="AE1" s="543"/>
      <c r="AF1" s="543" t="s">
        <v>259</v>
      </c>
      <c r="AG1" s="543" t="b">
        <v>1</v>
      </c>
      <c r="AH1" t="str">
        <f>C6</f>
        <v>Hoofd, Verzamel en wijkontsluitingswegen</v>
      </c>
      <c r="AI1" t="str">
        <f>C12</f>
        <v>overige wegen</v>
      </c>
      <c r="AJ1" t="str">
        <f>C50</f>
        <v xml:space="preserve">diversen </v>
      </c>
      <c r="AK1" t="str">
        <f>C56</f>
        <v>ontwikkelingen</v>
      </c>
      <c r="AL1" t="str">
        <f>C65</f>
        <v xml:space="preserve">overig </v>
      </c>
    </row>
    <row r="2" spans="1:38" ht="25.5" x14ac:dyDescent="0.25">
      <c r="A2">
        <f>COUNTA(A4:A65)</f>
        <v>62</v>
      </c>
      <c r="H2">
        <v>2</v>
      </c>
      <c r="J2">
        <v>3</v>
      </c>
      <c r="L2">
        <v>1</v>
      </c>
      <c r="P2" s="543"/>
      <c r="Q2" s="543"/>
      <c r="R2" s="543"/>
      <c r="S2" s="543"/>
      <c r="T2" s="688" t="s">
        <v>199</v>
      </c>
      <c r="U2" s="689"/>
      <c r="V2" s="688"/>
      <c r="W2" s="689"/>
      <c r="X2" s="688"/>
      <c r="Y2" s="689"/>
      <c r="Z2" s="543" t="s">
        <v>15</v>
      </c>
      <c r="AA2" s="543">
        <v>3</v>
      </c>
      <c r="AB2" s="543" t="s">
        <v>33</v>
      </c>
      <c r="AC2" s="543"/>
      <c r="AD2" s="543" t="s">
        <v>200</v>
      </c>
      <c r="AE2" s="543"/>
      <c r="AF2" s="543" t="s">
        <v>201</v>
      </c>
      <c r="AG2" s="543"/>
      <c r="AI2" s="522" t="e">
        <f>AI68</f>
        <v>#DIV/0!</v>
      </c>
    </row>
    <row r="3" spans="1:38" ht="38.25" x14ac:dyDescent="0.25">
      <c r="A3" s="18" t="s">
        <v>107</v>
      </c>
      <c r="B3" s="18" t="s">
        <v>242</v>
      </c>
      <c r="C3" s="18" t="s">
        <v>260</v>
      </c>
      <c r="D3" s="19" t="s">
        <v>261</v>
      </c>
      <c r="E3" s="20" t="s">
        <v>93</v>
      </c>
      <c r="F3" s="20" t="s">
        <v>110</v>
      </c>
      <c r="G3" s="20" t="s">
        <v>262</v>
      </c>
      <c r="H3" s="20" t="s">
        <v>263</v>
      </c>
      <c r="I3" s="20" t="s">
        <v>264</v>
      </c>
      <c r="J3" s="20" t="s">
        <v>265</v>
      </c>
      <c r="K3" s="20" t="s">
        <v>204</v>
      </c>
      <c r="L3" s="20" t="s">
        <v>266</v>
      </c>
      <c r="M3" s="20" t="s">
        <v>267</v>
      </c>
      <c r="N3" s="20" t="s">
        <v>268</v>
      </c>
      <c r="O3" s="542" t="s">
        <v>269</v>
      </c>
      <c r="P3" s="543" t="s">
        <v>264</v>
      </c>
      <c r="Q3" s="543" t="s">
        <v>270</v>
      </c>
      <c r="R3" s="543" t="s">
        <v>271</v>
      </c>
      <c r="S3" s="543" t="s">
        <v>215</v>
      </c>
      <c r="T3" s="688" t="s">
        <v>205</v>
      </c>
      <c r="U3" s="689" t="s">
        <v>206</v>
      </c>
      <c r="V3" s="688" t="s">
        <v>207</v>
      </c>
      <c r="W3" s="689" t="s">
        <v>208</v>
      </c>
      <c r="X3" s="688" t="s">
        <v>209</v>
      </c>
      <c r="Y3" s="689" t="s">
        <v>210</v>
      </c>
      <c r="Z3" s="543" t="s">
        <v>211</v>
      </c>
      <c r="AA3" s="543" t="s">
        <v>212</v>
      </c>
      <c r="AB3" s="543" t="s">
        <v>211</v>
      </c>
      <c r="AC3" s="543" t="s">
        <v>212</v>
      </c>
      <c r="AD3" s="543" t="s">
        <v>211</v>
      </c>
      <c r="AE3" s="543" t="s">
        <v>212</v>
      </c>
      <c r="AF3" s="543" t="s">
        <v>211</v>
      </c>
      <c r="AG3" s="543" t="s">
        <v>212</v>
      </c>
      <c r="AH3" t="s">
        <v>272</v>
      </c>
    </row>
    <row r="4" spans="1:38" x14ac:dyDescent="0.25">
      <c r="A4" t="s">
        <v>273</v>
      </c>
      <c r="B4" t="s">
        <v>274</v>
      </c>
      <c r="C4" t="s">
        <v>123</v>
      </c>
      <c r="D4" t="s">
        <v>124</v>
      </c>
      <c r="E4" t="s">
        <v>125</v>
      </c>
      <c r="F4" t="str">
        <f>D4&amp;E4</f>
        <v xml:space="preserve">rijbaan - asfaltasfalt </v>
      </c>
      <c r="G4" t="s">
        <v>275</v>
      </c>
      <c r="H4" cm="1">
        <f t="array" ref="H4">_xlfn.XLOOKUP($F4,Onderhoud!$D$59:$D$91,_xlfn.XLOOKUP(TOTEX!$G4&amp;H$2,Onderhoud!$F$57:$U$57,Onderhoud!$F$59:$U$91))</f>
        <v>2622000</v>
      </c>
      <c r="I4" t="s">
        <v>276</v>
      </c>
      <c r="J4" s="521" cm="1">
        <f t="array" ref="J4">_xlfn.XLOOKUP($F4,Onderhoud!$D$4:$D$32,_xlfn.XLOOKUP(TOTEX!$G4&amp;J$2,Onderhoud!$F$2:$U$2,Onderhoud!$F$4:$U$32),0)</f>
        <v>111.38629754039999</v>
      </c>
      <c r="K4" s="523">
        <f>J4*H4</f>
        <v>292054872.1509288</v>
      </c>
      <c r="L4" s="553" cm="1">
        <f t="array" ref="L4">_xlfn.XLOOKUP($F4,Onderhoud!$D$59:$D$91,_xlfn.XLOOKUP(TOTEX!$G4&amp;L$2,Onderhoud!$F$57:$U$57,Onderhoud!$F$59:$U$91))</f>
        <v>45</v>
      </c>
      <c r="M4" s="207">
        <f>IFERROR(K4/L4,0)</f>
        <v>6490108.2700206395</v>
      </c>
      <c r="N4" s="207">
        <f>_xlfn.XLOOKUP(F4,Onderhoud!$D$4:$D$32,Onderhoud!$Y$4:$Y$32,0)*M4</f>
        <v>5461212.4013576638</v>
      </c>
      <c r="O4">
        <f>H4</f>
        <v>2622000</v>
      </c>
      <c r="P4" t="str">
        <f>I4</f>
        <v>m2</v>
      </c>
      <c r="Q4" t="str">
        <f>_xlfn.XLOOKUP($F4,Onderhoud!$D$103:$D$129,Onderhoud!U$103:U$129,"")</f>
        <v>85% B</v>
      </c>
      <c r="R4" t="str">
        <f>_xlfn.XLOOKUP($F4,Onderhoud!$D$103:$D$129,Onderhoud!V$103:V$129,"")</f>
        <v>89% B</v>
      </c>
      <c r="S4" t="str">
        <f>_xlfn.XLOOKUP($F4,Onderhoud!$D$103:$D$129,Onderhoud!W$103:W$129,"")</f>
        <v>90%B</v>
      </c>
      <c r="V4">
        <f>_xlfn.XLOOKUP($F4,Onderhoud!$D$103:$D$133,Onderhoud!$I$103:$I$133)</f>
        <v>1</v>
      </c>
      <c r="W4" s="522">
        <f>_xlfn.XLOOKUP($F4,Onderhoud!$D$103:$D$133,Onderhoud!$J$103:$J$133)</f>
        <v>0.27807234939917741</v>
      </c>
      <c r="Z4">
        <f>_xlfn.XLOOKUP($F4,Onderhoud!$D$103:$D$133,Onderhoud!$M$103:$M$133)</f>
        <v>1</v>
      </c>
      <c r="AA4" s="522" cm="1">
        <f t="array" ref="AA4">_xlfn.XLOOKUP($F4,Onderhoud!$D$59:$D$91,_xlfn.XLOOKUP(TOTEX!$G4&amp;AA$2,Onderhoud!$F$57:$U$57,Onderhoud!$F$59:$U$91))/L4*_xlfn.XLOOKUP($F4,Onderhoud!$D$59:$D$91,Onderhoud!$AF$59:$AF$91)+Onderhoud!$N$135*J4</f>
        <v>4.9762451292767441E-2</v>
      </c>
      <c r="AD4" s="553">
        <f>_xlfn.XLOOKUP($F4,Onderhoud!$D$103:$D$133,Onderhoud!$Q$103:$Q$133)</f>
        <v>1</v>
      </c>
      <c r="AE4" s="522" cm="1">
        <f t="array" ref="AE4">_xlfn.XLOOKUP($F4,Onderhoud!$D$59:$D$91,_xlfn.XLOOKUP(TOTEX!$G4&amp;AA$2,Onderhoud!$F$57:$U$57,Onderhoud!$F$59:$U$91))/L4*_xlfn.XLOOKUP($F4,Onderhoud!$D$59:$D$91,Onderhoud!$W$59:$W$91)+Onderhoud!$R$135*J4</f>
        <v>0.19642254218312349</v>
      </c>
      <c r="AF4">
        <f>_xlfn.XLOOKUP($F4,Onderhoud!$D$103:$D$133,Onderhoud!$S$103:$S$133)</f>
        <v>1</v>
      </c>
      <c r="AG4" s="522" cm="1">
        <f t="array" ref="AG4">_xlfn.XLOOKUP($F4,Onderhoud!$D$59:$D$91,_xlfn.XLOOKUP(TOTEX!$G4&amp;AA$2,Onderhoud!$F$57:$U$57,Onderhoud!$F$59:$U$91))/L4*IF($AG$1,1,_xlfn.XLOOKUP($F4,Onderhoud!$D$59:$D$91,Onderhoud!$AG$59:$AG$91))+Onderhoud!$T$135*J4</f>
        <v>1.6712953939349795</v>
      </c>
      <c r="AH4">
        <f>IF($AH$2="",1,IF(C4=$AH$2,1,0))</f>
        <v>1</v>
      </c>
      <c r="AI4" s="522">
        <f>SUM(Onderhoud!V59:V62)</f>
        <v>5167870.80060218</v>
      </c>
      <c r="AJ4" t="s">
        <v>277</v>
      </c>
    </row>
    <row r="5" spans="1:38" x14ac:dyDescent="0.25">
      <c r="A5" t="s">
        <v>273</v>
      </c>
      <c r="B5" t="s">
        <v>274</v>
      </c>
      <c r="C5" t="s">
        <v>123</v>
      </c>
      <c r="D5" t="s">
        <v>126</v>
      </c>
      <c r="E5" t="s">
        <v>127</v>
      </c>
      <c r="F5" t="str">
        <f t="shared" ref="F5:F65" si="0">D5&amp;E5</f>
        <v>rijbaan stil asfalt</v>
      </c>
      <c r="G5" t="s">
        <v>275</v>
      </c>
      <c r="H5" cm="1">
        <f t="array" ref="H5">_xlfn.XLOOKUP($F5,Onderhoud!$D$59:$D$91,_xlfn.XLOOKUP(TOTEX!$G5&amp;H$2,Onderhoud!$F$57:$U$57,Onderhoud!$F$59:$U$91))</f>
        <v>349000</v>
      </c>
      <c r="I5" t="s">
        <v>276</v>
      </c>
      <c r="J5" s="521" cm="1">
        <f t="array" ref="J5">_xlfn.XLOOKUP(F5,Onderhoud!$D$4:$D$32,_xlfn.XLOOKUP(TOTEX!G5&amp;J$2,Onderhoud!$F$2:$U$2,Onderhoud!$F$4:$U$32),0)</f>
        <v>112.07153054039999</v>
      </c>
      <c r="K5" s="523">
        <f t="shared" ref="K5:K65" si="1">J5*H5</f>
        <v>39112964.1585996</v>
      </c>
      <c r="L5" s="553" cm="1">
        <f t="array" ref="L5">_xlfn.XLOOKUP($F5,Onderhoud!$D$59:$D$91,_xlfn.XLOOKUP(TOTEX!$G5&amp;L$2,Onderhoud!$F$57:$U$57,Onderhoud!$F$59:$U$91))</f>
        <v>45</v>
      </c>
      <c r="M5" s="207">
        <f t="shared" ref="M5:M65" si="2">IFERROR(K5/L5,0)</f>
        <v>869176.98130221339</v>
      </c>
      <c r="N5" s="207">
        <f>_xlfn.XLOOKUP(F5,Onderhoud!$D$4:$D$32,Onderhoud!$Y$4:$Y$32,0)*M5</f>
        <v>731383.80929462833</v>
      </c>
      <c r="O5">
        <f t="shared" ref="O5:O65" si="3">H5</f>
        <v>349000</v>
      </c>
      <c r="P5" t="str">
        <f t="shared" ref="P5:P65" si="4">I5</f>
        <v>m2</v>
      </c>
      <c r="Q5" t="str">
        <f>_xlfn.XLOOKUP($F5,Onderhoud!$D$103:$D$129,Onderhoud!U$103:U$129,"")</f>
        <v>85% B</v>
      </c>
      <c r="R5" t="str">
        <f>_xlfn.XLOOKUP($F5,Onderhoud!$D$103:$D$129,Onderhoud!V$103:V$129,"")</f>
        <v>89% B</v>
      </c>
      <c r="S5" t="str">
        <f>_xlfn.XLOOKUP($F5,Onderhoud!$D$103:$D$129,Onderhoud!W$103:W$129,"")</f>
        <v>90%B</v>
      </c>
      <c r="V5">
        <f>_xlfn.XLOOKUP($F5,Onderhoud!$D$103:$D$133,Onderhoud!$I$103:$I$133)</f>
        <v>1</v>
      </c>
      <c r="W5" s="522">
        <f>_xlfn.XLOOKUP($F5,Onderhoud!$D$103:$D$133,Onderhoud!$J$103:$J$133)</f>
        <v>0.27978301179126147</v>
      </c>
      <c r="Z5">
        <f>_xlfn.XLOOKUP($F5,Onderhoud!$D$103:$D$133,Onderhoud!$M$103:$M$133)</f>
        <v>1</v>
      </c>
      <c r="AA5" s="522" cm="1">
        <f t="array" ref="AA5">_xlfn.XLOOKUP($F5,Onderhoud!$D$59:$D$91,_xlfn.XLOOKUP(TOTEX!$G5&amp;AA$2,Onderhoud!$F$57:$U$57,Onderhoud!$F$59:$U$91))/L5*_xlfn.XLOOKUP($F5,Onderhoud!$D$59:$D$91,Onderhoud!$AF$59:$AF$91)+Onderhoud!$N$135*J5</f>
        <v>0.16440807988121423</v>
      </c>
      <c r="AD5" s="553">
        <f>_xlfn.XLOOKUP($F5,Onderhoud!$D$103:$D$133,Onderhoud!$Q$103:$Q$133)</f>
        <v>1</v>
      </c>
      <c r="AE5" s="522" cm="1">
        <f t="array" ref="AE5">_xlfn.XLOOKUP($F5,Onderhoud!$D$59:$D$91,_xlfn.XLOOKUP(TOTEX!$G5&amp;AA$2,Onderhoud!$F$57:$U$57,Onderhoud!$F$59:$U$91))/L5*_xlfn.XLOOKUP($F5,Onderhoud!$D$59:$D$91,Onderhoud!$W$59:$W$91)+Onderhoud!$R$135*J5</f>
        <v>0.28280051221507613</v>
      </c>
      <c r="AF5">
        <f>_xlfn.XLOOKUP($F5,Onderhoud!$D$103:$D$133,Onderhoud!$S$103:$S$133)</f>
        <v>1</v>
      </c>
      <c r="AG5" s="522" cm="1">
        <f t="array" ref="AG5">_xlfn.XLOOKUP($F5,Onderhoud!$D$59:$D$91,_xlfn.XLOOKUP(TOTEX!$G5&amp;AA$2,Onderhoud!$F$57:$U$57,Onderhoud!$F$59:$U$91))/L5*IF($AG$1,1,_xlfn.XLOOKUP($F5,Onderhoud!$D$59:$D$91,Onderhoud!$AG$59:$AG$91))+Onderhoud!$T$135*J5</f>
        <v>2.5332730294921628</v>
      </c>
      <c r="AH5">
        <f t="shared" ref="AH5:AH65" si="5">IF($AH$2="",1,IF(C5=$AH$2,1,0))</f>
        <v>1</v>
      </c>
    </row>
    <row r="6" spans="1:38" x14ac:dyDescent="0.25">
      <c r="A6" t="s">
        <v>273</v>
      </c>
      <c r="B6" t="s">
        <v>274</v>
      </c>
      <c r="C6" t="s">
        <v>123</v>
      </c>
      <c r="D6" t="s">
        <v>126</v>
      </c>
      <c r="E6" t="s">
        <v>128</v>
      </c>
      <c r="F6" t="str">
        <f t="shared" si="0"/>
        <v>rijbaan gefundeerde betonstraatstenen</v>
      </c>
      <c r="G6" t="s">
        <v>275</v>
      </c>
      <c r="H6" cm="1">
        <f t="array" ref="H6">_xlfn.XLOOKUP($F6,Onderhoud!$D$59:$D$91,_xlfn.XLOOKUP(TOTEX!$G6&amp;H$2,Onderhoud!$F$57:$U$57,Onderhoud!$F$59:$U$91))</f>
        <v>690000</v>
      </c>
      <c r="I6" t="s">
        <v>276</v>
      </c>
      <c r="J6" s="521" cm="1">
        <f t="array" ref="J6">_xlfn.XLOOKUP(F6,Onderhoud!$D$4:$D$32,_xlfn.XLOOKUP(TOTEX!G6&amp;J$2,Onderhoud!$F$2:$U$2,Onderhoud!$F$4:$U$32),0)</f>
        <v>109.1379</v>
      </c>
      <c r="K6" s="523">
        <f t="shared" si="1"/>
        <v>75305151</v>
      </c>
      <c r="L6" s="553" cm="1">
        <f t="array" ref="L6">_xlfn.XLOOKUP($F6,Onderhoud!$D$59:$D$91,_xlfn.XLOOKUP(TOTEX!$G6&amp;L$2,Onderhoud!$F$57:$U$57,Onderhoud!$F$59:$U$91))</f>
        <v>45</v>
      </c>
      <c r="M6" s="207">
        <f t="shared" si="2"/>
        <v>1673447.8</v>
      </c>
      <c r="N6" s="207">
        <f>_xlfn.XLOOKUP(F6,Onderhoud!$D$4:$D$32,Onderhoud!$Y$4:$Y$32,0)*M6</f>
        <v>1408151.2200035509</v>
      </c>
      <c r="O6">
        <f t="shared" si="3"/>
        <v>690000</v>
      </c>
      <c r="P6" t="str">
        <f t="shared" si="4"/>
        <v>m2</v>
      </c>
      <c r="Q6" t="str">
        <f>_xlfn.XLOOKUP($F6,Onderhoud!$D$103:$D$129,Onderhoud!U$103:U$129,"")</f>
        <v>85% B</v>
      </c>
      <c r="R6" t="str">
        <f>_xlfn.XLOOKUP($F6,Onderhoud!$D$103:$D$129,Onderhoud!V$103:V$129,"")</f>
        <v>89% B</v>
      </c>
      <c r="S6" t="str">
        <f>_xlfn.XLOOKUP($F6,Onderhoud!$D$103:$D$129,Onderhoud!W$103:W$129,"")</f>
        <v>90%B</v>
      </c>
      <c r="V6">
        <f>_xlfn.XLOOKUP($F6,Onderhoud!$D$103:$D$133,Onderhoud!$I$103:$I$133)</f>
        <v>1</v>
      </c>
      <c r="W6" s="522">
        <f>_xlfn.XLOOKUP($F6,Onderhoud!$D$103:$D$133,Onderhoud!$J$103:$J$133)</f>
        <v>0.27245929644519451</v>
      </c>
      <c r="Z6">
        <f>_xlfn.XLOOKUP($F6,Onderhoud!$D$103:$D$133,Onderhoud!$M$103:$M$133)</f>
        <v>1</v>
      </c>
      <c r="AA6" s="522" cm="1">
        <f t="array" ref="AA6">_xlfn.XLOOKUP($F6,Onderhoud!$D$59:$D$91,_xlfn.XLOOKUP(TOTEX!$G6&amp;AA$2,Onderhoud!$F$57:$U$57,Onderhoud!$F$59:$U$91))/L6*_xlfn.XLOOKUP($F6,Onderhoud!$D$59:$D$91,Onderhoud!$AF$59:$AF$91)+Onderhoud!$N$135*J6</f>
        <v>2.4151974382143573E-2</v>
      </c>
      <c r="AD6" s="553">
        <f>_xlfn.XLOOKUP($F6,Onderhoud!$D$103:$D$133,Onderhoud!$Q$103:$Q$133)</f>
        <v>1</v>
      </c>
      <c r="AE6" s="522" cm="1">
        <f t="array" ref="AE6">_xlfn.XLOOKUP($F6,Onderhoud!$D$59:$D$91,_xlfn.XLOOKUP(TOTEX!$G6&amp;AA$2,Onderhoud!$F$57:$U$57,Onderhoud!$F$59:$U$91))/L6*_xlfn.XLOOKUP($F6,Onderhoud!$D$59:$D$91,Onderhoud!$W$59:$W$91)+Onderhoud!$R$135*J6</f>
        <v>0.2957960102184406</v>
      </c>
      <c r="AF6">
        <f>_xlfn.XLOOKUP($F6,Onderhoud!$D$103:$D$133,Onderhoud!$S$103:$S$133)</f>
        <v>1</v>
      </c>
      <c r="AG6" s="522" cm="1">
        <f t="array" ref="AG6">_xlfn.XLOOKUP($F6,Onderhoud!$D$59:$D$91,_xlfn.XLOOKUP(TOTEX!$G6&amp;AA$2,Onderhoud!$F$57:$U$57,Onderhoud!$F$59:$U$91))/L6*IF($AG$1,1,_xlfn.XLOOKUP($F6,Onderhoud!$D$59:$D$91,Onderhoud!$AG$59:$AG$91))+Onderhoud!$T$135*J6</f>
        <v>1.703343038169479</v>
      </c>
      <c r="AH6">
        <f t="shared" si="5"/>
        <v>1</v>
      </c>
    </row>
    <row r="7" spans="1:38" x14ac:dyDescent="0.25">
      <c r="A7" t="s">
        <v>273</v>
      </c>
      <c r="B7" t="s">
        <v>274</v>
      </c>
      <c r="C7" t="s">
        <v>123</v>
      </c>
      <c r="D7" t="s">
        <v>129</v>
      </c>
      <c r="E7" t="s">
        <v>130</v>
      </c>
      <c r="F7" t="str">
        <f t="shared" si="0"/>
        <v>rijbaan sbsgefundeerde straatbakstenen</v>
      </c>
      <c r="G7" t="s">
        <v>275</v>
      </c>
      <c r="H7" cm="1">
        <f t="array" ref="H7">_xlfn.XLOOKUP($F7,Onderhoud!$D$59:$D$91,_xlfn.XLOOKUP(TOTEX!$G7&amp;H$2,Onderhoud!$F$57:$U$57,Onderhoud!$F$59:$U$91))</f>
        <v>185000</v>
      </c>
      <c r="I7" t="s">
        <v>276</v>
      </c>
      <c r="J7" s="521" cm="1">
        <f t="array" ref="J7">_xlfn.XLOOKUP(F7,Onderhoud!$D$4:$D$32,_xlfn.XLOOKUP(TOTEX!G7&amp;J$2,Onderhoud!$F$2:$U$2,Onderhoud!$F$4:$U$32),0)</f>
        <v>122.15130000000001</v>
      </c>
      <c r="K7" s="523">
        <f t="shared" si="1"/>
        <v>22597990.5</v>
      </c>
      <c r="L7" s="553" cm="1">
        <f t="array" ref="L7">_xlfn.XLOOKUP($F7,Onderhoud!$D$59:$D$91,_xlfn.XLOOKUP(TOTEX!$G7&amp;L$2,Onderhoud!$F$57:$U$57,Onderhoud!$F$59:$U$91))</f>
        <v>45</v>
      </c>
      <c r="M7" s="207">
        <f t="shared" si="2"/>
        <v>502177.56666666665</v>
      </c>
      <c r="N7" s="207">
        <f>_xlfn.XLOOKUP(F7,Onderhoud!$D$4:$D$32,Onderhoud!$Y$4:$Y$32,0)*M7</f>
        <v>422565.88652486273</v>
      </c>
      <c r="O7">
        <f t="shared" si="3"/>
        <v>185000</v>
      </c>
      <c r="P7" t="str">
        <f t="shared" si="4"/>
        <v>m2</v>
      </c>
      <c r="Q7" t="str">
        <f>_xlfn.XLOOKUP($F7,Onderhoud!$D$103:$D$129,Onderhoud!U$103:U$129,"")</f>
        <v>85% B</v>
      </c>
      <c r="R7" t="str">
        <f>_xlfn.XLOOKUP($F7,Onderhoud!$D$103:$D$129,Onderhoud!V$103:V$129,"")</f>
        <v>89% B</v>
      </c>
      <c r="S7" t="str">
        <f>_xlfn.XLOOKUP($F7,Onderhoud!$D$103:$D$129,Onderhoud!W$103:W$129,"")</f>
        <v>90%B</v>
      </c>
      <c r="V7">
        <f>_xlfn.XLOOKUP($F7,Onderhoud!$D$103:$D$133,Onderhoud!$I$103:$I$133)</f>
        <v>1</v>
      </c>
      <c r="W7" s="522">
        <f>_xlfn.XLOOKUP($F7,Onderhoud!$D$103:$D$133,Onderhoud!$J$103:$J$133)</f>
        <v>0.30494683568096775</v>
      </c>
      <c r="Z7">
        <f>_xlfn.XLOOKUP($F7,Onderhoud!$D$103:$D$133,Onderhoud!$M$103:$M$133)</f>
        <v>1</v>
      </c>
      <c r="AA7" s="522" cm="1">
        <f t="array" ref="AA7">_xlfn.XLOOKUP($F7,Onderhoud!$D$59:$D$91,_xlfn.XLOOKUP(TOTEX!$G7&amp;AA$2,Onderhoud!$F$57:$U$57,Onderhoud!$F$59:$U$91))/L7*_xlfn.XLOOKUP($F7,Onderhoud!$D$59:$D$91,Onderhoud!$AF$59:$AF$91)+Onderhoud!$N$135*J7</f>
        <v>2.4768202364612711E-2</v>
      </c>
      <c r="AD7" s="553">
        <f>_xlfn.XLOOKUP($F7,Onderhoud!$D$103:$D$133,Onderhoud!$Q$103:$Q$133)</f>
        <v>1</v>
      </c>
      <c r="AE7" s="522" cm="1">
        <f t="array" ref="AE7">_xlfn.XLOOKUP($F7,Onderhoud!$D$59:$D$91,_xlfn.XLOOKUP(TOTEX!$G7&amp;AA$2,Onderhoud!$F$57:$U$57,Onderhoud!$F$59:$U$91))/L7*_xlfn.XLOOKUP($F7,Onderhoud!$D$59:$D$91,Onderhoud!$W$59:$W$91)+Onderhoud!$R$135*J7</f>
        <v>0.32930571717337248</v>
      </c>
      <c r="AF7">
        <f>_xlfn.XLOOKUP($F7,Onderhoud!$D$103:$D$133,Onderhoud!$S$103:$S$133)</f>
        <v>1</v>
      </c>
      <c r="AG7" s="522" cm="1">
        <f t="array" ref="AG7">_xlfn.XLOOKUP($F7,Onderhoud!$D$59:$D$91,_xlfn.XLOOKUP(TOTEX!$G7&amp;AA$2,Onderhoud!$F$57:$U$57,Onderhoud!$F$59:$U$91))/L7*IF($AG$1,1,_xlfn.XLOOKUP($F7,Onderhoud!$D$59:$D$91,Onderhoud!$AG$59:$AG$91))+Onderhoud!$T$135*J7</f>
        <v>1.8963867273820687</v>
      </c>
      <c r="AH7">
        <f t="shared" si="5"/>
        <v>1</v>
      </c>
    </row>
    <row r="8" spans="1:38" x14ac:dyDescent="0.25">
      <c r="A8" t="s">
        <v>273</v>
      </c>
      <c r="B8" t="s">
        <v>274</v>
      </c>
      <c r="C8" t="s">
        <v>132</v>
      </c>
      <c r="D8" t="s">
        <v>133</v>
      </c>
      <c r="E8" t="s">
        <v>125</v>
      </c>
      <c r="F8" t="str">
        <f t="shared" si="0"/>
        <v xml:space="preserve">rijwegenasfalt </v>
      </c>
      <c r="G8" s="508" t="s">
        <v>278</v>
      </c>
      <c r="H8" cm="1">
        <f t="array" ref="H8">_xlfn.XLOOKUP($F8,Onderhoud!$D$59:$D$91,_xlfn.XLOOKUP(TOTEX!$G8&amp;H$2,Onderhoud!$F$57:$U$57,Onderhoud!$F$59:$U$91))</f>
        <v>235480.00000000003</v>
      </c>
      <c r="I8" t="s">
        <v>276</v>
      </c>
      <c r="J8" s="521" cm="1">
        <f t="array" ref="J8">_xlfn.XLOOKUP(F8,Onderhoud!$D$4:$D$32,_xlfn.XLOOKUP(TOTEX!G8&amp;J$2,Onderhoud!$F$2:$U$2,Onderhoud!$F$4:$U$32),0)</f>
        <v>117.7479</v>
      </c>
      <c r="K8" s="523">
        <f t="shared" si="1"/>
        <v>27727275.492000002</v>
      </c>
      <c r="L8" s="553" cm="1">
        <f t="array" ref="L8">_xlfn.XLOOKUP($F8,Onderhoud!$D$59:$D$91,_xlfn.XLOOKUP(TOTEX!$G8&amp;L$2,Onderhoud!$F$57:$U$57,Onderhoud!$F$59:$U$91))</f>
        <v>60</v>
      </c>
      <c r="M8" s="207">
        <f t="shared" si="2"/>
        <v>462121.25820000004</v>
      </c>
      <c r="N8" s="207">
        <f>_xlfn.XLOOKUP(F8,Onderhoud!$D$4:$D$32,Onderhoud!$Y$4:$Y$32,0)*M8</f>
        <v>388859.82193403703</v>
      </c>
      <c r="O8">
        <f t="shared" si="3"/>
        <v>235480.00000000003</v>
      </c>
      <c r="P8" t="str">
        <f t="shared" si="4"/>
        <v>m2</v>
      </c>
      <c r="Q8" t="str">
        <f>_xlfn.XLOOKUP($F8,Onderhoud!$D$103:$D$129,Onderhoud!U$103:U$129,"")</f>
        <v>85% B</v>
      </c>
      <c r="R8" t="str">
        <f>_xlfn.XLOOKUP($F8,Onderhoud!$D$103:$D$129,Onderhoud!V$103:V$129,"")</f>
        <v>82% B</v>
      </c>
      <c r="S8" t="str">
        <f>_xlfn.XLOOKUP($F8,Onderhoud!$D$103:$D$129,Onderhoud!W$103:W$129,"")</f>
        <v>90% B</v>
      </c>
      <c r="V8">
        <f>_xlfn.XLOOKUP($F8,Onderhoud!$D$103:$D$133,Onderhoud!$I$103:$I$133)</f>
        <v>1</v>
      </c>
      <c r="W8" s="522">
        <f>_xlfn.XLOOKUP($F8,Onderhoud!$D$103:$D$133,Onderhoud!$J$103:$J$133)</f>
        <v>0.2939538876219821</v>
      </c>
      <c r="Z8">
        <f>_xlfn.XLOOKUP($F8,Onderhoud!$D$103:$D$133,Onderhoud!$M$103:$M$133)</f>
        <v>1</v>
      </c>
      <c r="AA8" s="522" cm="1">
        <f t="array" ref="AA8">_xlfn.XLOOKUP($F8,Onderhoud!$D$59:$D$91,_xlfn.XLOOKUP(TOTEX!$G8&amp;AA$2,Onderhoud!$F$57:$U$57,Onderhoud!$F$59:$U$91))/L8*_xlfn.XLOOKUP($F8,Onderhoud!$D$59:$D$91,Onderhoud!$AF$59:$AF$91)+Onderhoud!$N$135*J8</f>
        <v>5.2989432294284232E-2</v>
      </c>
      <c r="AD8" s="553">
        <f>_xlfn.XLOOKUP($F8,Onderhoud!$D$103:$D$133,Onderhoud!$Q$103:$Q$133)</f>
        <v>1</v>
      </c>
      <c r="AE8" s="522" cm="1">
        <f t="array" ref="AE8">_xlfn.XLOOKUP($F8,Onderhoud!$D$59:$D$91,_xlfn.XLOOKUP(TOTEX!$G8&amp;AA$2,Onderhoud!$F$57:$U$57,Onderhoud!$F$59:$U$91))/L8*_xlfn.XLOOKUP($F8,Onderhoud!$D$59:$D$91,Onderhoud!$W$59:$W$91)+Onderhoud!$R$135*J8</f>
        <v>0.23608746212624049</v>
      </c>
      <c r="AF8">
        <f>_xlfn.XLOOKUP($F8,Onderhoud!$D$103:$D$133,Onderhoud!$S$103:$S$133)</f>
        <v>1</v>
      </c>
      <c r="AG8" s="522" cm="1">
        <f t="array" ref="AG8">_xlfn.XLOOKUP($F8,Onderhoud!$D$59:$D$91,_xlfn.XLOOKUP(TOTEX!$G8&amp;AA$2,Onderhoud!$F$57:$U$57,Onderhoud!$F$59:$U$91))/L8*IF($AG$1,1,_xlfn.XLOOKUP($F8,Onderhoud!$D$59:$D$91,Onderhoud!$AG$59:$AG$91))+Onderhoud!$T$135*J8</f>
        <v>1.7301332389717592</v>
      </c>
      <c r="AH8">
        <f t="shared" si="5"/>
        <v>1</v>
      </c>
      <c r="AI8" s="522">
        <f>SUM(Onderhoud!V63:V76)</f>
        <v>21188939.740280759</v>
      </c>
      <c r="AJ8" t="s">
        <v>279</v>
      </c>
    </row>
    <row r="9" spans="1:38" x14ac:dyDescent="0.25">
      <c r="A9" t="s">
        <v>273</v>
      </c>
      <c r="B9" t="s">
        <v>274</v>
      </c>
      <c r="C9" t="s">
        <v>132</v>
      </c>
      <c r="D9" t="s">
        <v>133</v>
      </c>
      <c r="E9" t="s">
        <v>134</v>
      </c>
      <c r="F9" t="str">
        <f t="shared" si="0"/>
        <v>rijwegenbetonstraatstenen</v>
      </c>
      <c r="G9" s="508" t="s">
        <v>278</v>
      </c>
      <c r="H9" cm="1">
        <f t="array" ref="H9">_xlfn.XLOOKUP($F9,Onderhoud!$D$59:$D$91,_xlfn.XLOOKUP(TOTEX!$G9&amp;H$2,Onderhoud!$F$57:$U$57,Onderhoud!$F$59:$U$91))</f>
        <v>1159480</v>
      </c>
      <c r="I9" t="s">
        <v>276</v>
      </c>
      <c r="J9" s="521" cm="1">
        <f t="array" ref="J9">_xlfn.XLOOKUP(F9,Onderhoud!$D$4:$D$32,_xlfn.XLOOKUP(TOTEX!G9&amp;J$2,Onderhoud!$F$2:$U$2,Onderhoud!$F$4:$U$32),0)</f>
        <v>78.732300000000009</v>
      </c>
      <c r="K9" s="523">
        <f t="shared" si="1"/>
        <v>91288527.204000011</v>
      </c>
      <c r="L9" s="553" cm="1">
        <f t="array" ref="L9">_xlfn.XLOOKUP($F9,Onderhoud!$D$59:$D$91,_xlfn.XLOOKUP(TOTEX!$G9&amp;L$2,Onderhoud!$F$57:$U$57,Onderhoud!$F$59:$U$91))</f>
        <v>60</v>
      </c>
      <c r="M9" s="207">
        <f t="shared" si="2"/>
        <v>1521475.4534000002</v>
      </c>
      <c r="N9" s="207">
        <f>_xlfn.XLOOKUP(F9,Onderhoud!$D$4:$D$32,Onderhoud!$Y$4:$Y$32,0)*M9</f>
        <v>1280271.4945220677</v>
      </c>
      <c r="O9">
        <f t="shared" si="3"/>
        <v>1159480</v>
      </c>
      <c r="P9" t="str">
        <f t="shared" si="4"/>
        <v>m2</v>
      </c>
      <c r="Q9" t="str">
        <f>_xlfn.XLOOKUP($F9,Onderhoud!$D$103:$D$129,Onderhoud!U$103:U$129,"")</f>
        <v>85% B</v>
      </c>
      <c r="R9" t="str">
        <f>_xlfn.XLOOKUP($F9,Onderhoud!$D$103:$D$129,Onderhoud!V$103:V$129,"")</f>
        <v>82% B</v>
      </c>
      <c r="S9" t="str">
        <f>_xlfn.XLOOKUP($F9,Onderhoud!$D$103:$D$129,Onderhoud!W$103:W$129,"")</f>
        <v>90% B</v>
      </c>
      <c r="V9">
        <f>_xlfn.XLOOKUP($F9,Onderhoud!$D$103:$D$133,Onderhoud!$I$103:$I$133)</f>
        <v>1</v>
      </c>
      <c r="W9" s="522">
        <f>_xlfn.XLOOKUP($F9,Onderhoud!$D$103:$D$133,Onderhoud!$J$103:$J$133)</f>
        <v>0.19655268303231044</v>
      </c>
      <c r="Z9">
        <f>_xlfn.XLOOKUP($F9,Onderhoud!$D$103:$D$133,Onderhoud!$M$103:$M$133)</f>
        <v>1</v>
      </c>
      <c r="AA9" s="522" cm="1">
        <f t="array" ref="AA9">_xlfn.XLOOKUP($F9,Onderhoud!$D$59:$D$91,_xlfn.XLOOKUP(TOTEX!$G9&amp;AA$2,Onderhoud!$F$57:$U$57,Onderhoud!$F$59:$U$91))/L9*_xlfn.XLOOKUP($F9,Onderhoud!$D$59:$D$91,Onderhoud!$AF$59:$AF$91)+Onderhoud!$N$135*J9</f>
        <v>1.7596405550723979E-2</v>
      </c>
      <c r="AD9" s="553">
        <f>_xlfn.XLOOKUP($F9,Onderhoud!$D$103:$D$133,Onderhoud!$Q$103:$Q$133)</f>
        <v>1</v>
      </c>
      <c r="AE9" s="522" cm="1">
        <f t="array" ref="AE9">_xlfn.XLOOKUP($F9,Onderhoud!$D$59:$D$91,_xlfn.XLOOKUP(TOTEX!$G9&amp;AA$2,Onderhoud!$F$57:$U$57,Onderhoud!$F$59:$U$91))/L9*_xlfn.XLOOKUP($F9,Onderhoud!$D$59:$D$91,Onderhoud!$W$59:$W$91)+Onderhoud!$R$135*J9</f>
        <v>0.18027437457641968</v>
      </c>
      <c r="AF9">
        <f>_xlfn.XLOOKUP($F9,Onderhoud!$D$103:$D$133,Onderhoud!$S$103:$S$133)</f>
        <v>1</v>
      </c>
      <c r="AG9" s="522" cm="1">
        <f t="array" ref="AG9">_xlfn.XLOOKUP($F9,Onderhoud!$D$59:$D$91,_xlfn.XLOOKUP(TOTEX!$G9&amp;AA$2,Onderhoud!$F$57:$U$57,Onderhoud!$F$59:$U$91))/L9*IF($AG$1,1,_xlfn.XLOOKUP($F9,Onderhoud!$D$59:$D$91,Onderhoud!$AG$59:$AG$91))+Onderhoud!$T$135*J9</f>
        <v>1.0395753100029492</v>
      </c>
      <c r="AH9">
        <f t="shared" si="5"/>
        <v>1</v>
      </c>
    </row>
    <row r="10" spans="1:38" x14ac:dyDescent="0.25">
      <c r="A10" t="s">
        <v>273</v>
      </c>
      <c r="B10" t="s">
        <v>274</v>
      </c>
      <c r="C10" t="s">
        <v>132</v>
      </c>
      <c r="D10" t="s">
        <v>133</v>
      </c>
      <c r="E10" t="s">
        <v>135</v>
      </c>
      <c r="F10" t="str">
        <f t="shared" si="0"/>
        <v>rijwegenstraatbakstenen</v>
      </c>
      <c r="G10" s="508" t="s">
        <v>278</v>
      </c>
      <c r="H10" cm="1">
        <f t="array" ref="H10">_xlfn.XLOOKUP($F10,Onderhoud!$D$59:$D$91,_xlfn.XLOOKUP(TOTEX!$G10&amp;H$2,Onderhoud!$F$57:$U$57,Onderhoud!$F$59:$U$91))</f>
        <v>206360.00000000003</v>
      </c>
      <c r="I10" t="s">
        <v>276</v>
      </c>
      <c r="J10" s="521" cm="1">
        <f t="array" ref="J10">_xlfn.XLOOKUP(F10,Onderhoud!$D$4:$D$32,_xlfn.XLOOKUP(TOTEX!G10&amp;J$2,Onderhoud!$F$2:$U$2,Onderhoud!$F$4:$U$32),0)</f>
        <v>91.241400000000013</v>
      </c>
      <c r="K10" s="523">
        <f t="shared" si="1"/>
        <v>18828575.304000005</v>
      </c>
      <c r="L10" s="553" cm="1">
        <f t="array" ref="L10">_xlfn.XLOOKUP($F10,Onderhoud!$D$59:$D$91,_xlfn.XLOOKUP(TOTEX!$G10&amp;L$2,Onderhoud!$F$57:$U$57,Onderhoud!$F$59:$U$91))</f>
        <v>60</v>
      </c>
      <c r="M10" s="207">
        <f t="shared" si="2"/>
        <v>313809.58840000007</v>
      </c>
      <c r="N10" s="207">
        <f>_xlfn.XLOOKUP(F10,Onderhoud!$D$4:$D$32,Onderhoud!$Y$4:$Y$32,0)*M10</f>
        <v>264060.43544009695</v>
      </c>
      <c r="O10">
        <f t="shared" si="3"/>
        <v>206360.00000000003</v>
      </c>
      <c r="P10" t="str">
        <f t="shared" si="4"/>
        <v>m2</v>
      </c>
      <c r="Q10" t="str">
        <f>_xlfn.XLOOKUP($F10,Onderhoud!$D$103:$D$129,Onderhoud!U$103:U$129,"")</f>
        <v>85% B</v>
      </c>
      <c r="R10" t="str">
        <f>_xlfn.XLOOKUP($F10,Onderhoud!$D$103:$D$129,Onderhoud!V$103:V$129,"")</f>
        <v>82% B</v>
      </c>
      <c r="S10" t="str">
        <f>_xlfn.XLOOKUP($F10,Onderhoud!$D$103:$D$129,Onderhoud!W$103:W$129,"")</f>
        <v>90% B</v>
      </c>
      <c r="V10">
        <f>_xlfn.XLOOKUP($F10,Onderhoud!$D$103:$D$133,Onderhoud!$I$103:$I$133)</f>
        <v>1</v>
      </c>
      <c r="W10" s="522">
        <f>_xlfn.XLOOKUP($F10,Onderhoud!$D$103:$D$133,Onderhoud!$J$103:$J$133)</f>
        <v>0.22778125335630039</v>
      </c>
      <c r="Z10">
        <f>_xlfn.XLOOKUP($F10,Onderhoud!$D$103:$D$133,Onderhoud!$M$103:$M$133)</f>
        <v>1</v>
      </c>
      <c r="AA10" s="522" cm="1">
        <f t="array" ref="AA10">_xlfn.XLOOKUP($F10,Onderhoud!$D$59:$D$91,_xlfn.XLOOKUP(TOTEX!$G10&amp;AA$2,Onderhoud!$F$57:$U$57,Onderhoud!$F$59:$U$91))/L10*_xlfn.XLOOKUP($F10,Onderhoud!$D$59:$D$91,Onderhoud!$AF$59:$AF$91)+Onderhoud!$N$135*J10</f>
        <v>2.6347537406019791E-2</v>
      </c>
      <c r="AD10" s="553">
        <f>_xlfn.XLOOKUP($F10,Onderhoud!$D$103:$D$133,Onderhoud!$Q$103:$Q$133)</f>
        <v>1</v>
      </c>
      <c r="AE10" s="522" cm="1">
        <f t="array" ref="AE10">_xlfn.XLOOKUP($F10,Onderhoud!$D$59:$D$91,_xlfn.XLOOKUP(TOTEX!$G10&amp;AA$2,Onderhoud!$F$57:$U$57,Onderhoud!$F$59:$U$91))/L10*_xlfn.XLOOKUP($F10,Onderhoud!$D$59:$D$91,Onderhoud!$W$59:$W$91)+Onderhoud!$R$135*J10</f>
        <v>0.35522656524103752</v>
      </c>
      <c r="AF10">
        <f>_xlfn.XLOOKUP($F10,Onderhoud!$D$103:$D$133,Onderhoud!$S$103:$S$133)</f>
        <v>1</v>
      </c>
      <c r="AG10" s="522" cm="1">
        <f t="array" ref="AG10">_xlfn.XLOOKUP($F10,Onderhoud!$D$59:$D$91,_xlfn.XLOOKUP(TOTEX!$G10&amp;AA$2,Onderhoud!$F$57:$U$57,Onderhoud!$F$59:$U$91))/L10*IF($AG$1,1,_xlfn.XLOOKUP($F10,Onderhoud!$D$59:$D$91,Onderhoud!$AG$59:$AG$91))+Onderhoud!$T$135*J10</f>
        <v>2.0408013231685485</v>
      </c>
      <c r="AH10">
        <f t="shared" si="5"/>
        <v>1</v>
      </c>
    </row>
    <row r="11" spans="1:38" x14ac:dyDescent="0.25">
      <c r="A11" t="s">
        <v>273</v>
      </c>
      <c r="B11" t="s">
        <v>274</v>
      </c>
      <c r="C11" t="s">
        <v>132</v>
      </c>
      <c r="D11" t="s">
        <v>133</v>
      </c>
      <c r="E11" t="s">
        <v>136</v>
      </c>
      <c r="F11" t="str">
        <f t="shared" si="0"/>
        <v>rijwegenbetonstraatstenen - wpv</v>
      </c>
      <c r="G11" s="508" t="s">
        <v>278</v>
      </c>
      <c r="H11" cm="1">
        <f t="array" ref="H11">_xlfn.XLOOKUP($F11,Onderhoud!$D$59:$D$91,_xlfn.XLOOKUP(TOTEX!$G11&amp;H$2,Onderhoud!$F$57:$U$57,Onderhoud!$F$59:$U$91))</f>
        <v>48160.000000000007</v>
      </c>
      <c r="I11" t="s">
        <v>276</v>
      </c>
      <c r="J11" s="521" cm="1">
        <f t="array" ref="J11">_xlfn.XLOOKUP(F11,Onderhoud!$D$4:$D$32,_xlfn.XLOOKUP(TOTEX!G11&amp;J$2,Onderhoud!$F$2:$U$2,Onderhoud!$F$4:$U$32),0)</f>
        <v>83.418599999999984</v>
      </c>
      <c r="K11" s="523">
        <f t="shared" si="1"/>
        <v>4017439.7759999996</v>
      </c>
      <c r="L11" s="553" cm="1">
        <f t="array" ref="L11">_xlfn.XLOOKUP($F11,Onderhoud!$D$59:$D$91,_xlfn.XLOOKUP(TOTEX!$G11&amp;L$2,Onderhoud!$F$57:$U$57,Onderhoud!$F$59:$U$91))</f>
        <v>60</v>
      </c>
      <c r="M11" s="207">
        <f t="shared" si="2"/>
        <v>66957.329599999997</v>
      </c>
      <c r="N11" s="207">
        <f>_xlfn.XLOOKUP(F11,Onderhoud!$D$4:$D$32,Onderhoud!$Y$4:$Y$32,0)*M11</f>
        <v>56342.388071154572</v>
      </c>
      <c r="O11">
        <f t="shared" si="3"/>
        <v>48160.000000000007</v>
      </c>
      <c r="P11" t="str">
        <f t="shared" si="4"/>
        <v>m2</v>
      </c>
      <c r="Q11" t="str">
        <f>_xlfn.XLOOKUP($F11,Onderhoud!$D$103:$D$129,Onderhoud!U$103:U$129,"")</f>
        <v>85% B</v>
      </c>
      <c r="R11" t="str">
        <f>_xlfn.XLOOKUP($F11,Onderhoud!$D$103:$D$129,Onderhoud!V$103:V$129,"")</f>
        <v>82% B</v>
      </c>
      <c r="S11" t="str">
        <f>_xlfn.XLOOKUP($F11,Onderhoud!$D$103:$D$129,Onderhoud!W$103:W$129,"")</f>
        <v>90% B</v>
      </c>
      <c r="V11">
        <f>_xlfn.XLOOKUP($F11,Onderhoud!$D$103:$D$133,Onderhoud!$I$103:$I$133)</f>
        <v>1</v>
      </c>
      <c r="W11" s="522">
        <f>_xlfn.XLOOKUP($F11,Onderhoud!$D$103:$D$133,Onderhoud!$J$103:$J$133)</f>
        <v>0.2082518819442476</v>
      </c>
      <c r="Z11">
        <f>_xlfn.XLOOKUP($F11,Onderhoud!$D$103:$D$133,Onderhoud!$M$103:$M$133)</f>
        <v>1</v>
      </c>
      <c r="AA11" s="522" cm="1">
        <f t="array" ref="AA11">_xlfn.XLOOKUP($F11,Onderhoud!$D$59:$D$91,_xlfn.XLOOKUP(TOTEX!$G11&amp;AA$2,Onderhoud!$F$57:$U$57,Onderhoud!$F$59:$U$91))/L11*_xlfn.XLOOKUP($F11,Onderhoud!$D$59:$D$91,Onderhoud!$AF$59:$AF$91)+Onderhoud!$N$135*J11</f>
        <v>0.23259556146732854</v>
      </c>
      <c r="AD11" s="553">
        <f>_xlfn.XLOOKUP($F11,Onderhoud!$D$103:$D$133,Onderhoud!$Q$103:$Q$133)</f>
        <v>1</v>
      </c>
      <c r="AE11" s="522" cm="1">
        <f t="array" ref="AE11">_xlfn.XLOOKUP($F11,Onderhoud!$D$59:$D$91,_xlfn.XLOOKUP(TOTEX!$G11&amp;AA$2,Onderhoud!$F$57:$U$57,Onderhoud!$F$59:$U$91))/L11*_xlfn.XLOOKUP($F11,Onderhoud!$D$59:$D$91,Onderhoud!$W$59:$W$91)+Onderhoud!$R$135*J11</f>
        <v>0.41632947107909357</v>
      </c>
      <c r="AF11">
        <f>_xlfn.XLOOKUP($F11,Onderhoud!$D$103:$D$133,Onderhoud!$S$103:$S$133)</f>
        <v>1</v>
      </c>
      <c r="AG11" s="522" cm="1">
        <f t="array" ref="AG11">_xlfn.XLOOKUP($F11,Onderhoud!$D$59:$D$91,_xlfn.XLOOKUP(TOTEX!$G11&amp;AA$2,Onderhoud!$F$57:$U$57,Onderhoud!$F$59:$U$91))/L11*IF($AG$1,1,_xlfn.XLOOKUP($F11,Onderhoud!$D$59:$D$91,Onderhoud!$AG$59:$AG$91))+Onderhoud!$T$135*J11</f>
        <v>2.389023226439619</v>
      </c>
      <c r="AH11">
        <f t="shared" si="5"/>
        <v>1</v>
      </c>
    </row>
    <row r="12" spans="1:38" x14ac:dyDescent="0.25">
      <c r="A12" t="s">
        <v>273</v>
      </c>
      <c r="B12" t="s">
        <v>274</v>
      </c>
      <c r="C12" t="s">
        <v>132</v>
      </c>
      <c r="D12" t="s">
        <v>137</v>
      </c>
      <c r="E12" t="s">
        <v>134</v>
      </c>
      <c r="F12" t="str">
        <f t="shared" si="0"/>
        <v>parkeervakkenbetonstraatstenen</v>
      </c>
      <c r="G12" s="508" t="s">
        <v>278</v>
      </c>
      <c r="H12" cm="1">
        <f t="array" ref="H12">_xlfn.XLOOKUP($F12,Onderhoud!$D$59:$D$91,_xlfn.XLOOKUP(TOTEX!$G12&amp;H$2,Onderhoud!$F$57:$U$57,Onderhoud!$F$59:$U$91))</f>
        <v>572600</v>
      </c>
      <c r="I12" t="s">
        <v>276</v>
      </c>
      <c r="J12" s="521" cm="1">
        <f t="array" ref="J12">_xlfn.XLOOKUP(F12,Onderhoud!$D$4:$D$32,_xlfn.XLOOKUP(TOTEX!G12&amp;J$2,Onderhoud!$F$2:$U$2,Onderhoud!$F$4:$U$32),0)</f>
        <v>62.38393604787592</v>
      </c>
      <c r="K12" s="523">
        <f t="shared" si="1"/>
        <v>35721041.78101375</v>
      </c>
      <c r="L12" s="553" cm="1">
        <f t="array" ref="L12">_xlfn.XLOOKUP($F12,Onderhoud!$D$59:$D$91,_xlfn.XLOOKUP(TOTEX!$G12&amp;L$2,Onderhoud!$F$57:$U$57,Onderhoud!$F$59:$U$91))</f>
        <v>60</v>
      </c>
      <c r="M12" s="207">
        <f t="shared" si="2"/>
        <v>595350.69635022921</v>
      </c>
      <c r="N12" s="207">
        <f>_xlfn.XLOOKUP(F12,Onderhoud!$D$4:$D$32,Onderhoud!$Y$4:$Y$32,0)*M12</f>
        <v>500968.00712608953</v>
      </c>
      <c r="O12">
        <f t="shared" si="3"/>
        <v>572600</v>
      </c>
      <c r="P12" t="str">
        <f t="shared" si="4"/>
        <v>m2</v>
      </c>
      <c r="Q12" t="str">
        <f>_xlfn.XLOOKUP($F12,Onderhoud!$D$103:$D$129,Onderhoud!U$103:U$129,"")</f>
        <v>85% B</v>
      </c>
      <c r="R12" t="str">
        <f>_xlfn.XLOOKUP($F12,Onderhoud!$D$103:$D$129,Onderhoud!V$103:V$129,"")</f>
        <v>82% B</v>
      </c>
      <c r="S12" t="str">
        <f>_xlfn.XLOOKUP($F12,Onderhoud!$D$103:$D$129,Onderhoud!W$103:W$129,"")</f>
        <v>90% B</v>
      </c>
      <c r="V12">
        <f>_xlfn.XLOOKUP($F12,Onderhoud!$D$103:$D$133,Onderhoud!$I$103:$I$133)</f>
        <v>1</v>
      </c>
      <c r="W12" s="522">
        <f>_xlfn.XLOOKUP($F12,Onderhoud!$D$103:$D$133,Onderhoud!$J$103:$J$133)</f>
        <v>0.15573951235167879</v>
      </c>
      <c r="Z12">
        <f>_xlfn.XLOOKUP($F12,Onderhoud!$D$103:$D$133,Onderhoud!$M$103:$M$133)</f>
        <v>1</v>
      </c>
      <c r="AA12" s="522" cm="1">
        <f t="array" ref="AA12">_xlfn.XLOOKUP($F12,Onderhoud!$D$59:$D$91,_xlfn.XLOOKUP(TOTEX!$G12&amp;AA$2,Onderhoud!$F$57:$U$57,Onderhoud!$F$59:$U$91))/L12*_xlfn.XLOOKUP($F12,Onderhoud!$D$59:$D$91,Onderhoud!$AF$59:$AF$91)+Onderhoud!$N$135*J12</f>
        <v>1.6200152383737933E-2</v>
      </c>
      <c r="AD12" s="553">
        <f>_xlfn.XLOOKUP($F12,Onderhoud!$D$103:$D$133,Onderhoud!$Q$103:$Q$133)</f>
        <v>1</v>
      </c>
      <c r="AE12" s="522" cm="1">
        <f t="array" ref="AE12">_xlfn.XLOOKUP($F12,Onderhoud!$D$59:$D$91,_xlfn.XLOOKUP(TOTEX!$G12&amp;AA$2,Onderhoud!$F$57:$U$57,Onderhoud!$F$59:$U$91))/L12*_xlfn.XLOOKUP($F12,Onderhoud!$D$59:$D$91,Onderhoud!$W$59:$W$91)+Onderhoud!$R$135*J12</f>
        <v>0.154196875598926</v>
      </c>
      <c r="AF12">
        <f>_xlfn.XLOOKUP($F12,Onderhoud!$D$103:$D$133,Onderhoud!$S$103:$S$133)</f>
        <v>1</v>
      </c>
      <c r="AG12" s="522" cm="1">
        <f t="array" ref="AG12">_xlfn.XLOOKUP($F12,Onderhoud!$D$59:$D$91,_xlfn.XLOOKUP(TOTEX!$G12&amp;AA$2,Onderhoud!$F$57:$U$57,Onderhoud!$F$59:$U$91))/L12*IF($AG$1,1,_xlfn.XLOOKUP($F12,Onderhoud!$D$59:$D$91,Onderhoud!$AG$59:$AG$91))+Onderhoud!$T$135*J12</f>
        <v>0.88860168690263164</v>
      </c>
      <c r="AH12">
        <f t="shared" si="5"/>
        <v>1</v>
      </c>
    </row>
    <row r="13" spans="1:38" x14ac:dyDescent="0.25">
      <c r="A13" t="s">
        <v>273</v>
      </c>
      <c r="B13" t="s">
        <v>274</v>
      </c>
      <c r="C13" t="s">
        <v>132</v>
      </c>
      <c r="D13" t="s">
        <v>137</v>
      </c>
      <c r="E13" t="s">
        <v>135</v>
      </c>
      <c r="F13" t="str">
        <f t="shared" si="0"/>
        <v>parkeervakkenstraatbakstenen</v>
      </c>
      <c r="G13" s="508" t="s">
        <v>278</v>
      </c>
      <c r="H13" cm="1">
        <f t="array" ref="H13">_xlfn.XLOOKUP($F13,Onderhoud!$D$59:$D$91,_xlfn.XLOOKUP(TOTEX!$G13&amp;H$2,Onderhoud!$F$57:$U$57,Onderhoud!$F$59:$U$91))</f>
        <v>78400.000000000015</v>
      </c>
      <c r="I13" t="s">
        <v>276</v>
      </c>
      <c r="J13" s="521" cm="1">
        <f t="array" ref="J13">_xlfn.XLOOKUP(F13,Onderhoud!$D$4:$D$32,_xlfn.XLOOKUP(TOTEX!G13&amp;J$2,Onderhoud!$F$2:$U$2,Onderhoud!$F$4:$U$32),0)</f>
        <v>73.742133656128019</v>
      </c>
      <c r="K13" s="523">
        <f t="shared" si="1"/>
        <v>5781383.2786404379</v>
      </c>
      <c r="L13" s="553" cm="1">
        <f t="array" ref="L13">_xlfn.XLOOKUP($F13,Onderhoud!$D$59:$D$91,_xlfn.XLOOKUP(TOTEX!$G13&amp;L$2,Onderhoud!$F$57:$U$57,Onderhoud!$F$59:$U$91))</f>
        <v>60</v>
      </c>
      <c r="M13" s="207">
        <f t="shared" si="2"/>
        <v>96356.387977340637</v>
      </c>
      <c r="N13" s="207">
        <f>_xlfn.XLOOKUP(F13,Onderhoud!$D$4:$D$32,Onderhoud!$Y$4:$Y$32,0)*M13</f>
        <v>81080.727636337208</v>
      </c>
      <c r="O13">
        <f t="shared" si="3"/>
        <v>78400.000000000015</v>
      </c>
      <c r="P13" t="str">
        <f t="shared" si="4"/>
        <v>m2</v>
      </c>
      <c r="Q13" t="str">
        <f>_xlfn.XLOOKUP($F13,Onderhoud!$D$103:$D$129,Onderhoud!U$103:U$129,"")</f>
        <v>85% B</v>
      </c>
      <c r="R13" t="str">
        <f>_xlfn.XLOOKUP($F13,Onderhoud!$D$103:$D$129,Onderhoud!V$103:V$129,"")</f>
        <v>82% B</v>
      </c>
      <c r="S13" t="str">
        <f>_xlfn.XLOOKUP($F13,Onderhoud!$D$103:$D$129,Onderhoud!W$103:W$129,"")</f>
        <v>90% B</v>
      </c>
      <c r="V13">
        <f>_xlfn.XLOOKUP($F13,Onderhoud!$D$103:$D$133,Onderhoud!$I$103:$I$133)</f>
        <v>1</v>
      </c>
      <c r="W13" s="522">
        <f>_xlfn.XLOOKUP($F13,Onderhoud!$D$103:$D$133,Onderhoud!$J$103:$J$133)</f>
        <v>0.18409489145673627</v>
      </c>
      <c r="Z13">
        <f>_xlfn.XLOOKUP($F13,Onderhoud!$D$103:$D$133,Onderhoud!$M$103:$M$133)</f>
        <v>1</v>
      </c>
      <c r="AA13" s="522" cm="1">
        <f t="array" ref="AA13">_xlfn.XLOOKUP($F13,Onderhoud!$D$59:$D$91,_xlfn.XLOOKUP(TOTEX!$G13&amp;AA$2,Onderhoud!$F$57:$U$57,Onderhoud!$F$59:$U$91))/L13*_xlfn.XLOOKUP($F13,Onderhoud!$D$59:$D$91,Onderhoud!$AF$59:$AF$91)+Onderhoud!$N$135*J13</f>
        <v>2.6517124476945889E-2</v>
      </c>
      <c r="AD13" s="553">
        <f>_xlfn.XLOOKUP($F13,Onderhoud!$D$103:$D$133,Onderhoud!$Q$103:$Q$133)</f>
        <v>1</v>
      </c>
      <c r="AE13" s="522" cm="1">
        <f t="array" ref="AE13">_xlfn.XLOOKUP($F13,Onderhoud!$D$59:$D$91,_xlfn.XLOOKUP(TOTEX!$G13&amp;AA$2,Onderhoud!$F$57:$U$57,Onderhoud!$F$59:$U$91))/L13*_xlfn.XLOOKUP($F13,Onderhoud!$D$59:$D$91,Onderhoud!$W$59:$W$91)+Onderhoud!$R$135*J13</f>
        <v>0.19666397252954695</v>
      </c>
      <c r="AF13">
        <f>_xlfn.XLOOKUP($F13,Onderhoud!$D$103:$D$133,Onderhoud!$S$103:$S$133)</f>
        <v>1</v>
      </c>
      <c r="AG13" s="522" cm="1">
        <f t="array" ref="AG13">_xlfn.XLOOKUP($F13,Onderhoud!$D$59:$D$91,_xlfn.XLOOKUP(TOTEX!$G13&amp;AA$2,Onderhoud!$F$57:$U$57,Onderhoud!$F$59:$U$91))/L13*IF($AG$1,1,_xlfn.XLOOKUP($F13,Onderhoud!$D$59:$D$91,Onderhoud!$AG$59:$AG$91))+Onderhoud!$T$135*J13</f>
        <v>1.7727084631383432</v>
      </c>
      <c r="AH13">
        <f t="shared" si="5"/>
        <v>1</v>
      </c>
    </row>
    <row r="14" spans="1:38" x14ac:dyDescent="0.25">
      <c r="A14" t="s">
        <v>273</v>
      </c>
      <c r="B14" t="s">
        <v>274</v>
      </c>
      <c r="C14" t="s">
        <v>132</v>
      </c>
      <c r="D14" t="s">
        <v>137</v>
      </c>
      <c r="E14" t="s">
        <v>125</v>
      </c>
      <c r="F14" t="str">
        <f t="shared" si="0"/>
        <v xml:space="preserve">parkeervakkenasfalt </v>
      </c>
      <c r="G14" s="508" t="s">
        <v>278</v>
      </c>
      <c r="H14" cm="1">
        <f t="array" ref="H14">_xlfn.XLOOKUP($F14,Onderhoud!$D$59:$D$91,_xlfn.XLOOKUP(TOTEX!$G14&amp;H$2,Onderhoud!$F$57:$U$57,Onderhoud!$F$59:$U$91))</f>
        <v>34440</v>
      </c>
      <c r="I14" t="s">
        <v>276</v>
      </c>
      <c r="J14" s="521" cm="1">
        <f t="array" ref="J14">_xlfn.XLOOKUP(F14,Onderhoud!$D$4:$D$32,_xlfn.XLOOKUP(TOTEX!G14&amp;J$2,Onderhoud!$F$2:$U$2,Onderhoud!$F$4:$U$32),0)</f>
        <v>117.7479</v>
      </c>
      <c r="K14" s="523">
        <f t="shared" si="1"/>
        <v>4055237.676</v>
      </c>
      <c r="L14" s="553" cm="1">
        <f t="array" ref="L14">_xlfn.XLOOKUP($F14,Onderhoud!$D$59:$D$91,_xlfn.XLOOKUP(TOTEX!$G14&amp;L$2,Onderhoud!$F$57:$U$57,Onderhoud!$F$59:$U$91))</f>
        <v>60</v>
      </c>
      <c r="M14" s="207">
        <f t="shared" si="2"/>
        <v>67587.294599999994</v>
      </c>
      <c r="N14" s="207">
        <f>_xlfn.XLOOKUP(F14,Onderhoud!$D$4:$D$32,Onderhoud!$Y$4:$Y$32,0)*M14</f>
        <v>56872.482875013731</v>
      </c>
      <c r="O14">
        <f t="shared" si="3"/>
        <v>34440</v>
      </c>
      <c r="P14" t="str">
        <f t="shared" si="4"/>
        <v>m2</v>
      </c>
      <c r="Q14" t="str">
        <f>_xlfn.XLOOKUP($F14,Onderhoud!$D$103:$D$129,Onderhoud!U$103:U$129,"")</f>
        <v>85% B</v>
      </c>
      <c r="R14" t="str">
        <f>_xlfn.XLOOKUP($F14,Onderhoud!$D$103:$D$129,Onderhoud!V$103:V$129,"")</f>
        <v>82% B</v>
      </c>
      <c r="S14" t="str">
        <f>_xlfn.XLOOKUP($F14,Onderhoud!$D$103:$D$129,Onderhoud!W$103:W$129,"")</f>
        <v>90% B</v>
      </c>
      <c r="V14">
        <f>_xlfn.XLOOKUP($F14,Onderhoud!$D$103:$D$133,Onderhoud!$I$103:$I$133)</f>
        <v>1</v>
      </c>
      <c r="W14" s="522">
        <f>_xlfn.XLOOKUP($F14,Onderhoud!$D$103:$D$133,Onderhoud!$J$103:$J$133)</f>
        <v>0.2939538876219821</v>
      </c>
      <c r="Z14">
        <f>_xlfn.XLOOKUP($F14,Onderhoud!$D$103:$D$133,Onderhoud!$M$103:$M$133)</f>
        <v>1</v>
      </c>
      <c r="AA14" s="522" cm="1">
        <f t="array" ref="AA14">_xlfn.XLOOKUP($F14,Onderhoud!$D$59:$D$91,_xlfn.XLOOKUP(TOTEX!$G14&amp;AA$2,Onderhoud!$F$57:$U$57,Onderhoud!$F$59:$U$91))/L14*_xlfn.XLOOKUP($F14,Onderhoud!$D$59:$D$91,Onderhoud!$AF$59:$AF$91)+Onderhoud!$N$135*J14</f>
        <v>2.5808159967550155E-2</v>
      </c>
      <c r="AD14" s="553">
        <f>_xlfn.XLOOKUP($F14,Onderhoud!$D$103:$D$133,Onderhoud!$Q$103:$Q$133)</f>
        <v>1</v>
      </c>
      <c r="AE14" s="522" cm="1">
        <f t="array" ref="AE14">_xlfn.XLOOKUP($F14,Onderhoud!$D$59:$D$91,_xlfn.XLOOKUP(TOTEX!$G14&amp;AA$2,Onderhoud!$F$57:$U$57,Onderhoud!$F$59:$U$91))/L14*_xlfn.XLOOKUP($F14,Onderhoud!$D$59:$D$91,Onderhoud!$W$59:$W$91)+Onderhoud!$R$135*J14</f>
        <v>0.23608746212624049</v>
      </c>
      <c r="AF14">
        <f>_xlfn.XLOOKUP($F14,Onderhoud!$D$103:$D$133,Onderhoud!$S$103:$S$133)</f>
        <v>1</v>
      </c>
      <c r="AG14" s="522" cm="1">
        <f t="array" ref="AG14">_xlfn.XLOOKUP($F14,Onderhoud!$D$59:$D$91,_xlfn.XLOOKUP(TOTEX!$G14&amp;AA$2,Onderhoud!$F$57:$U$57,Onderhoud!$F$59:$U$91))/L14*IF($AG$1,1,_xlfn.XLOOKUP($F14,Onderhoud!$D$59:$D$91,Onderhoud!$AG$59:$AG$91))+Onderhoud!$T$135*J14</f>
        <v>1.7301332389717592</v>
      </c>
      <c r="AH14">
        <f t="shared" si="5"/>
        <v>1</v>
      </c>
    </row>
    <row r="15" spans="1:38" x14ac:dyDescent="0.25">
      <c r="A15" t="s">
        <v>273</v>
      </c>
      <c r="B15" t="s">
        <v>274</v>
      </c>
      <c r="C15" t="s">
        <v>132</v>
      </c>
      <c r="D15" t="s">
        <v>137</v>
      </c>
      <c r="E15" t="s">
        <v>138</v>
      </c>
      <c r="F15" t="str">
        <f t="shared" si="0"/>
        <v>parkeervakkendiverse verharding</v>
      </c>
      <c r="G15" s="508" t="s">
        <v>278</v>
      </c>
      <c r="H15" cm="1">
        <f t="array" ref="H15">_xlfn.XLOOKUP($F15,Onderhoud!$D$59:$D$91,_xlfn.XLOOKUP(TOTEX!$G15&amp;H$2,Onderhoud!$F$57:$U$57,Onderhoud!$F$59:$U$91))</f>
        <v>54320.000000000007</v>
      </c>
      <c r="I15" t="s">
        <v>276</v>
      </c>
      <c r="J15" s="521" cm="1">
        <f t="array" ref="J15">_xlfn.XLOOKUP(F15,Onderhoud!$D$4:$D$32,_xlfn.XLOOKUP(TOTEX!G15&amp;J$2,Onderhoud!$F$2:$U$2,Onderhoud!$F$4:$U$32),0)</f>
        <v>78.732300000000009</v>
      </c>
      <c r="K15" s="523">
        <f t="shared" si="1"/>
        <v>4276738.5360000012</v>
      </c>
      <c r="L15" s="553" cm="1">
        <f t="array" ref="L15">_xlfn.XLOOKUP($F15,Onderhoud!$D$59:$D$91,_xlfn.XLOOKUP(TOTEX!$G15&amp;L$2,Onderhoud!$F$57:$U$57,Onderhoud!$F$59:$U$91))</f>
        <v>60</v>
      </c>
      <c r="M15" s="207">
        <f t="shared" si="2"/>
        <v>71278.97560000002</v>
      </c>
      <c r="N15" s="207">
        <f>_xlfn.XLOOKUP(F15,Onderhoud!$D$4:$D$32,Onderhoud!$Y$4:$Y$32,0)*M15</f>
        <v>59978.910875943286</v>
      </c>
      <c r="O15">
        <f t="shared" si="3"/>
        <v>54320.000000000007</v>
      </c>
      <c r="P15" t="str">
        <f t="shared" si="4"/>
        <v>m2</v>
      </c>
      <c r="Q15" t="str">
        <f>_xlfn.XLOOKUP($F15,Onderhoud!$D$103:$D$129,Onderhoud!U$103:U$129,"")</f>
        <v>85% B</v>
      </c>
      <c r="R15" t="str">
        <f>_xlfn.XLOOKUP($F15,Onderhoud!$D$103:$D$129,Onderhoud!V$103:V$129,"")</f>
        <v>82% B</v>
      </c>
      <c r="S15" t="str">
        <f>_xlfn.XLOOKUP($F15,Onderhoud!$D$103:$D$129,Onderhoud!W$103:W$129,"")</f>
        <v>90% B</v>
      </c>
      <c r="V15">
        <f>_xlfn.XLOOKUP($F15,Onderhoud!$D$103:$D$133,Onderhoud!$I$103:$I$133)</f>
        <v>1</v>
      </c>
      <c r="W15" s="522">
        <f>_xlfn.XLOOKUP($F15,Onderhoud!$D$103:$D$133,Onderhoud!$J$103:$J$133)</f>
        <v>0.19655268303231044</v>
      </c>
      <c r="Z15">
        <f>_xlfn.XLOOKUP($F15,Onderhoud!$D$103:$D$133,Onderhoud!$M$103:$M$133)</f>
        <v>1</v>
      </c>
      <c r="AA15" s="522" cm="1">
        <f t="array" ref="AA15">_xlfn.XLOOKUP($F15,Onderhoud!$D$59:$D$91,_xlfn.XLOOKUP(TOTEX!$G15&amp;AA$2,Onderhoud!$F$57:$U$57,Onderhoud!$F$59:$U$91))/L15*_xlfn.XLOOKUP($F15,Onderhoud!$D$59:$D$91,Onderhoud!$AF$59:$AF$91)+Onderhoud!$N$135*J15</f>
        <v>1.7596405550723983E-2</v>
      </c>
      <c r="AD15" s="553">
        <f>_xlfn.XLOOKUP($F15,Onderhoud!$D$103:$D$133,Onderhoud!$Q$103:$Q$133)</f>
        <v>1</v>
      </c>
      <c r="AE15" s="522" cm="1">
        <f t="array" ref="AE15">_xlfn.XLOOKUP($F15,Onderhoud!$D$59:$D$91,_xlfn.XLOOKUP(TOTEX!$G15&amp;AA$2,Onderhoud!$F$57:$U$57,Onderhoud!$F$59:$U$91))/L15*_xlfn.XLOOKUP($F15,Onderhoud!$D$59:$D$91,Onderhoud!$W$59:$W$91)+Onderhoud!$R$135*J15</f>
        <v>0.16173724957641969</v>
      </c>
      <c r="AF15">
        <f>_xlfn.XLOOKUP($F15,Onderhoud!$D$103:$D$133,Onderhoud!$S$103:$S$133)</f>
        <v>1</v>
      </c>
      <c r="AG15" s="522" cm="1">
        <f t="array" ref="AG15">_xlfn.XLOOKUP($F15,Onderhoud!$D$59:$D$91,_xlfn.XLOOKUP(TOTEX!$G15&amp;AA$2,Onderhoud!$F$57:$U$57,Onderhoud!$F$59:$U$91))/L15*IF($AG$1,1,_xlfn.XLOOKUP($F15,Onderhoud!$D$59:$D$91,Onderhoud!$AG$59:$AG$91))+Onderhoud!$T$135*J15</f>
        <v>1.0395753100029492</v>
      </c>
      <c r="AH15">
        <f t="shared" si="5"/>
        <v>1</v>
      </c>
    </row>
    <row r="16" spans="1:38" x14ac:dyDescent="0.25">
      <c r="A16" t="s">
        <v>273</v>
      </c>
      <c r="B16" t="s">
        <v>274</v>
      </c>
      <c r="C16" t="s">
        <v>132</v>
      </c>
      <c r="D16" t="s">
        <v>139</v>
      </c>
      <c r="E16" t="s">
        <v>140</v>
      </c>
      <c r="F16" t="str">
        <f t="shared" si="0"/>
        <v>fietspadenrood asfalt</v>
      </c>
      <c r="G16" s="508" t="s">
        <v>278</v>
      </c>
      <c r="H16" cm="1">
        <f t="array" ref="H16">_xlfn.XLOOKUP($F16,Onderhoud!$D$59:$D$91,_xlfn.XLOOKUP(TOTEX!$G16&amp;H$2,Onderhoud!$F$57:$U$57,Onderhoud!$F$59:$U$91))</f>
        <v>424480.00000000006</v>
      </c>
      <c r="I16" t="s">
        <v>276</v>
      </c>
      <c r="J16" s="521" cm="1">
        <f t="array" ref="J16">_xlfn.XLOOKUP(F16,Onderhoud!$D$4:$D$32,_xlfn.XLOOKUP(TOTEX!G16&amp;J$2,Onderhoud!$F$2:$U$2,Onderhoud!$F$4:$U$32),0)</f>
        <v>98.835009284008805</v>
      </c>
      <c r="K16" s="523">
        <f t="shared" si="1"/>
        <v>41953484.740876064</v>
      </c>
      <c r="L16" s="553" cm="1">
        <f t="array" ref="L16">_xlfn.XLOOKUP($F16,Onderhoud!$D$59:$D$91,_xlfn.XLOOKUP(TOTEX!$G16&amp;L$2,Onderhoud!$F$57:$U$57,Onderhoud!$F$59:$U$91))</f>
        <v>60</v>
      </c>
      <c r="M16" s="207">
        <f t="shared" si="2"/>
        <v>699224.7456812677</v>
      </c>
      <c r="N16" s="207">
        <f>_xlfn.XLOOKUP(F16,Onderhoud!$D$4:$D$32,Onderhoud!$Y$4:$Y$32,0)*M16</f>
        <v>588374.59924818075</v>
      </c>
      <c r="O16">
        <f t="shared" si="3"/>
        <v>424480.00000000006</v>
      </c>
      <c r="P16" t="str">
        <f t="shared" si="4"/>
        <v>m2</v>
      </c>
      <c r="Q16" t="str">
        <f>_xlfn.XLOOKUP($F16,Onderhoud!$D$103:$D$129,Onderhoud!U$103:U$129,"")</f>
        <v>85% B</v>
      </c>
      <c r="R16" t="str">
        <f>_xlfn.XLOOKUP($F16,Onderhoud!$D$103:$D$129,Onderhoud!V$103:V$129,"")</f>
        <v>82% B</v>
      </c>
      <c r="S16" t="str">
        <f>_xlfn.XLOOKUP($F16,Onderhoud!$D$103:$D$129,Onderhoud!W$103:W$129,"")</f>
        <v>90% B</v>
      </c>
      <c r="V16">
        <f>_xlfn.XLOOKUP($F16,Onderhoud!$D$103:$D$133,Onderhoud!$I$103:$I$133)</f>
        <v>1</v>
      </c>
      <c r="W16" s="522">
        <f>_xlfn.XLOOKUP($F16,Onderhoud!$D$103:$D$133,Onderhoud!$J$103:$J$133)</f>
        <v>0.24673845743481695</v>
      </c>
      <c r="Z16">
        <f>_xlfn.XLOOKUP($F16,Onderhoud!$D$103:$D$133,Onderhoud!$M$103:$M$133)</f>
        <v>1</v>
      </c>
      <c r="AA16" s="522" cm="1">
        <f t="array" ref="AA16">_xlfn.XLOOKUP($F16,Onderhoud!$D$59:$D$91,_xlfn.XLOOKUP(TOTEX!$G16&amp;AA$2,Onderhoud!$F$57:$U$57,Onderhoud!$F$59:$U$91))/L16*_xlfn.XLOOKUP($F16,Onderhoud!$D$59:$D$91,Onderhoud!$AF$59:$AF$91)+Onderhoud!$N$135*J16</f>
        <v>3.4285158563211932E-2</v>
      </c>
      <c r="AD16" s="553">
        <f>_xlfn.XLOOKUP($F16,Onderhoud!$D$103:$D$133,Onderhoud!$Q$103:$Q$133)</f>
        <v>1</v>
      </c>
      <c r="AE16" s="522" cm="1">
        <f t="array" ref="AE16">_xlfn.XLOOKUP($F16,Onderhoud!$D$59:$D$91,_xlfn.XLOOKUP(TOTEX!$G16&amp;AA$2,Onderhoud!$F$57:$U$57,Onderhoud!$F$59:$U$91))/L16*_xlfn.XLOOKUP($F16,Onderhoud!$D$59:$D$91,Onderhoud!$W$59:$W$91)+Onderhoud!$R$135*J16</f>
        <v>0.27157425802408985</v>
      </c>
      <c r="AF16">
        <f>_xlfn.XLOOKUP($F16,Onderhoud!$D$103:$D$133,Onderhoud!$S$103:$S$133)</f>
        <v>1</v>
      </c>
      <c r="AG16" s="522" cm="1">
        <f t="array" ref="AG16">_xlfn.XLOOKUP($F16,Onderhoud!$D$59:$D$91,_xlfn.XLOOKUP(TOTEX!$G16&amp;AA$2,Onderhoud!$F$57:$U$57,Onderhoud!$F$59:$U$91))/L16*IF($AG$1,1,_xlfn.XLOOKUP($F16,Onderhoud!$D$59:$D$91,Onderhoud!$AG$59:$AG$91))+Onderhoud!$T$135*J16</f>
        <v>2.0394968509741864</v>
      </c>
      <c r="AH16">
        <f t="shared" si="5"/>
        <v>1</v>
      </c>
    </row>
    <row r="17" spans="1:34" x14ac:dyDescent="0.25">
      <c r="A17" t="s">
        <v>273</v>
      </c>
      <c r="B17" t="s">
        <v>274</v>
      </c>
      <c r="C17" t="s">
        <v>132</v>
      </c>
      <c r="D17" t="s">
        <v>139</v>
      </c>
      <c r="E17" t="s">
        <v>141</v>
      </c>
      <c r="F17" t="str">
        <f t="shared" si="0"/>
        <v>fietspadenelementverharding</v>
      </c>
      <c r="G17" s="508" t="s">
        <v>278</v>
      </c>
      <c r="H17" cm="1">
        <f t="array" ref="H17">_xlfn.XLOOKUP($F17,Onderhoud!$D$59:$D$91,_xlfn.XLOOKUP(TOTEX!$G17&amp;H$2,Onderhoud!$F$57:$U$57,Onderhoud!$F$59:$U$91))</f>
        <v>51800.000000000007</v>
      </c>
      <c r="I17" t="s">
        <v>276</v>
      </c>
      <c r="J17" s="521" cm="1">
        <f t="array" ref="J17">_xlfn.XLOOKUP(F17,Onderhoud!$D$4:$D$32,_xlfn.XLOOKUP(TOTEX!G17&amp;J$2,Onderhoud!$F$2:$U$2,Onderhoud!$F$4:$U$32),0)</f>
        <v>127.84156564843498</v>
      </c>
      <c r="K17" s="523">
        <f t="shared" si="1"/>
        <v>6622193.1005889326</v>
      </c>
      <c r="L17" s="553" cm="1">
        <f t="array" ref="L17">_xlfn.XLOOKUP($F17,Onderhoud!$D$59:$D$91,_xlfn.XLOOKUP(TOTEX!$G17&amp;L$2,Onderhoud!$F$57:$U$57,Onderhoud!$F$59:$U$91))</f>
        <v>60</v>
      </c>
      <c r="M17" s="207">
        <f t="shared" si="2"/>
        <v>110369.88500981554</v>
      </c>
      <c r="N17" s="207">
        <f>_xlfn.XLOOKUP(F17,Onderhoud!$D$4:$D$32,Onderhoud!$Y$4:$Y$32,0)*M17</f>
        <v>92872.623949323883</v>
      </c>
      <c r="O17">
        <f t="shared" si="3"/>
        <v>51800.000000000007</v>
      </c>
      <c r="P17" t="str">
        <f t="shared" si="4"/>
        <v>m2</v>
      </c>
      <c r="Q17" t="str">
        <f>_xlfn.XLOOKUP($F17,Onderhoud!$D$103:$D$129,Onderhoud!U$103:U$129,"")</f>
        <v>85% B</v>
      </c>
      <c r="R17" t="str">
        <f>_xlfn.XLOOKUP($F17,Onderhoud!$D$103:$D$129,Onderhoud!V$103:V$129,"")</f>
        <v>82% B</v>
      </c>
      <c r="S17" t="str">
        <f>_xlfn.XLOOKUP($F17,Onderhoud!$D$103:$D$129,Onderhoud!W$103:W$129,"")</f>
        <v>90% B</v>
      </c>
      <c r="V17">
        <f>_xlfn.XLOOKUP($F17,Onderhoud!$D$103:$D$133,Onderhoud!$I$103:$I$133)</f>
        <v>1</v>
      </c>
      <c r="W17" s="522">
        <f>_xlfn.XLOOKUP($F17,Onderhoud!$D$103:$D$133,Onderhoud!$J$103:$J$133)</f>
        <v>0.31915240290517538</v>
      </c>
      <c r="Z17">
        <f>_xlfn.XLOOKUP($F17,Onderhoud!$D$103:$D$133,Onderhoud!$M$103:$M$133)</f>
        <v>1</v>
      </c>
      <c r="AA17" s="522" cm="1">
        <f t="array" ref="AA17">_xlfn.XLOOKUP($F17,Onderhoud!$D$59:$D$91,_xlfn.XLOOKUP(TOTEX!$G17&amp;AA$2,Onderhoud!$F$57:$U$57,Onderhoud!$F$59:$U$91))/L17*_xlfn.XLOOKUP($F17,Onderhoud!$D$59:$D$91,Onderhoud!$AF$59:$AF$91)+Onderhoud!$N$135*J17</f>
        <v>3.8474800389848268E-2</v>
      </c>
      <c r="AD17" s="553">
        <f>_xlfn.XLOOKUP($F17,Onderhoud!$D$103:$D$133,Onderhoud!$Q$103:$Q$133)</f>
        <v>1</v>
      </c>
      <c r="AE17" s="522" cm="1">
        <f t="array" ref="AE17">_xlfn.XLOOKUP($F17,Onderhoud!$D$59:$D$91,_xlfn.XLOOKUP(TOTEX!$G17&amp;AA$2,Onderhoud!$F$57:$U$57,Onderhoud!$F$59:$U$91))/L17*_xlfn.XLOOKUP($F17,Onderhoud!$D$59:$D$91,Onderhoud!$W$59:$W$91)+Onderhoud!$R$135*J17</f>
        <v>0.46159718712128095</v>
      </c>
      <c r="AF17">
        <f>_xlfn.XLOOKUP($F17,Onderhoud!$D$103:$D$133,Onderhoud!$S$103:$S$133)</f>
        <v>1</v>
      </c>
      <c r="AG17" s="522" cm="1">
        <f t="array" ref="AG17">_xlfn.XLOOKUP($F17,Onderhoud!$D$59:$D$91,_xlfn.XLOOKUP(TOTEX!$G17&amp;AA$2,Onderhoud!$F$57:$U$57,Onderhoud!$F$59:$U$91))/L17*IF($AG$1,1,_xlfn.XLOOKUP($F17,Onderhoud!$D$59:$D$91,Onderhoud!$AG$59:$AG$91))+Onderhoud!$T$135*J17</f>
        <v>2.6530199597143298</v>
      </c>
      <c r="AH17">
        <f t="shared" si="5"/>
        <v>1</v>
      </c>
    </row>
    <row r="18" spans="1:34" x14ac:dyDescent="0.25">
      <c r="A18" t="s">
        <v>273</v>
      </c>
      <c r="B18" t="s">
        <v>274</v>
      </c>
      <c r="C18" t="s">
        <v>132</v>
      </c>
      <c r="D18" t="s">
        <v>142</v>
      </c>
      <c r="E18" t="s">
        <v>143</v>
      </c>
      <c r="F18" t="str">
        <f t="shared" si="0"/>
        <v>voetpadentrotoirtegels</v>
      </c>
      <c r="G18" s="508" t="s">
        <v>278</v>
      </c>
      <c r="H18" cm="1">
        <f t="array" ref="H18">_xlfn.XLOOKUP($F18,Onderhoud!$D$59:$D$91,_xlfn.XLOOKUP(TOTEX!$G18&amp;H$2,Onderhoud!$F$57:$U$57,Onderhoud!$F$59:$U$91))</f>
        <v>2545480.0000000005</v>
      </c>
      <c r="I18" t="s">
        <v>276</v>
      </c>
      <c r="J18" s="521" cm="1">
        <f t="array" ref="J18">_xlfn.XLOOKUP(F18,Onderhoud!$D$4:$D$32,_xlfn.XLOOKUP(TOTEX!G18&amp;J$2,Onderhoud!$F$2:$U$2,Onderhoud!$F$4:$U$32),0)</f>
        <v>63.98248064129497</v>
      </c>
      <c r="K18" s="523">
        <f t="shared" si="1"/>
        <v>162866124.82280356</v>
      </c>
      <c r="L18" s="553" cm="1">
        <f t="array" ref="L18">_xlfn.XLOOKUP($F18,Onderhoud!$D$59:$D$91,_xlfn.XLOOKUP(TOTEX!$G18&amp;L$2,Onderhoud!$F$57:$U$57,Onderhoud!$F$59:$U$91))</f>
        <v>60</v>
      </c>
      <c r="M18" s="207">
        <f t="shared" si="2"/>
        <v>2714435.4137133928</v>
      </c>
      <c r="N18" s="207">
        <f>_xlfn.XLOOKUP(F18,Onderhoud!$D$4:$D$32,Onderhoud!$Y$4:$Y$32,0)*M18</f>
        <v>2284108.0190498666</v>
      </c>
      <c r="O18">
        <f t="shared" si="3"/>
        <v>2545480.0000000005</v>
      </c>
      <c r="P18" t="str">
        <f t="shared" si="4"/>
        <v>m2</v>
      </c>
      <c r="Q18" t="str">
        <f>_xlfn.XLOOKUP($F18,Onderhoud!$D$103:$D$129,Onderhoud!U$103:U$129,"")</f>
        <v>85% B</v>
      </c>
      <c r="R18" t="str">
        <f>_xlfn.XLOOKUP($F18,Onderhoud!$D$103:$D$129,Onderhoud!V$103:V$129,"")</f>
        <v>82% B</v>
      </c>
      <c r="S18" t="str">
        <f>_xlfn.XLOOKUP($F18,Onderhoud!$D$103:$D$129,Onderhoud!W$103:W$129,"")</f>
        <v>90% B</v>
      </c>
      <c r="V18">
        <f>_xlfn.XLOOKUP($F18,Onderhoud!$D$103:$D$133,Onderhoud!$I$103:$I$133)</f>
        <v>1</v>
      </c>
      <c r="W18" s="522">
        <f>_xlfn.XLOOKUP($F18,Onderhoud!$D$103:$D$133,Onderhoud!$J$103:$J$133)</f>
        <v>0.15973022809075038</v>
      </c>
      <c r="Z18">
        <f>_xlfn.XLOOKUP($F18,Onderhoud!$D$103:$D$133,Onderhoud!$M$103:$M$133)</f>
        <v>1</v>
      </c>
      <c r="AA18" s="522" cm="1">
        <f t="array" ref="AA18">_xlfn.XLOOKUP($F18,Onderhoud!$D$59:$D$91,_xlfn.XLOOKUP(TOTEX!$G18&amp;AA$2,Onderhoud!$F$57:$U$57,Onderhoud!$F$59:$U$91))/L18*_xlfn.XLOOKUP($F18,Onderhoud!$D$59:$D$91,Onderhoud!$AF$59:$AF$91)+Onderhoud!$N$135*J18</f>
        <v>1.9698034378622026E-2</v>
      </c>
      <c r="AD18" s="553">
        <f>_xlfn.XLOOKUP($F18,Onderhoud!$D$103:$D$133,Onderhoud!$Q$103:$Q$133)</f>
        <v>1</v>
      </c>
      <c r="AE18" s="522" cm="1">
        <f t="array" ref="AE18">_xlfn.XLOOKUP($F18,Onderhoud!$D$59:$D$91,_xlfn.XLOOKUP(TOTEX!$G18&amp;AA$2,Onderhoud!$F$57:$U$57,Onderhoud!$F$59:$U$91))/L18*_xlfn.XLOOKUP($F18,Onderhoud!$D$59:$D$91,Onderhoud!$W$59:$W$91)+Onderhoud!$R$135*J18</f>
        <v>0.18129484477039359</v>
      </c>
      <c r="AF18">
        <f>_xlfn.XLOOKUP($F18,Onderhoud!$D$103:$D$133,Onderhoud!$S$103:$S$133)</f>
        <v>1</v>
      </c>
      <c r="AG18" s="522" cm="1">
        <f t="array" ref="AG18">_xlfn.XLOOKUP($F18,Onderhoud!$D$59:$D$91,_xlfn.XLOOKUP(TOTEX!$G18&amp;AA$2,Onderhoud!$F$57:$U$57,Onderhoud!$F$59:$U$91))/L18*IF($AG$1,1,_xlfn.XLOOKUP($F18,Onderhoud!$D$59:$D$91,Onderhoud!$AG$59:$AG$91))+Onderhoud!$T$135*J18</f>
        <v>1.043638809793934</v>
      </c>
      <c r="AH18">
        <f t="shared" si="5"/>
        <v>1</v>
      </c>
    </row>
    <row r="19" spans="1:34" x14ac:dyDescent="0.25">
      <c r="A19" t="s">
        <v>273</v>
      </c>
      <c r="B19" t="s">
        <v>274</v>
      </c>
      <c r="C19" t="s">
        <v>132</v>
      </c>
      <c r="D19" t="s">
        <v>142</v>
      </c>
      <c r="E19" t="s">
        <v>144</v>
      </c>
      <c r="F19" t="str">
        <f t="shared" si="0"/>
        <v>voetpadennatuursteentegels gefundeerd</v>
      </c>
      <c r="G19" s="508" t="s">
        <v>278</v>
      </c>
      <c r="H19" cm="1">
        <f t="array" ref="H19">_xlfn.XLOOKUP($F19,Onderhoud!$D$59:$D$91,_xlfn.XLOOKUP(TOTEX!$G19&amp;H$2,Onderhoud!$F$57:$U$57,Onderhoud!$F$59:$U$91))</f>
        <v>15400.000000000002</v>
      </c>
      <c r="I19" t="s">
        <v>276</v>
      </c>
      <c r="J19" s="521" cm="1">
        <f t="array" ref="J19">_xlfn.XLOOKUP(F19,Onderhoud!$D$4:$D$32,_xlfn.XLOOKUP(TOTEX!G19&amp;J$2,Onderhoud!$F$2:$U$2,Onderhoud!$F$4:$U$32),0)</f>
        <v>184.09863442905561</v>
      </c>
      <c r="K19" s="523">
        <f t="shared" si="1"/>
        <v>2835118.9702074565</v>
      </c>
      <c r="L19" s="553" cm="1">
        <f t="array" ref="L19">_xlfn.XLOOKUP($F19,Onderhoud!$D$59:$D$91,_xlfn.XLOOKUP(TOTEX!$G19&amp;L$2,Onderhoud!$F$57:$U$57,Onderhoud!$F$59:$U$91))</f>
        <v>60</v>
      </c>
      <c r="M19" s="207">
        <f t="shared" si="2"/>
        <v>47251.982836790943</v>
      </c>
      <c r="N19" s="207">
        <f>_xlfn.XLOOKUP(F19,Onderhoud!$D$4:$D$32,Onderhoud!$Y$4:$Y$32,0)*M19</f>
        <v>39760.987632368342</v>
      </c>
      <c r="O19">
        <f t="shared" si="3"/>
        <v>15400.000000000002</v>
      </c>
      <c r="P19" t="str">
        <f t="shared" si="4"/>
        <v>m2</v>
      </c>
      <c r="Q19" t="str">
        <f>_xlfn.XLOOKUP($F19,Onderhoud!$D$103:$D$129,Onderhoud!U$103:U$129,"")</f>
        <v>85% B</v>
      </c>
      <c r="R19" t="str">
        <f>_xlfn.XLOOKUP($F19,Onderhoud!$D$103:$D$129,Onderhoud!V$103:V$129,"")</f>
        <v>82% B</v>
      </c>
      <c r="S19" t="str">
        <f>_xlfn.XLOOKUP($F19,Onderhoud!$D$103:$D$129,Onderhoud!W$103:W$129,"")</f>
        <v>90% B</v>
      </c>
      <c r="V19">
        <f>_xlfn.XLOOKUP($F19,Onderhoud!$D$103:$D$133,Onderhoud!$I$103:$I$133)</f>
        <v>1</v>
      </c>
      <c r="W19" s="522">
        <f>_xlfn.XLOOKUP($F19,Onderhoud!$D$103:$D$133,Onderhoud!$J$103:$J$133)</f>
        <v>0.45959638597647162</v>
      </c>
      <c r="Z19">
        <f>_xlfn.XLOOKUP($F19,Onderhoud!$D$103:$D$133,Onderhoud!$M$103:$M$133)</f>
        <v>1</v>
      </c>
      <c r="AA19" s="522" cm="1">
        <f t="array" ref="AA19">_xlfn.XLOOKUP($F19,Onderhoud!$D$59:$D$91,_xlfn.XLOOKUP(TOTEX!$G19&amp;AA$2,Onderhoud!$F$57:$U$57,Onderhoud!$F$59:$U$91))/L19*_xlfn.XLOOKUP($F19,Onderhoud!$D$59:$D$91,Onderhoud!$AF$59:$AF$91)+Onderhoud!$N$135*J19</f>
        <v>4.0466086317333949E-2</v>
      </c>
      <c r="AD19" s="553">
        <f>_xlfn.XLOOKUP($F19,Onderhoud!$D$103:$D$133,Onderhoud!$Q$103:$Q$133)</f>
        <v>1</v>
      </c>
      <c r="AE19" s="522" cm="1">
        <f t="array" ref="AE19">_xlfn.XLOOKUP($F19,Onderhoud!$D$59:$D$91,_xlfn.XLOOKUP(TOTEX!$G19&amp;AA$2,Onderhoud!$F$57:$U$57,Onderhoud!$F$59:$U$91))/L19*_xlfn.XLOOKUP($F19,Onderhoud!$D$59:$D$91,Onderhoud!$W$59:$W$91)+Onderhoud!$R$135*J19</f>
        <v>1.4466449659270075</v>
      </c>
      <c r="AF19">
        <f>_xlfn.XLOOKUP($F19,Onderhoud!$D$103:$D$133,Onderhoud!$S$103:$S$133)</f>
        <v>1</v>
      </c>
      <c r="AG19" s="522" cm="1">
        <f t="array" ref="AG19">_xlfn.XLOOKUP($F19,Onderhoud!$D$59:$D$91,_xlfn.XLOOKUP(TOTEX!$G19&amp;AA$2,Onderhoud!$F$57:$U$57,Onderhoud!$F$59:$U$91))/L19*IF($AG$1,1,_xlfn.XLOOKUP($F19,Onderhoud!$D$59:$D$91,Onderhoud!$AG$59:$AG$91))+Onderhoud!$T$135*J19</f>
        <v>8.288606791540623</v>
      </c>
      <c r="AH19">
        <f t="shared" si="5"/>
        <v>1</v>
      </c>
    </row>
    <row r="20" spans="1:34" x14ac:dyDescent="0.25">
      <c r="A20" t="s">
        <v>273</v>
      </c>
      <c r="B20" t="s">
        <v>274</v>
      </c>
      <c r="C20" t="s">
        <v>132</v>
      </c>
      <c r="D20" t="s">
        <v>142</v>
      </c>
      <c r="E20" t="s">
        <v>145</v>
      </c>
      <c r="F20" t="str">
        <f t="shared" si="0"/>
        <v>voetpadennatuursteentegels ongefundeerd</v>
      </c>
      <c r="G20" s="508" t="s">
        <v>278</v>
      </c>
      <c r="H20" cm="1">
        <f t="array" ref="H20">_xlfn.XLOOKUP($F20,Onderhoud!$D$59:$D$91,_xlfn.XLOOKUP(TOTEX!$G20&amp;H$2,Onderhoud!$F$57:$U$57,Onderhoud!$F$59:$U$91))</f>
        <v>22680.000000000004</v>
      </c>
      <c r="I20" t="s">
        <v>276</v>
      </c>
      <c r="J20" s="521" cm="1">
        <f t="array" ref="J20">_xlfn.XLOOKUP(F20,Onderhoud!$D$4:$D$32,_xlfn.XLOOKUP(TOTEX!G20&amp;J$2,Onderhoud!$F$2:$U$2,Onderhoud!$F$4:$U$32),0)</f>
        <v>137.94871011218811</v>
      </c>
      <c r="K20" s="523">
        <f t="shared" si="1"/>
        <v>3128676.7453444269</v>
      </c>
      <c r="L20" s="553" cm="1">
        <f t="array" ref="L20">_xlfn.XLOOKUP($F20,Onderhoud!$D$59:$D$91,_xlfn.XLOOKUP(TOTEX!$G20&amp;L$2,Onderhoud!$F$57:$U$57,Onderhoud!$F$59:$U$91))</f>
        <v>60</v>
      </c>
      <c r="M20" s="207">
        <f t="shared" si="2"/>
        <v>52144.612422407117</v>
      </c>
      <c r="N20" s="207">
        <f>_xlfn.XLOOKUP(F20,Onderhoud!$D$4:$D$32,Onderhoud!$Y$4:$Y$32,0)*M20</f>
        <v>43877.974322966569</v>
      </c>
      <c r="O20">
        <f t="shared" si="3"/>
        <v>22680.000000000004</v>
      </c>
      <c r="P20" t="str">
        <f t="shared" si="4"/>
        <v>m2</v>
      </c>
      <c r="Q20" t="str">
        <f>_xlfn.XLOOKUP($F20,Onderhoud!$D$103:$D$129,Onderhoud!U$103:U$129,"")</f>
        <v>85% B</v>
      </c>
      <c r="R20" t="str">
        <f>_xlfn.XLOOKUP($F20,Onderhoud!$D$103:$D$129,Onderhoud!V$103:V$129,"")</f>
        <v>82% B</v>
      </c>
      <c r="S20" t="str">
        <f>_xlfn.XLOOKUP($F20,Onderhoud!$D$103:$D$129,Onderhoud!W$103:W$129,"")</f>
        <v>90% B</v>
      </c>
      <c r="V20">
        <f>_xlfn.XLOOKUP($F20,Onderhoud!$D$103:$D$133,Onderhoud!$I$103:$I$133)</f>
        <v>1</v>
      </c>
      <c r="W20" s="522">
        <f>_xlfn.XLOOKUP($F20,Onderhoud!$D$103:$D$133,Onderhoud!$J$103:$J$133)</f>
        <v>0.3443845676221447</v>
      </c>
      <c r="Z20">
        <f>_xlfn.XLOOKUP($F20,Onderhoud!$D$103:$D$133,Onderhoud!$M$103:$M$133)</f>
        <v>1</v>
      </c>
      <c r="AA20" s="522" cm="1">
        <f t="array" ref="AA20">_xlfn.XLOOKUP($F20,Onderhoud!$D$59:$D$91,_xlfn.XLOOKUP(TOTEX!$G20&amp;AA$2,Onderhoud!$F$57:$U$57,Onderhoud!$F$59:$U$91))/L20*_xlfn.XLOOKUP($F20,Onderhoud!$D$59:$D$91,Onderhoud!$AF$59:$AF$91)+Onderhoud!$N$135*J20</f>
        <v>3.5532787526022777E-2</v>
      </c>
      <c r="AD20" s="553">
        <f>_xlfn.XLOOKUP($F20,Onderhoud!$D$103:$D$133,Onderhoud!$Q$103:$Q$133)</f>
        <v>1</v>
      </c>
      <c r="AE20" s="522" cm="1">
        <f t="array" ref="AE20">_xlfn.XLOOKUP($F20,Onderhoud!$D$59:$D$91,_xlfn.XLOOKUP(TOTEX!$G20&amp;AA$2,Onderhoud!$F$57:$U$57,Onderhoud!$F$59:$U$91))/L20*_xlfn.XLOOKUP($F20,Onderhoud!$D$59:$D$91,Onderhoud!$W$59:$W$91)+Onderhoud!$R$135*J20</f>
        <v>1.1170646982673653</v>
      </c>
      <c r="AF20">
        <f>_xlfn.XLOOKUP($F20,Onderhoud!$D$103:$D$133,Onderhoud!$S$103:$S$133)</f>
        <v>1</v>
      </c>
      <c r="AG20" s="522" cm="1">
        <f t="array" ref="AG20">_xlfn.XLOOKUP($F20,Onderhoud!$D$59:$D$91,_xlfn.XLOOKUP(TOTEX!$G20&amp;AA$2,Onderhoud!$F$57:$U$57,Onderhoud!$F$59:$U$91))/L20*IF($AG$1,1,_xlfn.XLOOKUP($F20,Onderhoud!$D$59:$D$91,Onderhoud!$AG$59:$AG$91))+Onderhoud!$T$135*J20</f>
        <v>6.3997599310349864</v>
      </c>
      <c r="AH20">
        <f t="shared" si="5"/>
        <v>1</v>
      </c>
    </row>
    <row r="21" spans="1:34" x14ac:dyDescent="0.25">
      <c r="A21" t="s">
        <v>273</v>
      </c>
      <c r="B21" t="s">
        <v>274</v>
      </c>
      <c r="C21" t="s">
        <v>132</v>
      </c>
      <c r="D21" t="s">
        <v>142</v>
      </c>
      <c r="E21" t="s">
        <v>146</v>
      </c>
      <c r="F21" t="str">
        <f t="shared" si="0"/>
        <v>voetpadenafwijkende tegels (formaat, dik)</v>
      </c>
      <c r="G21" s="508" t="s">
        <v>278</v>
      </c>
      <c r="H21" cm="1">
        <f t="array" ref="H21">_xlfn.XLOOKUP($F21,Onderhoud!$D$59:$D$91,_xlfn.XLOOKUP(TOTEX!$G21&amp;H$2,Onderhoud!$F$57:$U$57,Onderhoud!$F$59:$U$91))</f>
        <v>43680.000000000007</v>
      </c>
      <c r="I21" t="s">
        <v>276</v>
      </c>
      <c r="J21" s="521" cm="1">
        <f t="array" ref="J21">_xlfn.XLOOKUP(F21,Onderhoud!$D$4:$D$32,_xlfn.XLOOKUP(TOTEX!G21&amp;J$2,Onderhoud!$F$2:$U$2,Onderhoud!$F$4:$U$32),0)</f>
        <v>97.679707187031212</v>
      </c>
      <c r="K21" s="523">
        <f t="shared" si="1"/>
        <v>4266649.6099295244</v>
      </c>
      <c r="L21" s="553" cm="1">
        <f t="array" ref="L21">_xlfn.XLOOKUP($F21,Onderhoud!$D$59:$D$91,_xlfn.XLOOKUP(TOTEX!$G21&amp;L$2,Onderhoud!$F$57:$U$57,Onderhoud!$F$59:$U$91))</f>
        <v>60</v>
      </c>
      <c r="M21" s="207">
        <f t="shared" si="2"/>
        <v>71110.826832158738</v>
      </c>
      <c r="N21" s="207">
        <f>_xlfn.XLOOKUP(F21,Onderhoud!$D$4:$D$32,Onderhoud!$Y$4:$Y$32,0)*M21</f>
        <v>59837.419224648402</v>
      </c>
      <c r="O21">
        <f t="shared" si="3"/>
        <v>43680.000000000007</v>
      </c>
      <c r="P21" t="str">
        <f t="shared" si="4"/>
        <v>m2</v>
      </c>
      <c r="Q21" t="str">
        <f>_xlfn.XLOOKUP($F21,Onderhoud!$D$103:$D$129,Onderhoud!U$103:U$129,"")</f>
        <v>85% B</v>
      </c>
      <c r="R21" t="str">
        <f>_xlfn.XLOOKUP($F21,Onderhoud!$D$103:$D$129,Onderhoud!V$103:V$129,"")</f>
        <v>82% B</v>
      </c>
      <c r="S21" t="str">
        <f>_xlfn.XLOOKUP($F21,Onderhoud!$D$103:$D$129,Onderhoud!W$103:W$129,"")</f>
        <v>90% B</v>
      </c>
      <c r="V21">
        <f>_xlfn.XLOOKUP($F21,Onderhoud!$D$103:$D$133,Onderhoud!$I$103:$I$133)</f>
        <v>1</v>
      </c>
      <c r="W21" s="522">
        <f>_xlfn.XLOOKUP($F21,Onderhoud!$D$103:$D$133,Onderhoud!$J$103:$J$133)</f>
        <v>0.24385428249170207</v>
      </c>
      <c r="Z21">
        <f>_xlfn.XLOOKUP($F21,Onderhoud!$D$103:$D$133,Onderhoud!$M$103:$M$133)</f>
        <v>1</v>
      </c>
      <c r="AA21" s="522" cm="1">
        <f t="array" ref="AA21">_xlfn.XLOOKUP($F21,Onderhoud!$D$59:$D$91,_xlfn.XLOOKUP(TOTEX!$G21&amp;AA$2,Onderhoud!$F$57:$U$57,Onderhoud!$F$59:$U$91))/L21*_xlfn.XLOOKUP($F21,Onderhoud!$D$59:$D$91,Onderhoud!$AF$59:$AF$91)+Onderhoud!$N$135*J21</f>
        <v>2.5138320766667426E-2</v>
      </c>
      <c r="AD21" s="553">
        <f>_xlfn.XLOOKUP($F21,Onderhoud!$D$103:$D$133,Onderhoud!$Q$103:$Q$133)</f>
        <v>1</v>
      </c>
      <c r="AE21" s="522" cm="1">
        <f t="array" ref="AE21">_xlfn.XLOOKUP($F21,Onderhoud!$D$59:$D$91,_xlfn.XLOOKUP(TOTEX!$G21&amp;AA$2,Onderhoud!$F$57:$U$57,Onderhoud!$F$59:$U$91))/L21*_xlfn.XLOOKUP($F21,Onderhoud!$D$59:$D$91,Onderhoud!$W$59:$W$91)+Onderhoud!$R$135*J21</f>
        <v>0.30150824859625269</v>
      </c>
      <c r="AF21">
        <f>_xlfn.XLOOKUP($F21,Onderhoud!$D$103:$D$133,Onderhoud!$S$103:$S$133)</f>
        <v>1</v>
      </c>
      <c r="AG21" s="522" cm="1">
        <f t="array" ref="AG21">_xlfn.XLOOKUP($F21,Onderhoud!$D$59:$D$91,_xlfn.XLOOKUP(TOTEX!$G21&amp;AA$2,Onderhoud!$F$57:$U$57,Onderhoud!$F$59:$U$91))/L21*IF($AG$1,1,_xlfn.XLOOKUP($F21,Onderhoud!$D$59:$D$91,Onderhoud!$AG$59:$AG$91))+Onderhoud!$T$135*J21</f>
        <v>1.7346111416604701</v>
      </c>
      <c r="AH21">
        <f t="shared" si="5"/>
        <v>1</v>
      </c>
    </row>
    <row r="22" spans="1:34" x14ac:dyDescent="0.25">
      <c r="A22" t="s">
        <v>273</v>
      </c>
      <c r="B22" t="s">
        <v>274</v>
      </c>
      <c r="C22" t="s">
        <v>132</v>
      </c>
      <c r="D22" t="s">
        <v>133</v>
      </c>
      <c r="E22" t="s">
        <v>125</v>
      </c>
      <c r="F22" t="str">
        <f t="shared" si="0"/>
        <v xml:space="preserve">rijwegenasfalt </v>
      </c>
      <c r="G22" t="s">
        <v>280</v>
      </c>
      <c r="H22" cm="1">
        <f t="array" ref="H22">_xlfn.XLOOKUP($F22,Onderhoud!$D$59:$D$91,_xlfn.XLOOKUP(TOTEX!$G22&amp;H$2,Onderhoud!$F$57:$U$57,Onderhoud!$F$59:$U$91))</f>
        <v>361630</v>
      </c>
      <c r="I22" t="s">
        <v>276</v>
      </c>
      <c r="J22" s="521" cm="1">
        <f t="array" ref="J22">_xlfn.XLOOKUP(F22,Onderhoud!$D$4:$D$32,_xlfn.XLOOKUP(TOTEX!G22&amp;J$2,Onderhoud!$F$2:$U$2,Onderhoud!$F$4:$U$32),0)</f>
        <v>117.7479</v>
      </c>
      <c r="K22" s="523">
        <f t="shared" si="1"/>
        <v>42581173.077</v>
      </c>
      <c r="L22" s="553" cm="1">
        <f t="array" ref="L22">_xlfn.XLOOKUP($F22,Onderhoud!$D$59:$D$91,_xlfn.XLOOKUP(TOTEX!$G22&amp;L$2,Onderhoud!$F$57:$U$57,Onderhoud!$F$59:$U$91))</f>
        <v>40</v>
      </c>
      <c r="M22" s="207">
        <f t="shared" si="2"/>
        <v>1064529.3269249999</v>
      </c>
      <c r="N22" s="207">
        <f>_xlfn.XLOOKUP(F22,Onderhoud!$D$4:$D$32,Onderhoud!$Y$4:$Y$32,0)*M22</f>
        <v>895766.37552662089</v>
      </c>
      <c r="O22">
        <f t="shared" si="3"/>
        <v>361630</v>
      </c>
      <c r="P22" t="str">
        <f t="shared" si="4"/>
        <v>m2</v>
      </c>
      <c r="Q22" t="str">
        <f>_xlfn.XLOOKUP($F22,Onderhoud!$D$103:$D$129,Onderhoud!U$103:U$129,"")</f>
        <v>85% B</v>
      </c>
      <c r="R22" t="str">
        <f>_xlfn.XLOOKUP($F22,Onderhoud!$D$103:$D$129,Onderhoud!V$103:V$129,"")</f>
        <v>82% B</v>
      </c>
      <c r="S22" t="str">
        <f>_xlfn.XLOOKUP($F22,Onderhoud!$D$103:$D$129,Onderhoud!W$103:W$129,"")</f>
        <v>90% B</v>
      </c>
      <c r="V22">
        <f>_xlfn.XLOOKUP($F22,Onderhoud!$D$103:$D$133,Onderhoud!$I$103:$I$133)</f>
        <v>1</v>
      </c>
      <c r="W22" s="522">
        <f>_xlfn.XLOOKUP($F22,Onderhoud!$D$103:$D$133,Onderhoud!$J$103:$J$133)</f>
        <v>0.2939538876219821</v>
      </c>
      <c r="Z22">
        <f>_xlfn.XLOOKUP($F22,Onderhoud!$D$103:$D$133,Onderhoud!$M$103:$M$133)</f>
        <v>1</v>
      </c>
      <c r="AA22" s="522" cm="1">
        <f t="array" ref="AA22">_xlfn.XLOOKUP($F22,Onderhoud!$D$59:$D$91,_xlfn.XLOOKUP(TOTEX!$G22&amp;AA$2,Onderhoud!$F$57:$U$57,Onderhoud!$F$59:$U$91))/L22*_xlfn.XLOOKUP($F22,Onderhoud!$D$59:$D$91,Onderhoud!$AF$59:$AF$91)+Onderhoud!$N$135*J22</f>
        <v>5.8158393268501564E-2</v>
      </c>
      <c r="AD22" s="553">
        <f>_xlfn.XLOOKUP($F22,Onderhoud!$D$103:$D$133,Onderhoud!$Q$103:$Q$133)</f>
        <v>1</v>
      </c>
      <c r="AE22" s="522" cm="1">
        <f t="array" ref="AE22">_xlfn.XLOOKUP($F22,Onderhoud!$D$59:$D$91,_xlfn.XLOOKUP(TOTEX!$G22&amp;AA$2,Onderhoud!$F$57:$U$57,Onderhoud!$F$59:$U$91))/L22*_xlfn.XLOOKUP($F22,Onderhoud!$D$59:$D$91,Onderhoud!$W$59:$W$91)+Onderhoud!$R$135*J22</f>
        <v>0.25358933712624049</v>
      </c>
      <c r="AF22">
        <f>_xlfn.XLOOKUP($F22,Onderhoud!$D$103:$D$133,Onderhoud!$S$103:$S$133)</f>
        <v>1</v>
      </c>
      <c r="AG22" s="522" cm="1">
        <f t="array" ref="AG22">_xlfn.XLOOKUP($F22,Onderhoud!$D$59:$D$91,_xlfn.XLOOKUP(TOTEX!$G22&amp;AA$2,Onderhoud!$F$57:$U$57,Onderhoud!$F$59:$U$91))/L22*IF($AG$1,1,_xlfn.XLOOKUP($F22,Onderhoud!$D$59:$D$91,Onderhoud!$AG$59:$AG$91))+Onderhoud!$T$135*J22</f>
        <v>1.8701482389717592</v>
      </c>
      <c r="AH22">
        <f t="shared" si="5"/>
        <v>1</v>
      </c>
    </row>
    <row r="23" spans="1:34" x14ac:dyDescent="0.25">
      <c r="A23" t="s">
        <v>273</v>
      </c>
      <c r="B23" t="s">
        <v>274</v>
      </c>
      <c r="C23" t="s">
        <v>132</v>
      </c>
      <c r="D23" t="s">
        <v>133</v>
      </c>
      <c r="E23" t="s">
        <v>134</v>
      </c>
      <c r="F23" t="str">
        <f t="shared" si="0"/>
        <v>rijwegenbetonstraatstenen</v>
      </c>
      <c r="G23" t="s">
        <v>280</v>
      </c>
      <c r="H23" cm="1">
        <f t="array" ref="H23">_xlfn.XLOOKUP($F23,Onderhoud!$D$59:$D$91,_xlfn.XLOOKUP(TOTEX!$G23&amp;H$2,Onderhoud!$F$57:$U$57,Onderhoud!$F$59:$U$91))</f>
        <v>1780630</v>
      </c>
      <c r="I23" t="s">
        <v>276</v>
      </c>
      <c r="J23" s="521" cm="1">
        <f t="array" ref="J23">_xlfn.XLOOKUP(F23,Onderhoud!$D$4:$D$32,_xlfn.XLOOKUP(TOTEX!G23&amp;J$2,Onderhoud!$F$2:$U$2,Onderhoud!$F$4:$U$32),0)</f>
        <v>78.732300000000009</v>
      </c>
      <c r="K23" s="523">
        <f t="shared" si="1"/>
        <v>140193095.34900001</v>
      </c>
      <c r="L23" s="553" cm="1">
        <f t="array" ref="L23">_xlfn.XLOOKUP($F23,Onderhoud!$D$59:$D$91,_xlfn.XLOOKUP(TOTEX!$G23&amp;L$2,Onderhoud!$F$57:$U$57,Onderhoud!$F$59:$U$91))</f>
        <v>40</v>
      </c>
      <c r="M23" s="207">
        <f t="shared" si="2"/>
        <v>3504827.3837250001</v>
      </c>
      <c r="N23" s="207">
        <f>_xlfn.XLOOKUP(F23,Onderhoud!$D$4:$D$32,Onderhoud!$Y$4:$Y$32,0)*M23</f>
        <v>2949196.8355954769</v>
      </c>
      <c r="O23">
        <f t="shared" si="3"/>
        <v>1780630</v>
      </c>
      <c r="P23" t="str">
        <f t="shared" si="4"/>
        <v>m2</v>
      </c>
      <c r="Q23" t="str">
        <f>_xlfn.XLOOKUP($F23,Onderhoud!$D$103:$D$129,Onderhoud!U$103:U$129,"")</f>
        <v>85% B</v>
      </c>
      <c r="R23" t="str">
        <f>_xlfn.XLOOKUP($F23,Onderhoud!$D$103:$D$129,Onderhoud!V$103:V$129,"")</f>
        <v>82% B</v>
      </c>
      <c r="S23" t="str">
        <f>_xlfn.XLOOKUP($F23,Onderhoud!$D$103:$D$129,Onderhoud!W$103:W$129,"")</f>
        <v>90% B</v>
      </c>
      <c r="V23">
        <f>_xlfn.XLOOKUP($F23,Onderhoud!$D$103:$D$133,Onderhoud!$I$103:$I$133)</f>
        <v>1</v>
      </c>
      <c r="W23" s="522">
        <f>_xlfn.XLOOKUP($F23,Onderhoud!$D$103:$D$133,Onderhoud!$J$103:$J$133)</f>
        <v>0.19655268303231044</v>
      </c>
      <c r="Z23">
        <f>_xlfn.XLOOKUP($F23,Onderhoud!$D$103:$D$133,Onderhoud!$M$103:$M$133)</f>
        <v>1</v>
      </c>
      <c r="AA23" s="522" cm="1">
        <f t="array" ref="AA23">_xlfn.XLOOKUP($F23,Onderhoud!$D$59:$D$91,_xlfn.XLOOKUP(TOTEX!$G23&amp;AA$2,Onderhoud!$F$57:$U$57,Onderhoud!$F$59:$U$91))/L23*_xlfn.XLOOKUP($F23,Onderhoud!$D$59:$D$91,Onderhoud!$AF$59:$AF$91)+Onderhoud!$N$135*J23</f>
        <v>2.9867644622597243E-2</v>
      </c>
      <c r="AD23" s="553">
        <f>_xlfn.XLOOKUP($F23,Onderhoud!$D$103:$D$133,Onderhoud!$Q$103:$Q$133)</f>
        <v>1</v>
      </c>
      <c r="AE23" s="522" cm="1">
        <f t="array" ref="AE23">_xlfn.XLOOKUP($F23,Onderhoud!$D$59:$D$91,_xlfn.XLOOKUP(TOTEX!$G23&amp;AA$2,Onderhoud!$F$57:$U$57,Onderhoud!$F$59:$U$91))/L23*_xlfn.XLOOKUP($F23,Onderhoud!$D$59:$D$91,Onderhoud!$W$59:$W$91)+Onderhoud!$R$135*J23</f>
        <v>0.29509231207641973</v>
      </c>
      <c r="AF23">
        <f>_xlfn.XLOOKUP($F23,Onderhoud!$D$103:$D$133,Onderhoud!$S$103:$S$133)</f>
        <v>1</v>
      </c>
      <c r="AG23" s="522" cm="1">
        <f t="array" ref="AG23">_xlfn.XLOOKUP($F23,Onderhoud!$D$59:$D$91,_xlfn.XLOOKUP(TOTEX!$G23&amp;AA$2,Onderhoud!$F$57:$U$57,Onderhoud!$F$59:$U$91))/L23*IF($AG$1,1,_xlfn.XLOOKUP($F23,Onderhoud!$D$59:$D$91,Onderhoud!$AG$59:$AG$91))+Onderhoud!$T$135*J23</f>
        <v>1.6956778100029495</v>
      </c>
      <c r="AH23">
        <f t="shared" si="5"/>
        <v>1</v>
      </c>
    </row>
    <row r="24" spans="1:34" x14ac:dyDescent="0.25">
      <c r="A24" t="s">
        <v>273</v>
      </c>
      <c r="B24" t="s">
        <v>274</v>
      </c>
      <c r="C24" t="s">
        <v>132</v>
      </c>
      <c r="D24" t="s">
        <v>133</v>
      </c>
      <c r="E24" t="s">
        <v>135</v>
      </c>
      <c r="F24" t="str">
        <f t="shared" si="0"/>
        <v>rijwegenstraatbakstenen</v>
      </c>
      <c r="G24" t="s">
        <v>280</v>
      </c>
      <c r="H24" cm="1">
        <f t="array" ref="H24">_xlfn.XLOOKUP($F24,Onderhoud!$D$59:$D$91,_xlfn.XLOOKUP(TOTEX!$G24&amp;H$2,Onderhoud!$F$57:$U$57,Onderhoud!$F$59:$U$91))</f>
        <v>316910</v>
      </c>
      <c r="I24" t="s">
        <v>276</v>
      </c>
      <c r="J24" s="521" cm="1">
        <f t="array" ref="J24">_xlfn.XLOOKUP(F24,Onderhoud!$D$4:$D$32,_xlfn.XLOOKUP(TOTEX!G24&amp;J$2,Onderhoud!$F$2:$U$2,Onderhoud!$F$4:$U$32),0)</f>
        <v>91.241400000000013</v>
      </c>
      <c r="K24" s="523">
        <f t="shared" si="1"/>
        <v>28915312.074000005</v>
      </c>
      <c r="L24" s="553" cm="1">
        <f t="array" ref="L24">_xlfn.XLOOKUP($F24,Onderhoud!$D$59:$D$91,_xlfn.XLOOKUP(TOTEX!$G24&amp;L$2,Onderhoud!$F$57:$U$57,Onderhoud!$F$59:$U$91))</f>
        <v>40</v>
      </c>
      <c r="M24" s="207">
        <f t="shared" si="2"/>
        <v>722882.80185000016</v>
      </c>
      <c r="N24" s="207">
        <f>_xlfn.XLOOKUP(F24,Onderhoud!$D$4:$D$32,Onderhoud!$Y$4:$Y$32,0)*M24</f>
        <v>608282.07449593756</v>
      </c>
      <c r="O24">
        <f t="shared" si="3"/>
        <v>316910</v>
      </c>
      <c r="P24" t="str">
        <f t="shared" si="4"/>
        <v>m2</v>
      </c>
      <c r="Q24" t="str">
        <f>_xlfn.XLOOKUP($F24,Onderhoud!$D$103:$D$129,Onderhoud!U$103:U$129,"")</f>
        <v>85% B</v>
      </c>
      <c r="R24" t="str">
        <f>_xlfn.XLOOKUP($F24,Onderhoud!$D$103:$D$129,Onderhoud!V$103:V$129,"")</f>
        <v>82% B</v>
      </c>
      <c r="S24" t="str">
        <f>_xlfn.XLOOKUP($F24,Onderhoud!$D$103:$D$129,Onderhoud!W$103:W$129,"")</f>
        <v>90% B</v>
      </c>
      <c r="V24">
        <f>_xlfn.XLOOKUP($F24,Onderhoud!$D$103:$D$133,Onderhoud!$I$103:$I$133)</f>
        <v>1</v>
      </c>
      <c r="W24" s="522">
        <f>_xlfn.XLOOKUP($F24,Onderhoud!$D$103:$D$133,Onderhoud!$J$103:$J$133)</f>
        <v>0.22778125335630039</v>
      </c>
      <c r="Z24">
        <f>_xlfn.XLOOKUP($F24,Onderhoud!$D$103:$D$133,Onderhoud!$M$103:$M$133)</f>
        <v>1</v>
      </c>
      <c r="AA24" s="522" cm="1">
        <f t="array" ref="AA24">_xlfn.XLOOKUP($F24,Onderhoud!$D$59:$D$91,_xlfn.XLOOKUP(TOTEX!$G24&amp;AA$2,Onderhoud!$F$57:$U$57,Onderhoud!$F$59:$U$91))/L24*_xlfn.XLOOKUP($F24,Onderhoud!$D$59:$D$91,Onderhoud!$AF$59:$AF$91)+Onderhoud!$N$135*J24</f>
        <v>2.5212896338699799E-2</v>
      </c>
      <c r="AD24" s="553">
        <f>_xlfn.XLOOKUP($F24,Onderhoud!$D$103:$D$133,Onderhoud!$Q$103:$Q$133)</f>
        <v>1</v>
      </c>
      <c r="AE24" s="522" cm="1">
        <f t="array" ref="AE24">_xlfn.XLOOKUP($F24,Onderhoud!$D$59:$D$91,_xlfn.XLOOKUP(TOTEX!$G24&amp;AA$2,Onderhoud!$F$57:$U$57,Onderhoud!$F$59:$U$91))/L24*_xlfn.XLOOKUP($F24,Onderhoud!$D$59:$D$91,Onderhoud!$W$59:$W$91)+Onderhoud!$R$135*J24</f>
        <v>0.33994381524103756</v>
      </c>
      <c r="AF24">
        <f>_xlfn.XLOOKUP($F24,Onderhoud!$D$103:$D$133,Onderhoud!$S$103:$S$133)</f>
        <v>1</v>
      </c>
      <c r="AG24" s="522" cm="1">
        <f t="array" ref="AG24">_xlfn.XLOOKUP($F24,Onderhoud!$D$59:$D$91,_xlfn.XLOOKUP(TOTEX!$G24&amp;AA$2,Onderhoud!$F$57:$U$57,Onderhoud!$F$59:$U$91))/L24*IF($AG$1,1,_xlfn.XLOOKUP($F24,Onderhoud!$D$59:$D$91,Onderhoud!$AG$59:$AG$91))+Onderhoud!$T$135*J24</f>
        <v>1.9534713231685485</v>
      </c>
      <c r="AH24">
        <f t="shared" si="5"/>
        <v>1</v>
      </c>
    </row>
    <row r="25" spans="1:34" x14ac:dyDescent="0.25">
      <c r="A25" t="s">
        <v>273</v>
      </c>
      <c r="B25" t="s">
        <v>274</v>
      </c>
      <c r="C25" t="s">
        <v>132</v>
      </c>
      <c r="D25" t="s">
        <v>133</v>
      </c>
      <c r="E25" t="s">
        <v>136</v>
      </c>
      <c r="F25" t="str">
        <f t="shared" si="0"/>
        <v>rijwegenbetonstraatstenen - wpv</v>
      </c>
      <c r="G25" t="s">
        <v>280</v>
      </c>
      <c r="H25" cm="1">
        <f t="array" ref="H25">_xlfn.XLOOKUP($F25,Onderhoud!$D$59:$D$91,_xlfn.XLOOKUP(TOTEX!$G25&amp;H$2,Onderhoud!$F$57:$U$57,Onderhoud!$F$59:$U$91))</f>
        <v>73960</v>
      </c>
      <c r="I25" t="s">
        <v>276</v>
      </c>
      <c r="J25" s="521" cm="1">
        <f t="array" ref="J25">_xlfn.XLOOKUP(F25,Onderhoud!$D$4:$D$32,_xlfn.XLOOKUP(TOTEX!G25&amp;J$2,Onderhoud!$F$2:$U$2,Onderhoud!$F$4:$U$32),0)</f>
        <v>83.418599999999984</v>
      </c>
      <c r="K25" s="523">
        <f t="shared" si="1"/>
        <v>6169639.6559999986</v>
      </c>
      <c r="L25" s="553" cm="1">
        <f t="array" ref="L25">_xlfn.XLOOKUP($F25,Onderhoud!$D$59:$D$91,_xlfn.XLOOKUP(TOTEX!$G25&amp;L$2,Onderhoud!$F$57:$U$57,Onderhoud!$F$59:$U$91))</f>
        <v>40</v>
      </c>
      <c r="M25" s="207">
        <f t="shared" si="2"/>
        <v>154240.99139999997</v>
      </c>
      <c r="N25" s="207">
        <f>_xlfn.XLOOKUP(F25,Onderhoud!$D$4:$D$32,Onderhoud!$Y$4:$Y$32,0)*M25</f>
        <v>129788.71537819534</v>
      </c>
      <c r="O25">
        <f t="shared" si="3"/>
        <v>73960</v>
      </c>
      <c r="P25" t="str">
        <f t="shared" si="4"/>
        <v>m2</v>
      </c>
      <c r="Q25" t="str">
        <f>_xlfn.XLOOKUP($F25,Onderhoud!$D$103:$D$129,Onderhoud!U$103:U$129,"")</f>
        <v>85% B</v>
      </c>
      <c r="R25" t="str">
        <f>_xlfn.XLOOKUP($F25,Onderhoud!$D$103:$D$129,Onderhoud!V$103:V$129,"")</f>
        <v>82% B</v>
      </c>
      <c r="S25" t="str">
        <f>_xlfn.XLOOKUP($F25,Onderhoud!$D$103:$D$129,Onderhoud!W$103:W$129,"")</f>
        <v>90% B</v>
      </c>
      <c r="V25">
        <f>_xlfn.XLOOKUP($F25,Onderhoud!$D$103:$D$133,Onderhoud!$I$103:$I$133)</f>
        <v>1</v>
      </c>
      <c r="W25" s="522">
        <f>_xlfn.XLOOKUP($F25,Onderhoud!$D$103:$D$133,Onderhoud!$J$103:$J$133)</f>
        <v>0.2082518819442476</v>
      </c>
      <c r="Z25">
        <f>_xlfn.XLOOKUP($F25,Onderhoud!$D$103:$D$133,Onderhoud!$M$103:$M$133)</f>
        <v>1</v>
      </c>
      <c r="AA25" s="522" cm="1">
        <f t="array" ref="AA25">_xlfn.XLOOKUP($F25,Onderhoud!$D$59:$D$91,_xlfn.XLOOKUP(TOTEX!$G25&amp;AA$2,Onderhoud!$F$57:$U$57,Onderhoud!$F$59:$U$91))/L25*_xlfn.XLOOKUP($F25,Onderhoud!$D$59:$D$91,Onderhoud!$AF$59:$AF$91)+Onderhoud!$N$135*J25</f>
        <v>0.20264714197104619</v>
      </c>
      <c r="AD25" s="553">
        <f>_xlfn.XLOOKUP($F25,Onderhoud!$D$103:$D$133,Onderhoud!$Q$103:$Q$133)</f>
        <v>1</v>
      </c>
      <c r="AE25" s="522" cm="1">
        <f t="array" ref="AE25">_xlfn.XLOOKUP($F25,Onderhoud!$D$59:$D$91,_xlfn.XLOOKUP(TOTEX!$G25&amp;AA$2,Onderhoud!$F$57:$U$57,Onderhoud!$F$59:$U$91))/L25*_xlfn.XLOOKUP($F25,Onderhoud!$D$59:$D$91,Onderhoud!$W$59:$W$91)+Onderhoud!$R$135*J25</f>
        <v>0.36880814285957553</v>
      </c>
      <c r="AF25">
        <f>_xlfn.XLOOKUP($F25,Onderhoud!$D$103:$D$133,Onderhoud!$S$103:$S$133)</f>
        <v>1</v>
      </c>
      <c r="AG25" s="522" cm="1">
        <f t="array" ref="AG25">_xlfn.XLOOKUP($F25,Onderhoud!$D$59:$D$91,_xlfn.XLOOKUP(TOTEX!$G25&amp;AA$2,Onderhoud!$F$57:$U$57,Onderhoud!$F$59:$U$91))/L25*IF($AG$1,1,_xlfn.XLOOKUP($F25,Onderhoud!$D$59:$D$91,Onderhoud!$AG$59:$AG$91))+Onderhoud!$T$135*J25</f>
        <v>2.1174727794709445</v>
      </c>
      <c r="AH25">
        <f t="shared" si="5"/>
        <v>1</v>
      </c>
    </row>
    <row r="26" spans="1:34" x14ac:dyDescent="0.25">
      <c r="A26" t="s">
        <v>273</v>
      </c>
      <c r="B26" t="s">
        <v>274</v>
      </c>
      <c r="C26" t="s">
        <v>132</v>
      </c>
      <c r="D26" t="s">
        <v>137</v>
      </c>
      <c r="E26" t="s">
        <v>134</v>
      </c>
      <c r="F26" t="str">
        <f t="shared" si="0"/>
        <v>parkeervakkenbetonstraatstenen</v>
      </c>
      <c r="G26" t="s">
        <v>280</v>
      </c>
      <c r="H26" cm="1">
        <f t="array" ref="H26">_xlfn.XLOOKUP($F26,Onderhoud!$D$59:$D$91,_xlfn.XLOOKUP(TOTEX!$G26&amp;H$2,Onderhoud!$F$57:$U$57,Onderhoud!$F$59:$U$91))</f>
        <v>879350</v>
      </c>
      <c r="I26" t="s">
        <v>276</v>
      </c>
      <c r="J26" s="521" cm="1">
        <f t="array" ref="J26">_xlfn.XLOOKUP(F26,Onderhoud!$D$4:$D$32,_xlfn.XLOOKUP(TOTEX!G26&amp;J$2,Onderhoud!$F$2:$U$2,Onderhoud!$F$4:$U$32),0)</f>
        <v>62.38393604787592</v>
      </c>
      <c r="K26" s="523">
        <f t="shared" si="1"/>
        <v>54857314.163699694</v>
      </c>
      <c r="L26" s="553" cm="1">
        <f t="array" ref="L26">_xlfn.XLOOKUP($F26,Onderhoud!$D$59:$D$91,_xlfn.XLOOKUP(TOTEX!$G26&amp;L$2,Onderhoud!$F$57:$U$57,Onderhoud!$F$59:$U$91))</f>
        <v>40</v>
      </c>
      <c r="M26" s="207">
        <f t="shared" si="2"/>
        <v>1371432.8540924923</v>
      </c>
      <c r="N26" s="207">
        <f>_xlfn.XLOOKUP(F26,Onderhoud!$D$4:$D$32,Onderhoud!$Y$4:$Y$32,0)*M26</f>
        <v>1154015.5878440277</v>
      </c>
      <c r="O26">
        <f t="shared" si="3"/>
        <v>879350</v>
      </c>
      <c r="P26" t="str">
        <f t="shared" si="4"/>
        <v>m2</v>
      </c>
      <c r="Q26" t="str">
        <f>_xlfn.XLOOKUP($F26,Onderhoud!$D$103:$D$129,Onderhoud!U$103:U$129,"")</f>
        <v>85% B</v>
      </c>
      <c r="R26" t="str">
        <f>_xlfn.XLOOKUP($F26,Onderhoud!$D$103:$D$129,Onderhoud!V$103:V$129,"")</f>
        <v>82% B</v>
      </c>
      <c r="S26" t="str">
        <f>_xlfn.XLOOKUP($F26,Onderhoud!$D$103:$D$129,Onderhoud!W$103:W$129,"")</f>
        <v>90% B</v>
      </c>
      <c r="V26">
        <f>_xlfn.XLOOKUP($F26,Onderhoud!$D$103:$D$133,Onderhoud!$I$103:$I$133)</f>
        <v>1</v>
      </c>
      <c r="W26" s="522">
        <f>_xlfn.XLOOKUP($F26,Onderhoud!$D$103:$D$133,Onderhoud!$J$103:$J$133)</f>
        <v>0.15573951235167879</v>
      </c>
      <c r="Z26">
        <f>_xlfn.XLOOKUP($F26,Onderhoud!$D$103:$D$133,Onderhoud!$M$103:$M$133)</f>
        <v>1</v>
      </c>
      <c r="AA26" s="522" cm="1">
        <f t="array" ref="AA26">_xlfn.XLOOKUP($F26,Onderhoud!$D$59:$D$91,_xlfn.XLOOKUP(TOTEX!$G26&amp;AA$2,Onderhoud!$F$57:$U$57,Onderhoud!$F$59:$U$91))/L26*_xlfn.XLOOKUP($F26,Onderhoud!$D$59:$D$91,Onderhoud!$AF$59:$AF$91)+Onderhoud!$N$135*J26</f>
        <v>2.6207073755386782E-2</v>
      </c>
      <c r="AD26" s="553">
        <f>_xlfn.XLOOKUP($F26,Onderhoud!$D$103:$D$133,Onderhoud!$Q$103:$Q$133)</f>
        <v>1</v>
      </c>
      <c r="AE26" s="522" cm="1">
        <f t="array" ref="AE26">_xlfn.XLOOKUP($F26,Onderhoud!$D$59:$D$91,_xlfn.XLOOKUP(TOTEX!$G26&amp;AA$2,Onderhoud!$F$57:$U$57,Onderhoud!$F$59:$U$91))/L26*_xlfn.XLOOKUP($F26,Onderhoud!$D$59:$D$91,Onderhoud!$W$59:$W$91)+Onderhoud!$R$135*J26</f>
        <v>0.24044927047149739</v>
      </c>
      <c r="AF26">
        <f>_xlfn.XLOOKUP($F26,Onderhoud!$D$103:$D$133,Onderhoud!$S$103:$S$133)</f>
        <v>1</v>
      </c>
      <c r="AG26" s="522" cm="1">
        <f t="array" ref="AG26">_xlfn.XLOOKUP($F26,Onderhoud!$D$59:$D$91,_xlfn.XLOOKUP(TOTEX!$G26&amp;AA$2,Onderhoud!$F$57:$U$57,Onderhoud!$F$59:$U$91))/L26*IF($AG$1,1,_xlfn.XLOOKUP($F26,Onderhoud!$D$59:$D$91,Onderhoud!$AG$59:$AG$91))+Onderhoud!$T$135*J26</f>
        <v>1.3814725147458968</v>
      </c>
      <c r="AH26">
        <f t="shared" si="5"/>
        <v>1</v>
      </c>
    </row>
    <row r="27" spans="1:34" x14ac:dyDescent="0.25">
      <c r="A27" t="s">
        <v>273</v>
      </c>
      <c r="B27" t="s">
        <v>274</v>
      </c>
      <c r="C27" t="s">
        <v>132</v>
      </c>
      <c r="D27" t="s">
        <v>137</v>
      </c>
      <c r="E27" t="s">
        <v>135</v>
      </c>
      <c r="F27" t="str">
        <f t="shared" si="0"/>
        <v>parkeervakkenstraatbakstenen</v>
      </c>
      <c r="G27" t="s">
        <v>280</v>
      </c>
      <c r="H27" cm="1">
        <f t="array" ref="H27">_xlfn.XLOOKUP($F27,Onderhoud!$D$59:$D$91,_xlfn.XLOOKUP(TOTEX!$G27&amp;H$2,Onderhoud!$F$57:$U$57,Onderhoud!$F$59:$U$91))</f>
        <v>120400</v>
      </c>
      <c r="I27" t="s">
        <v>276</v>
      </c>
      <c r="J27" s="521" cm="1">
        <f t="array" ref="J27">_xlfn.XLOOKUP(F27,Onderhoud!$D$4:$D$32,_xlfn.XLOOKUP(TOTEX!G27&amp;J$2,Onderhoud!$F$2:$U$2,Onderhoud!$F$4:$U$32),0)</f>
        <v>73.742133656128019</v>
      </c>
      <c r="K27" s="523">
        <f t="shared" si="1"/>
        <v>8878552.8921978138</v>
      </c>
      <c r="L27" s="553" cm="1">
        <f t="array" ref="L27">_xlfn.XLOOKUP($F27,Onderhoud!$D$59:$D$91,_xlfn.XLOOKUP(TOTEX!$G27&amp;L$2,Onderhoud!$F$57:$U$57,Onderhoud!$F$59:$U$91))</f>
        <v>40</v>
      </c>
      <c r="M27" s="207">
        <f t="shared" si="2"/>
        <v>221963.82230494535</v>
      </c>
      <c r="N27" s="207">
        <f>_xlfn.XLOOKUP(F27,Onderhoud!$D$4:$D$32,Onderhoud!$Y$4:$Y$32,0)*M27</f>
        <v>186775.24759084819</v>
      </c>
      <c r="O27">
        <f t="shared" si="3"/>
        <v>120400</v>
      </c>
      <c r="P27" t="str">
        <f t="shared" si="4"/>
        <v>m2</v>
      </c>
      <c r="Q27" t="str">
        <f>_xlfn.XLOOKUP($F27,Onderhoud!$D$103:$D$129,Onderhoud!U$103:U$129,"")</f>
        <v>85% B</v>
      </c>
      <c r="R27" t="str">
        <f>_xlfn.XLOOKUP($F27,Onderhoud!$D$103:$D$129,Onderhoud!V$103:V$129,"")</f>
        <v>82% B</v>
      </c>
      <c r="S27" t="str">
        <f>_xlfn.XLOOKUP($F27,Onderhoud!$D$103:$D$129,Onderhoud!W$103:W$129,"")</f>
        <v>90% B</v>
      </c>
      <c r="V27">
        <f>_xlfn.XLOOKUP($F27,Onderhoud!$D$103:$D$133,Onderhoud!$I$103:$I$133)</f>
        <v>1</v>
      </c>
      <c r="W27" s="522">
        <f>_xlfn.XLOOKUP($F27,Onderhoud!$D$103:$D$133,Onderhoud!$J$103:$J$133)</f>
        <v>0.18409489145673627</v>
      </c>
      <c r="Z27">
        <f>_xlfn.XLOOKUP($F27,Onderhoud!$D$103:$D$133,Onderhoud!$M$103:$M$133)</f>
        <v>1</v>
      </c>
      <c r="AA27" s="522" cm="1">
        <f t="array" ref="AA27">_xlfn.XLOOKUP($F27,Onderhoud!$D$59:$D$91,_xlfn.XLOOKUP(TOTEX!$G27&amp;AA$2,Onderhoud!$F$57:$U$57,Onderhoud!$F$59:$U$91))/L27*_xlfn.XLOOKUP($F27,Onderhoud!$D$59:$D$91,Onderhoud!$AF$59:$AF$91)+Onderhoud!$N$135*J27</f>
        <v>2.3330296287910099E-2</v>
      </c>
      <c r="AD27" s="553">
        <f>_xlfn.XLOOKUP($F27,Onderhoud!$D$103:$D$133,Onderhoud!$Q$103:$Q$133)</f>
        <v>1</v>
      </c>
      <c r="AE27" s="522" cm="1">
        <f t="array" ref="AE27">_xlfn.XLOOKUP($F27,Onderhoud!$D$59:$D$91,_xlfn.XLOOKUP(TOTEX!$G27&amp;AA$2,Onderhoud!$F$57:$U$57,Onderhoud!$F$59:$U$91))/L27*_xlfn.XLOOKUP($F27,Onderhoud!$D$59:$D$91,Onderhoud!$W$59:$W$91)+Onderhoud!$R$135*J27</f>
        <v>0.17599285055974775</v>
      </c>
      <c r="AF27">
        <f>_xlfn.XLOOKUP($F27,Onderhoud!$D$103:$D$133,Onderhoud!$S$103:$S$133)</f>
        <v>1</v>
      </c>
      <c r="AG27" s="522" cm="1">
        <f t="array" ref="AG27">_xlfn.XLOOKUP($F27,Onderhoud!$D$59:$D$91,_xlfn.XLOOKUP(TOTEX!$G27&amp;AA$2,Onderhoud!$F$57:$U$57,Onderhoud!$F$59:$U$91))/L27*IF($AG$1,1,_xlfn.XLOOKUP($F27,Onderhoud!$D$59:$D$91,Onderhoud!$AG$59:$AG$91))+Onderhoud!$T$135*J27</f>
        <v>1.5659972434403511</v>
      </c>
      <c r="AH27">
        <f t="shared" si="5"/>
        <v>1</v>
      </c>
    </row>
    <row r="28" spans="1:34" x14ac:dyDescent="0.25">
      <c r="A28" t="s">
        <v>273</v>
      </c>
      <c r="B28" t="s">
        <v>274</v>
      </c>
      <c r="C28" t="s">
        <v>132</v>
      </c>
      <c r="D28" t="s">
        <v>137</v>
      </c>
      <c r="E28" t="s">
        <v>125</v>
      </c>
      <c r="F28" t="str">
        <f t="shared" si="0"/>
        <v xml:space="preserve">parkeervakkenasfalt </v>
      </c>
      <c r="G28" t="s">
        <v>280</v>
      </c>
      <c r="H28" cm="1">
        <f t="array" ref="H28">_xlfn.XLOOKUP($F28,Onderhoud!$D$59:$D$91,_xlfn.XLOOKUP(TOTEX!$G28&amp;H$2,Onderhoud!$F$57:$U$57,Onderhoud!$F$59:$U$91))</f>
        <v>52890</v>
      </c>
      <c r="I28" t="s">
        <v>276</v>
      </c>
      <c r="J28" s="521" cm="1">
        <f t="array" ref="J28">_xlfn.XLOOKUP(F28,Onderhoud!$D$4:$D$32,_xlfn.XLOOKUP(TOTEX!G28&amp;J$2,Onderhoud!$F$2:$U$2,Onderhoud!$F$4:$U$32),0)</f>
        <v>117.7479</v>
      </c>
      <c r="K28" s="523">
        <f t="shared" si="1"/>
        <v>6227686.4309999999</v>
      </c>
      <c r="L28" s="553" cm="1">
        <f t="array" ref="L28">_xlfn.XLOOKUP($F28,Onderhoud!$D$59:$D$91,_xlfn.XLOOKUP(TOTEX!$G28&amp;L$2,Onderhoud!$F$57:$U$57,Onderhoud!$F$59:$U$91))</f>
        <v>40</v>
      </c>
      <c r="M28" s="207">
        <f t="shared" si="2"/>
        <v>155692.160775</v>
      </c>
      <c r="N28" s="207">
        <f>_xlfn.XLOOKUP(F28,Onderhoud!$D$4:$D$32,Onderhoud!$Y$4:$Y$32,0)*M28</f>
        <v>131009.82662279949</v>
      </c>
      <c r="O28">
        <f t="shared" si="3"/>
        <v>52890</v>
      </c>
      <c r="P28" t="str">
        <f t="shared" si="4"/>
        <v>m2</v>
      </c>
      <c r="Q28" t="str">
        <f>_xlfn.XLOOKUP($F28,Onderhoud!$D$103:$D$129,Onderhoud!U$103:U$129,"")</f>
        <v>85% B</v>
      </c>
      <c r="R28" t="str">
        <f>_xlfn.XLOOKUP($F28,Onderhoud!$D$103:$D$129,Onderhoud!V$103:V$129,"")</f>
        <v>82% B</v>
      </c>
      <c r="S28" t="str">
        <f>_xlfn.XLOOKUP($F28,Onderhoud!$D$103:$D$129,Onderhoud!W$103:W$129,"")</f>
        <v>90% B</v>
      </c>
      <c r="V28">
        <f>_xlfn.XLOOKUP($F28,Onderhoud!$D$103:$D$133,Onderhoud!$I$103:$I$133)</f>
        <v>1</v>
      </c>
      <c r="W28" s="522">
        <f>_xlfn.XLOOKUP($F28,Onderhoud!$D$103:$D$133,Onderhoud!$J$103:$J$133)</f>
        <v>0.2939538876219821</v>
      </c>
      <c r="Z28">
        <f>_xlfn.XLOOKUP($F28,Onderhoud!$D$103:$D$133,Onderhoud!$M$103:$M$133)</f>
        <v>1</v>
      </c>
      <c r="AA28" s="522" cm="1">
        <f t="array" ref="AA28">_xlfn.XLOOKUP($F28,Onderhoud!$D$59:$D$91,_xlfn.XLOOKUP(TOTEX!$G28&amp;AA$2,Onderhoud!$F$57:$U$57,Onderhoud!$F$59:$U$91))/L28*_xlfn.XLOOKUP($F28,Onderhoud!$D$59:$D$91,Onderhoud!$AF$59:$AF$91)+Onderhoud!$N$135*J28</f>
        <v>2.8013863320193767E-2</v>
      </c>
      <c r="AD28" s="553">
        <f>_xlfn.XLOOKUP($F28,Onderhoud!$D$103:$D$133,Onderhoud!$Q$103:$Q$133)</f>
        <v>1</v>
      </c>
      <c r="AE28" s="522" cm="1">
        <f t="array" ref="AE28">_xlfn.XLOOKUP($F28,Onderhoud!$D$59:$D$91,_xlfn.XLOOKUP(TOTEX!$G28&amp;AA$2,Onderhoud!$F$57:$U$57,Onderhoud!$F$59:$U$91))/L28*_xlfn.XLOOKUP($F28,Onderhoud!$D$59:$D$91,Onderhoud!$W$59:$W$91)+Onderhoud!$R$135*J28</f>
        <v>0.25358933712624049</v>
      </c>
      <c r="AF28">
        <f>_xlfn.XLOOKUP($F28,Onderhoud!$D$103:$D$133,Onderhoud!$S$103:$S$133)</f>
        <v>1</v>
      </c>
      <c r="AG28" s="522" cm="1">
        <f t="array" ref="AG28">_xlfn.XLOOKUP($F28,Onderhoud!$D$59:$D$91,_xlfn.XLOOKUP(TOTEX!$G28&amp;AA$2,Onderhoud!$F$57:$U$57,Onderhoud!$F$59:$U$91))/L28*IF($AG$1,1,_xlfn.XLOOKUP($F28,Onderhoud!$D$59:$D$91,Onderhoud!$AG$59:$AG$91))+Onderhoud!$T$135*J28</f>
        <v>1.8701482389717592</v>
      </c>
      <c r="AH28">
        <f t="shared" si="5"/>
        <v>1</v>
      </c>
    </row>
    <row r="29" spans="1:34" x14ac:dyDescent="0.25">
      <c r="A29" t="s">
        <v>273</v>
      </c>
      <c r="B29" t="s">
        <v>274</v>
      </c>
      <c r="C29" t="s">
        <v>132</v>
      </c>
      <c r="D29" t="s">
        <v>137</v>
      </c>
      <c r="E29" t="s">
        <v>138</v>
      </c>
      <c r="F29" t="str">
        <f t="shared" si="0"/>
        <v>parkeervakkendiverse verharding</v>
      </c>
      <c r="G29" t="s">
        <v>280</v>
      </c>
      <c r="H29" cm="1">
        <f t="array" ref="H29">_xlfn.XLOOKUP($F29,Onderhoud!$D$59:$D$91,_xlfn.XLOOKUP(TOTEX!$G29&amp;H$2,Onderhoud!$F$57:$U$57,Onderhoud!$F$59:$U$91))</f>
        <v>83420</v>
      </c>
      <c r="I29" t="s">
        <v>276</v>
      </c>
      <c r="J29" s="521" cm="1">
        <f t="array" ref="J29">_xlfn.XLOOKUP(F29,Onderhoud!$D$4:$D$32,_xlfn.XLOOKUP(TOTEX!G29&amp;J$2,Onderhoud!$F$2:$U$2,Onderhoud!$F$4:$U$32),0)</f>
        <v>78.732300000000009</v>
      </c>
      <c r="K29" s="523">
        <f t="shared" si="1"/>
        <v>6567848.4660000009</v>
      </c>
      <c r="L29" s="553" cm="1">
        <f t="array" ref="L29">_xlfn.XLOOKUP($F29,Onderhoud!$D$59:$D$91,_xlfn.XLOOKUP(TOTEX!$G29&amp;L$2,Onderhoud!$F$57:$U$57,Onderhoud!$F$59:$U$91))</f>
        <v>40</v>
      </c>
      <c r="M29" s="207">
        <f t="shared" si="2"/>
        <v>164196.21165000001</v>
      </c>
      <c r="N29" s="207">
        <f>_xlfn.XLOOKUP(F29,Onderhoud!$D$4:$D$32,Onderhoud!$Y$4:$Y$32,0)*M29</f>
        <v>138165.70541065503</v>
      </c>
      <c r="O29">
        <f t="shared" si="3"/>
        <v>83420</v>
      </c>
      <c r="P29" t="str">
        <f t="shared" si="4"/>
        <v>m2</v>
      </c>
      <c r="Q29" t="str">
        <f>_xlfn.XLOOKUP($F29,Onderhoud!$D$103:$D$129,Onderhoud!U$103:U$129,"")</f>
        <v>85% B</v>
      </c>
      <c r="R29" t="str">
        <f>_xlfn.XLOOKUP($F29,Onderhoud!$D$103:$D$129,Onderhoud!V$103:V$129,"")</f>
        <v>82% B</v>
      </c>
      <c r="S29" t="str">
        <f>_xlfn.XLOOKUP($F29,Onderhoud!$D$103:$D$129,Onderhoud!W$103:W$129,"")</f>
        <v>90% B</v>
      </c>
      <c r="V29">
        <f>_xlfn.XLOOKUP($F29,Onderhoud!$D$103:$D$133,Onderhoud!$I$103:$I$133)</f>
        <v>1</v>
      </c>
      <c r="W29" s="522">
        <f>_xlfn.XLOOKUP($F29,Onderhoud!$D$103:$D$133,Onderhoud!$J$103:$J$133)</f>
        <v>0.19655268303231044</v>
      </c>
      <c r="Z29">
        <f>_xlfn.XLOOKUP($F29,Onderhoud!$D$103:$D$133,Onderhoud!$M$103:$M$133)</f>
        <v>1</v>
      </c>
      <c r="AA29" s="522" cm="1">
        <f t="array" ref="AA29">_xlfn.XLOOKUP($F29,Onderhoud!$D$59:$D$91,_xlfn.XLOOKUP(TOTEX!$G29&amp;AA$2,Onderhoud!$F$57:$U$57,Onderhoud!$F$59:$U$91))/L29*_xlfn.XLOOKUP($F29,Onderhoud!$D$59:$D$91,Onderhoud!$AF$59:$AF$91)+Onderhoud!$N$135*J29</f>
        <v>2.9867644622597247E-2</v>
      </c>
      <c r="AD29" s="553">
        <f>_xlfn.XLOOKUP($F29,Onderhoud!$D$103:$D$133,Onderhoud!$Q$103:$Q$133)</f>
        <v>1</v>
      </c>
      <c r="AE29" s="522" cm="1">
        <f t="array" ref="AE29">_xlfn.XLOOKUP($F29,Onderhoud!$D$59:$D$91,_xlfn.XLOOKUP(TOTEX!$G29&amp;AA$2,Onderhoud!$F$57:$U$57,Onderhoud!$F$59:$U$91))/L29*_xlfn.XLOOKUP($F29,Onderhoud!$D$59:$D$91,Onderhoud!$W$59:$W$91)+Onderhoud!$R$135*J29</f>
        <v>0.26015262457641974</v>
      </c>
      <c r="AF29">
        <f>_xlfn.XLOOKUP($F29,Onderhoud!$D$103:$D$133,Onderhoud!$S$103:$S$133)</f>
        <v>1</v>
      </c>
      <c r="AG29" s="522" cm="1">
        <f t="array" ref="AG29">_xlfn.XLOOKUP($F29,Onderhoud!$D$59:$D$91,_xlfn.XLOOKUP(TOTEX!$G29&amp;AA$2,Onderhoud!$F$57:$U$57,Onderhoud!$F$59:$U$91))/L29*IF($AG$1,1,_xlfn.XLOOKUP($F29,Onderhoud!$D$59:$D$91,Onderhoud!$AG$59:$AG$91))+Onderhoud!$T$135*J29</f>
        <v>1.6956778100029495</v>
      </c>
      <c r="AH29">
        <f t="shared" si="5"/>
        <v>1</v>
      </c>
    </row>
    <row r="30" spans="1:34" x14ac:dyDescent="0.25">
      <c r="A30" t="s">
        <v>273</v>
      </c>
      <c r="B30" t="s">
        <v>274</v>
      </c>
      <c r="C30" t="s">
        <v>132</v>
      </c>
      <c r="D30" t="s">
        <v>139</v>
      </c>
      <c r="E30" t="s">
        <v>140</v>
      </c>
      <c r="F30" t="str">
        <f t="shared" si="0"/>
        <v>fietspadenrood asfalt</v>
      </c>
      <c r="G30" t="s">
        <v>280</v>
      </c>
      <c r="H30" cm="1">
        <f t="array" ref="H30">_xlfn.XLOOKUP($F30,Onderhoud!$D$59:$D$91,_xlfn.XLOOKUP(TOTEX!$G30&amp;H$2,Onderhoud!$F$57:$U$57,Onderhoud!$F$59:$U$91))</f>
        <v>651880</v>
      </c>
      <c r="I30" t="s">
        <v>276</v>
      </c>
      <c r="J30" s="521" cm="1">
        <f t="array" ref="J30">_xlfn.XLOOKUP(F30,Onderhoud!$D$4:$D$32,_xlfn.XLOOKUP(TOTEX!G30&amp;J$2,Onderhoud!$F$2:$U$2,Onderhoud!$F$4:$U$32),0)</f>
        <v>98.835009284008805</v>
      </c>
      <c r="K30" s="523">
        <f t="shared" si="1"/>
        <v>64428565.852059662</v>
      </c>
      <c r="L30" s="553" cm="1">
        <f t="array" ref="L30">_xlfn.XLOOKUP($F30,Onderhoud!$D$59:$D$91,_xlfn.XLOOKUP(TOTEX!$G30&amp;L$2,Onderhoud!$F$57:$U$57,Onderhoud!$F$59:$U$91))</f>
        <v>40</v>
      </c>
      <c r="M30" s="207">
        <f t="shared" si="2"/>
        <v>1610714.1463014917</v>
      </c>
      <c r="N30" s="207">
        <f>_xlfn.XLOOKUP(F30,Onderhoud!$D$4:$D$32,Onderhoud!$Y$4:$Y$32,0)*M30</f>
        <v>1355362.9161252736</v>
      </c>
      <c r="O30">
        <f t="shared" si="3"/>
        <v>651880</v>
      </c>
      <c r="P30" t="str">
        <f t="shared" si="4"/>
        <v>m2</v>
      </c>
      <c r="Q30" t="str">
        <f>_xlfn.XLOOKUP($F30,Onderhoud!$D$103:$D$129,Onderhoud!U$103:U$129,"")</f>
        <v>85% B</v>
      </c>
      <c r="R30" t="str">
        <f>_xlfn.XLOOKUP($F30,Onderhoud!$D$103:$D$129,Onderhoud!V$103:V$129,"")</f>
        <v>82% B</v>
      </c>
      <c r="S30" t="str">
        <f>_xlfn.XLOOKUP($F30,Onderhoud!$D$103:$D$129,Onderhoud!W$103:W$129,"")</f>
        <v>90% B</v>
      </c>
      <c r="V30">
        <f>_xlfn.XLOOKUP($F30,Onderhoud!$D$103:$D$133,Onderhoud!$I$103:$I$133)</f>
        <v>1</v>
      </c>
      <c r="W30" s="522">
        <f>_xlfn.XLOOKUP($F30,Onderhoud!$D$103:$D$133,Onderhoud!$J$103:$J$133)</f>
        <v>0.24673845743481695</v>
      </c>
      <c r="Z30">
        <f>_xlfn.XLOOKUP($F30,Onderhoud!$D$103:$D$133,Onderhoud!$M$103:$M$133)</f>
        <v>1</v>
      </c>
      <c r="AA30" s="522" cm="1">
        <f t="array" ref="AA30">_xlfn.XLOOKUP($F30,Onderhoud!$D$59:$D$91,_xlfn.XLOOKUP(TOTEX!$G30&amp;AA$2,Onderhoud!$F$57:$U$57,Onderhoud!$F$59:$U$91))/L30*_xlfn.XLOOKUP($F30,Onderhoud!$D$59:$D$91,Onderhoud!$AF$59:$AF$91)+Onderhoud!$N$135*J30</f>
        <v>3.6803655217535751E-2</v>
      </c>
      <c r="AD30" s="553">
        <f>_xlfn.XLOOKUP($F30,Onderhoud!$D$103:$D$133,Onderhoud!$Q$103:$Q$133)</f>
        <v>1</v>
      </c>
      <c r="AE30" s="522" cm="1">
        <f t="array" ref="AE30">_xlfn.XLOOKUP($F30,Onderhoud!$D$59:$D$91,_xlfn.XLOOKUP(TOTEX!$G30&amp;AA$2,Onderhoud!$F$57:$U$57,Onderhoud!$F$59:$U$91))/L30*_xlfn.XLOOKUP($F30,Onderhoud!$D$59:$D$91,Onderhoud!$W$59:$W$91)+Onderhoud!$R$135*J30</f>
        <v>0.28928259135742318</v>
      </c>
      <c r="AF30">
        <f>_xlfn.XLOOKUP($F30,Onderhoud!$D$103:$D$133,Onderhoud!$S$103:$S$133)</f>
        <v>1</v>
      </c>
      <c r="AG30" s="522" cm="1">
        <f t="array" ref="AG30">_xlfn.XLOOKUP($F30,Onderhoud!$D$59:$D$91,_xlfn.XLOOKUP(TOTEX!$G30&amp;AA$2,Onderhoud!$F$57:$U$57,Onderhoud!$F$59:$U$91))/L30*IF($AG$1,1,_xlfn.XLOOKUP($F30,Onderhoud!$D$59:$D$91,Onderhoud!$AG$59:$AG$91))+Onderhoud!$T$135*J30</f>
        <v>2.181163517640853</v>
      </c>
      <c r="AH30">
        <f t="shared" si="5"/>
        <v>1</v>
      </c>
    </row>
    <row r="31" spans="1:34" x14ac:dyDescent="0.25">
      <c r="A31" t="s">
        <v>273</v>
      </c>
      <c r="B31" t="s">
        <v>274</v>
      </c>
      <c r="C31" t="s">
        <v>132</v>
      </c>
      <c r="D31" t="s">
        <v>139</v>
      </c>
      <c r="E31" t="s">
        <v>141</v>
      </c>
      <c r="F31" t="str">
        <f t="shared" si="0"/>
        <v>fietspadenelementverharding</v>
      </c>
      <c r="G31" t="s">
        <v>280</v>
      </c>
      <c r="H31" cm="1">
        <f t="array" ref="H31">_xlfn.XLOOKUP($F31,Onderhoud!$D$59:$D$91,_xlfn.XLOOKUP(TOTEX!$G31&amp;H$2,Onderhoud!$F$57:$U$57,Onderhoud!$F$59:$U$91))</f>
        <v>79550</v>
      </c>
      <c r="I31" t="s">
        <v>276</v>
      </c>
      <c r="J31" s="521" cm="1">
        <f t="array" ref="J31">_xlfn.XLOOKUP(F31,Onderhoud!$D$4:$D$32,_xlfn.XLOOKUP(TOTEX!G31&amp;J$2,Onderhoud!$F$2:$U$2,Onderhoud!$F$4:$U$32),0)</f>
        <v>127.84156564843498</v>
      </c>
      <c r="K31" s="523">
        <f t="shared" si="1"/>
        <v>10169796.547333002</v>
      </c>
      <c r="L31" s="553" cm="1">
        <f t="array" ref="L31">_xlfn.XLOOKUP($F31,Onderhoud!$D$59:$D$91,_xlfn.XLOOKUP(TOTEX!$G31&amp;L$2,Onderhoud!$F$57:$U$57,Onderhoud!$F$59:$U$91))</f>
        <v>40</v>
      </c>
      <c r="M31" s="207">
        <f t="shared" si="2"/>
        <v>254244.91368332505</v>
      </c>
      <c r="N31" s="207">
        <f>_xlfn.XLOOKUP(F31,Onderhoud!$D$4:$D$32,Onderhoud!$Y$4:$Y$32,0)*M31</f>
        <v>213938.72302612109</v>
      </c>
      <c r="O31">
        <f t="shared" si="3"/>
        <v>79550</v>
      </c>
      <c r="P31" t="str">
        <f t="shared" si="4"/>
        <v>m2</v>
      </c>
      <c r="Q31" t="str">
        <f>_xlfn.XLOOKUP($F31,Onderhoud!$D$103:$D$129,Onderhoud!U$103:U$129,"")</f>
        <v>85% B</v>
      </c>
      <c r="R31" t="str">
        <f>_xlfn.XLOOKUP($F31,Onderhoud!$D$103:$D$129,Onderhoud!V$103:V$129,"")</f>
        <v>82% B</v>
      </c>
      <c r="S31" t="str">
        <f>_xlfn.XLOOKUP($F31,Onderhoud!$D$103:$D$129,Onderhoud!W$103:W$129,"")</f>
        <v>90% B</v>
      </c>
      <c r="V31">
        <f>_xlfn.XLOOKUP($F31,Onderhoud!$D$103:$D$133,Onderhoud!$I$103:$I$133)</f>
        <v>1</v>
      </c>
      <c r="W31" s="522">
        <f>_xlfn.XLOOKUP($F31,Onderhoud!$D$103:$D$133,Onderhoud!$J$103:$J$133)</f>
        <v>0.31915240290517538</v>
      </c>
      <c r="Z31">
        <f>_xlfn.XLOOKUP($F31,Onderhoud!$D$103:$D$133,Onderhoud!$M$103:$M$133)</f>
        <v>1</v>
      </c>
      <c r="AA31" s="522" cm="1">
        <f t="array" ref="AA31">_xlfn.XLOOKUP($F31,Onderhoud!$D$59:$D$91,_xlfn.XLOOKUP(TOTEX!$G31&amp;AA$2,Onderhoud!$F$57:$U$57,Onderhoud!$F$59:$U$91))/L31*_xlfn.XLOOKUP($F31,Onderhoud!$D$59:$D$91,Onderhoud!$AF$59:$AF$91)+Onderhoud!$N$135*J31</f>
        <v>3.5211340788168448E-2</v>
      </c>
      <c r="AD31" s="553">
        <f>_xlfn.XLOOKUP($F31,Onderhoud!$D$103:$D$133,Onderhoud!$Q$103:$Q$133)</f>
        <v>1</v>
      </c>
      <c r="AE31" s="522" cm="1">
        <f t="array" ref="AE31">_xlfn.XLOOKUP($F31,Onderhoud!$D$59:$D$91,_xlfn.XLOOKUP(TOTEX!$G31&amp;AA$2,Onderhoud!$F$57:$U$57,Onderhoud!$F$59:$U$91))/L31*_xlfn.XLOOKUP($F31,Onderhoud!$D$59:$D$91,Onderhoud!$W$59:$W$91)+Onderhoud!$R$135*J31</f>
        <v>0.423389777136018</v>
      </c>
      <c r="AF31">
        <f>_xlfn.XLOOKUP($F31,Onderhoud!$D$103:$D$133,Onderhoud!$S$103:$S$133)</f>
        <v>1</v>
      </c>
      <c r="AG31" s="522" cm="1">
        <f t="array" ref="AG31">_xlfn.XLOOKUP($F31,Onderhoud!$D$59:$D$91,_xlfn.XLOOKUP(TOTEX!$G31&amp;AA$2,Onderhoud!$F$57:$U$57,Onderhoud!$F$59:$U$91))/L31*IF($AG$1,1,_xlfn.XLOOKUP($F31,Onderhoud!$D$59:$D$91,Onderhoud!$AG$59:$AG$91))+Onderhoud!$T$135*J31</f>
        <v>2.4346919026556844</v>
      </c>
      <c r="AH31">
        <f t="shared" si="5"/>
        <v>1</v>
      </c>
    </row>
    <row r="32" spans="1:34" x14ac:dyDescent="0.25">
      <c r="A32" t="s">
        <v>273</v>
      </c>
      <c r="B32" t="s">
        <v>274</v>
      </c>
      <c r="C32" t="s">
        <v>132</v>
      </c>
      <c r="D32" t="s">
        <v>142</v>
      </c>
      <c r="E32" t="s">
        <v>143</v>
      </c>
      <c r="F32" t="str">
        <f t="shared" si="0"/>
        <v>voetpadentrotoirtegels</v>
      </c>
      <c r="G32" t="s">
        <v>280</v>
      </c>
      <c r="H32" cm="1">
        <f t="array" ref="H32">_xlfn.XLOOKUP($F32,Onderhoud!$D$59:$D$91,_xlfn.XLOOKUP(TOTEX!$G32&amp;H$2,Onderhoud!$F$57:$U$57,Onderhoud!$F$59:$U$91))</f>
        <v>3909130</v>
      </c>
      <c r="I32" t="s">
        <v>276</v>
      </c>
      <c r="J32" s="521" cm="1">
        <f t="array" ref="J32">_xlfn.XLOOKUP(F32,Onderhoud!$D$4:$D$32,_xlfn.XLOOKUP(TOTEX!G32&amp;J$2,Onderhoud!$F$2:$U$2,Onderhoud!$F$4:$U$32),0)</f>
        <v>63.98248064129497</v>
      </c>
      <c r="K32" s="523">
        <f t="shared" si="1"/>
        <v>250115834.54930541</v>
      </c>
      <c r="L32" s="553" cm="1">
        <f t="array" ref="L32">_xlfn.XLOOKUP($F32,Onderhoud!$D$59:$D$91,_xlfn.XLOOKUP(TOTEX!$G32&amp;L$2,Onderhoud!$F$57:$U$57,Onderhoud!$F$59:$U$91))</f>
        <v>40</v>
      </c>
      <c r="M32" s="207">
        <f t="shared" si="2"/>
        <v>6252895.863732635</v>
      </c>
      <c r="N32" s="207">
        <f>_xlfn.XLOOKUP(F32,Onderhoud!$D$4:$D$32,Onderhoud!$Y$4:$Y$32,0)*M32</f>
        <v>5261605.9724541558</v>
      </c>
      <c r="O32">
        <f t="shared" si="3"/>
        <v>3909130</v>
      </c>
      <c r="P32" t="str">
        <f t="shared" si="4"/>
        <v>m2</v>
      </c>
      <c r="Q32" t="str">
        <f>_xlfn.XLOOKUP($F32,Onderhoud!$D$103:$D$129,Onderhoud!U$103:U$129,"")</f>
        <v>85% B</v>
      </c>
      <c r="R32" t="str">
        <f>_xlfn.XLOOKUP($F32,Onderhoud!$D$103:$D$129,Onderhoud!V$103:V$129,"")</f>
        <v>82% B</v>
      </c>
      <c r="S32" t="str">
        <f>_xlfn.XLOOKUP($F32,Onderhoud!$D$103:$D$129,Onderhoud!W$103:W$129,"")</f>
        <v>90% B</v>
      </c>
      <c r="V32">
        <f>_xlfn.XLOOKUP($F32,Onderhoud!$D$103:$D$133,Onderhoud!$I$103:$I$133)</f>
        <v>1</v>
      </c>
      <c r="W32" s="522">
        <f>_xlfn.XLOOKUP($F32,Onderhoud!$D$103:$D$133,Onderhoud!$J$103:$J$133)</f>
        <v>0.15973022809075038</v>
      </c>
      <c r="Z32">
        <f>_xlfn.XLOOKUP($F32,Onderhoud!$D$103:$D$133,Onderhoud!$M$103:$M$133)</f>
        <v>1</v>
      </c>
      <c r="AA32" s="522" cm="1">
        <f t="array" ref="AA32">_xlfn.XLOOKUP($F32,Onderhoud!$D$59:$D$91,_xlfn.XLOOKUP(TOTEX!$G32&amp;AA$2,Onderhoud!$F$57:$U$57,Onderhoud!$F$59:$U$91))/L32*_xlfn.XLOOKUP($F32,Onderhoud!$D$59:$D$91,Onderhoud!$AF$59:$AF$91)+Onderhoud!$N$135*J32</f>
        <v>2.7331612253993595E-2</v>
      </c>
      <c r="AD32" s="553">
        <f>_xlfn.XLOOKUP($F32,Onderhoud!$D$103:$D$133,Onderhoud!$Q$103:$Q$133)</f>
        <v>1</v>
      </c>
      <c r="AE32" s="522" cm="1">
        <f t="array" ref="AE32">_xlfn.XLOOKUP($F32,Onderhoud!$D$59:$D$91,_xlfn.XLOOKUP(TOTEX!$G32&amp;AA$2,Onderhoud!$F$57:$U$57,Onderhoud!$F$59:$U$91))/L32*_xlfn.XLOOKUP($F32,Onderhoud!$D$59:$D$91,Onderhoud!$W$59:$W$91)+Onderhoud!$R$135*J32</f>
        <v>0.2455224620115484</v>
      </c>
      <c r="AF32">
        <f>_xlfn.XLOOKUP($F32,Onderhoud!$D$103:$D$133,Onderhoud!$S$103:$S$133)</f>
        <v>1</v>
      </c>
      <c r="AG32" s="522" cm="1">
        <f t="array" ref="AG32">_xlfn.XLOOKUP($F32,Onderhoud!$D$59:$D$91,_xlfn.XLOOKUP(TOTEX!$G32&amp;AA$2,Onderhoud!$F$57:$U$57,Onderhoud!$F$59:$U$91))/L32*IF($AG$1,1,_xlfn.XLOOKUP($F32,Onderhoud!$D$59:$D$91,Onderhoud!$AG$59:$AG$91))+Onderhoud!$T$135*J32</f>
        <v>1.4106537654576756</v>
      </c>
      <c r="AH32">
        <f t="shared" si="5"/>
        <v>1</v>
      </c>
    </row>
    <row r="33" spans="1:34" x14ac:dyDescent="0.25">
      <c r="A33" t="s">
        <v>273</v>
      </c>
      <c r="B33" t="s">
        <v>274</v>
      </c>
      <c r="C33" t="s">
        <v>132</v>
      </c>
      <c r="D33" t="s">
        <v>142</v>
      </c>
      <c r="E33" t="s">
        <v>144</v>
      </c>
      <c r="F33" t="str">
        <f t="shared" si="0"/>
        <v>voetpadennatuursteentegels gefundeerd</v>
      </c>
      <c r="G33" t="s">
        <v>280</v>
      </c>
      <c r="H33" cm="1">
        <f t="array" ref="H33">_xlfn.XLOOKUP($F33,Onderhoud!$D$59:$D$91,_xlfn.XLOOKUP(TOTEX!$G33&amp;H$2,Onderhoud!$F$57:$U$57,Onderhoud!$F$59:$U$91))</f>
        <v>23650</v>
      </c>
      <c r="I33" t="s">
        <v>276</v>
      </c>
      <c r="J33" s="521" cm="1">
        <f t="array" ref="J33">_xlfn.XLOOKUP(F33,Onderhoud!$D$4:$D$32,_xlfn.XLOOKUP(TOTEX!G33&amp;J$2,Onderhoud!$F$2:$U$2,Onderhoud!$F$4:$U$32),0)</f>
        <v>184.09863442905561</v>
      </c>
      <c r="K33" s="523">
        <f t="shared" si="1"/>
        <v>4353932.7042471655</v>
      </c>
      <c r="L33" s="553" cm="1">
        <f t="array" ref="L33">_xlfn.XLOOKUP($F33,Onderhoud!$D$59:$D$91,_xlfn.XLOOKUP(TOTEX!$G33&amp;L$2,Onderhoud!$F$57:$U$57,Onderhoud!$F$59:$U$91))</f>
        <v>40</v>
      </c>
      <c r="M33" s="207">
        <f t="shared" si="2"/>
        <v>108848.31760617913</v>
      </c>
      <c r="N33" s="207">
        <f>_xlfn.XLOOKUP(F33,Onderhoud!$D$4:$D$32,Onderhoud!$Y$4:$Y$32,0)*M33</f>
        <v>91592.275081705651</v>
      </c>
      <c r="O33">
        <f t="shared" si="3"/>
        <v>23650</v>
      </c>
      <c r="P33" t="str">
        <f t="shared" si="4"/>
        <v>m2</v>
      </c>
      <c r="Q33" t="str">
        <f>_xlfn.XLOOKUP($F33,Onderhoud!$D$103:$D$129,Onderhoud!U$103:U$129,"")</f>
        <v>85% B</v>
      </c>
      <c r="R33" t="str">
        <f>_xlfn.XLOOKUP($F33,Onderhoud!$D$103:$D$129,Onderhoud!V$103:V$129,"")</f>
        <v>82% B</v>
      </c>
      <c r="S33" t="str">
        <f>_xlfn.XLOOKUP($F33,Onderhoud!$D$103:$D$129,Onderhoud!W$103:W$129,"")</f>
        <v>90% B</v>
      </c>
      <c r="V33">
        <f>_xlfn.XLOOKUP($F33,Onderhoud!$D$103:$D$133,Onderhoud!$I$103:$I$133)</f>
        <v>1</v>
      </c>
      <c r="W33" s="522">
        <f>_xlfn.XLOOKUP($F33,Onderhoud!$D$103:$D$133,Onderhoud!$J$103:$J$133)</f>
        <v>0.45959638597647162</v>
      </c>
      <c r="Z33">
        <f>_xlfn.XLOOKUP($F33,Onderhoud!$D$103:$D$133,Onderhoud!$M$103:$M$133)</f>
        <v>1</v>
      </c>
      <c r="AA33" s="522" cm="1">
        <f t="array" ref="AA33">_xlfn.XLOOKUP($F33,Onderhoud!$D$59:$D$91,_xlfn.XLOOKUP(TOTEX!$G33&amp;AA$2,Onderhoud!$F$57:$U$57,Onderhoud!$F$59:$U$91))/L33*_xlfn.XLOOKUP($F33,Onderhoud!$D$59:$D$91,Onderhoud!$AF$59:$AF$91)+Onderhoud!$N$135*J33</f>
        <v>3.7698481634205597E-2</v>
      </c>
      <c r="AD33" s="553">
        <f>_xlfn.XLOOKUP($F33,Onderhoud!$D$103:$D$133,Onderhoud!$Q$103:$Q$133)</f>
        <v>1</v>
      </c>
      <c r="AE33" s="522" cm="1">
        <f t="array" ref="AE33">_xlfn.XLOOKUP($F33,Onderhoud!$D$59:$D$91,_xlfn.XLOOKUP(TOTEX!$G33&amp;AA$2,Onderhoud!$F$57:$U$57,Onderhoud!$F$59:$U$91))/L33*_xlfn.XLOOKUP($F33,Onderhoud!$D$59:$D$91,Onderhoud!$W$59:$W$91)+Onderhoud!$R$135*J33</f>
        <v>1.330833171331417</v>
      </c>
      <c r="AF33">
        <f>_xlfn.XLOOKUP($F33,Onderhoud!$D$103:$D$133,Onderhoud!$S$103:$S$133)</f>
        <v>1</v>
      </c>
      <c r="AG33" s="522" cm="1">
        <f t="array" ref="AG33">_xlfn.XLOOKUP($F33,Onderhoud!$D$59:$D$91,_xlfn.XLOOKUP(TOTEX!$G33&amp;AA$2,Onderhoud!$F$57:$U$57,Onderhoud!$F$59:$U$91))/L33*IF($AG$1,1,_xlfn.XLOOKUP($F33,Onderhoud!$D$59:$D$91,Onderhoud!$AG$59:$AG$91))+Onderhoud!$T$135*J33</f>
        <v>7.6268251081372487</v>
      </c>
      <c r="AH33">
        <f t="shared" si="5"/>
        <v>1</v>
      </c>
    </row>
    <row r="34" spans="1:34" x14ac:dyDescent="0.25">
      <c r="A34" t="s">
        <v>273</v>
      </c>
      <c r="B34" t="s">
        <v>274</v>
      </c>
      <c r="C34" t="s">
        <v>132</v>
      </c>
      <c r="D34" t="s">
        <v>142</v>
      </c>
      <c r="E34" t="s">
        <v>145</v>
      </c>
      <c r="F34" t="str">
        <f t="shared" si="0"/>
        <v>voetpadennatuursteentegels ongefundeerd</v>
      </c>
      <c r="G34" t="s">
        <v>280</v>
      </c>
      <c r="H34" cm="1">
        <f t="array" ref="H34">_xlfn.XLOOKUP($F34,Onderhoud!$D$59:$D$91,_xlfn.XLOOKUP(TOTEX!$G34&amp;H$2,Onderhoud!$F$57:$U$57,Onderhoud!$F$59:$U$91))</f>
        <v>34830</v>
      </c>
      <c r="I34" t="s">
        <v>276</v>
      </c>
      <c r="J34" s="521" cm="1">
        <f t="array" ref="J34">_xlfn.XLOOKUP(F34,Onderhoud!$D$4:$D$32,_xlfn.XLOOKUP(TOTEX!G34&amp;J$2,Onderhoud!$F$2:$U$2,Onderhoud!$F$4:$U$32),0)</f>
        <v>137.94871011218811</v>
      </c>
      <c r="K34" s="523">
        <f t="shared" si="1"/>
        <v>4804753.5732075116</v>
      </c>
      <c r="L34" s="553" cm="1">
        <f t="array" ref="L34">_xlfn.XLOOKUP($F34,Onderhoud!$D$59:$D$91,_xlfn.XLOOKUP(TOTEX!$G34&amp;L$2,Onderhoud!$F$57:$U$57,Onderhoud!$F$59:$U$91))</f>
        <v>40</v>
      </c>
      <c r="M34" s="207">
        <f t="shared" si="2"/>
        <v>120118.83933018779</v>
      </c>
      <c r="N34" s="207">
        <f>_xlfn.XLOOKUP(F34,Onderhoud!$D$4:$D$32,Onderhoud!$Y$4:$Y$32,0)*M34</f>
        <v>101076.04799397654</v>
      </c>
      <c r="O34">
        <f t="shared" si="3"/>
        <v>34830</v>
      </c>
      <c r="P34" t="str">
        <f t="shared" si="4"/>
        <v>m2</v>
      </c>
      <c r="Q34" t="str">
        <f>_xlfn.XLOOKUP($F34,Onderhoud!$D$103:$D$129,Onderhoud!U$103:U$129,"")</f>
        <v>85% B</v>
      </c>
      <c r="R34" t="str">
        <f>_xlfn.XLOOKUP($F34,Onderhoud!$D$103:$D$129,Onderhoud!V$103:V$129,"")</f>
        <v>82% B</v>
      </c>
      <c r="S34" t="str">
        <f>_xlfn.XLOOKUP($F34,Onderhoud!$D$103:$D$129,Onderhoud!W$103:W$129,"")</f>
        <v>90% B</v>
      </c>
      <c r="V34">
        <f>_xlfn.XLOOKUP($F34,Onderhoud!$D$103:$D$133,Onderhoud!$I$103:$I$133)</f>
        <v>1</v>
      </c>
      <c r="W34" s="522">
        <f>_xlfn.XLOOKUP($F34,Onderhoud!$D$103:$D$133,Onderhoud!$J$103:$J$133)</f>
        <v>0.3443845676221447</v>
      </c>
      <c r="Z34">
        <f>_xlfn.XLOOKUP($F34,Onderhoud!$D$103:$D$133,Onderhoud!$M$103:$M$133)</f>
        <v>1</v>
      </c>
      <c r="AA34" s="522" cm="1">
        <f t="array" ref="AA34">_xlfn.XLOOKUP($F34,Onderhoud!$D$59:$D$91,_xlfn.XLOOKUP(TOTEX!$G34&amp;AA$2,Onderhoud!$F$57:$U$57,Onderhoud!$F$59:$U$91))/L34*_xlfn.XLOOKUP($F34,Onderhoud!$D$59:$D$91,Onderhoud!$AF$59:$AF$91)+Onderhoud!$N$135*J34</f>
        <v>3.2267441459605577E-2</v>
      </c>
      <c r="AD34" s="553">
        <f>_xlfn.XLOOKUP($F34,Onderhoud!$D$103:$D$133,Onderhoud!$Q$103:$Q$133)</f>
        <v>1</v>
      </c>
      <c r="AE34" s="522" cm="1">
        <f t="array" ref="AE34">_xlfn.XLOOKUP($F34,Onderhoud!$D$59:$D$91,_xlfn.XLOOKUP(TOTEX!$G34&amp;AA$2,Onderhoud!$F$57:$U$57,Onderhoud!$F$59:$U$91))/L34*_xlfn.XLOOKUP($F34,Onderhoud!$D$59:$D$91,Onderhoud!$W$59:$W$91)+Onderhoud!$R$135*J34</f>
        <v>1.001252903671775</v>
      </c>
      <c r="AF34">
        <f>_xlfn.XLOOKUP($F34,Onderhoud!$D$103:$D$133,Onderhoud!$S$103:$S$133)</f>
        <v>1</v>
      </c>
      <c r="AG34" s="522" cm="1">
        <f t="array" ref="AG34">_xlfn.XLOOKUP($F34,Onderhoud!$D$59:$D$91,_xlfn.XLOOKUP(TOTEX!$G34&amp;AA$2,Onderhoud!$F$57:$U$57,Onderhoud!$F$59:$U$91))/L34*IF($AG$1,1,_xlfn.XLOOKUP($F34,Onderhoud!$D$59:$D$91,Onderhoud!$AG$59:$AG$91))+Onderhoud!$T$135*J34</f>
        <v>5.7379782476316121</v>
      </c>
      <c r="AH34">
        <f t="shared" si="5"/>
        <v>1</v>
      </c>
    </row>
    <row r="35" spans="1:34" x14ac:dyDescent="0.25">
      <c r="A35" t="s">
        <v>273</v>
      </c>
      <c r="B35" t="s">
        <v>274</v>
      </c>
      <c r="C35" t="s">
        <v>132</v>
      </c>
      <c r="D35" t="s">
        <v>142</v>
      </c>
      <c r="E35" t="s">
        <v>146</v>
      </c>
      <c r="F35" t="str">
        <f t="shared" si="0"/>
        <v>voetpadenafwijkende tegels (formaat, dik)</v>
      </c>
      <c r="G35" t="s">
        <v>280</v>
      </c>
      <c r="H35" cm="1">
        <f t="array" ref="H35">_xlfn.XLOOKUP($F35,Onderhoud!$D$59:$D$91,_xlfn.XLOOKUP(TOTEX!$G35&amp;H$2,Onderhoud!$F$57:$U$57,Onderhoud!$F$59:$U$91))</f>
        <v>67080</v>
      </c>
      <c r="I35" t="s">
        <v>276</v>
      </c>
      <c r="J35" s="521" cm="1">
        <f t="array" ref="J35">_xlfn.XLOOKUP(F35,Onderhoud!$D$4:$D$32,_xlfn.XLOOKUP(TOTEX!G35&amp;J$2,Onderhoud!$F$2:$U$2,Onderhoud!$F$4:$U$32),0)</f>
        <v>97.679707187031212</v>
      </c>
      <c r="K35" s="523">
        <f t="shared" si="1"/>
        <v>6552354.7581060538</v>
      </c>
      <c r="L35" s="553" cm="1">
        <f t="array" ref="L35">_xlfn.XLOOKUP($F35,Onderhoud!$D$59:$D$91,_xlfn.XLOOKUP(TOTEX!$G35&amp;L$2,Onderhoud!$F$57:$U$57,Onderhoud!$F$59:$U$91))</f>
        <v>40</v>
      </c>
      <c r="M35" s="207">
        <f t="shared" si="2"/>
        <v>163808.86895265133</v>
      </c>
      <c r="N35" s="207">
        <f>_xlfn.XLOOKUP(F35,Onderhoud!$D$4:$D$32,Onderhoud!$Y$4:$Y$32,0)*M35</f>
        <v>137839.76928535075</v>
      </c>
      <c r="O35">
        <f t="shared" si="3"/>
        <v>67080</v>
      </c>
      <c r="P35" t="str">
        <f t="shared" si="4"/>
        <v>m2</v>
      </c>
      <c r="Q35" t="str">
        <f>_xlfn.XLOOKUP($F35,Onderhoud!$D$103:$D$129,Onderhoud!U$103:U$129,"")</f>
        <v>85% B</v>
      </c>
      <c r="R35" t="str">
        <f>_xlfn.XLOOKUP($F35,Onderhoud!$D$103:$D$129,Onderhoud!V$103:V$129,"")</f>
        <v>82% B</v>
      </c>
      <c r="S35" t="str">
        <f>_xlfn.XLOOKUP($F35,Onderhoud!$D$103:$D$129,Onderhoud!W$103:W$129,"")</f>
        <v>90% B</v>
      </c>
      <c r="V35">
        <f>_xlfn.XLOOKUP($F35,Onderhoud!$D$103:$D$133,Onderhoud!$I$103:$I$133)</f>
        <v>1</v>
      </c>
      <c r="W35" s="522">
        <f>_xlfn.XLOOKUP($F35,Onderhoud!$D$103:$D$133,Onderhoud!$J$103:$J$133)</f>
        <v>0.24385428249170207</v>
      </c>
      <c r="Z35">
        <f>_xlfn.XLOOKUP($F35,Onderhoud!$D$103:$D$133,Onderhoud!$M$103:$M$133)</f>
        <v>1</v>
      </c>
      <c r="AA35" s="522" cm="1">
        <f t="array" ref="AA35">_xlfn.XLOOKUP($F35,Onderhoud!$D$59:$D$91,_xlfn.XLOOKUP(TOTEX!$G35&amp;AA$2,Onderhoud!$F$57:$U$57,Onderhoud!$F$59:$U$91))/L35*_xlfn.XLOOKUP($F35,Onderhoud!$D$59:$D$91,Onderhoud!$AF$59:$AF$91)+Onderhoud!$N$135*J35</f>
        <v>2.7116371164572207E-2</v>
      </c>
      <c r="AD35" s="553">
        <f>_xlfn.XLOOKUP($F35,Onderhoud!$D$103:$D$133,Onderhoud!$Q$103:$Q$133)</f>
        <v>1</v>
      </c>
      <c r="AE35" s="522" cm="1">
        <f t="array" ref="AE35">_xlfn.XLOOKUP($F35,Onderhoud!$D$59:$D$91,_xlfn.XLOOKUP(TOTEX!$G35&amp;AA$2,Onderhoud!$F$57:$U$57,Onderhoud!$F$59:$U$91))/L35*_xlfn.XLOOKUP($F35,Onderhoud!$D$59:$D$91,Onderhoud!$W$59:$W$91)+Onderhoud!$R$135*J35</f>
        <v>0.32453925795332111</v>
      </c>
      <c r="AF35">
        <f>_xlfn.XLOOKUP($F35,Onderhoud!$D$103:$D$133,Onderhoud!$S$103:$S$133)</f>
        <v>1</v>
      </c>
      <c r="AG35" s="522" cm="1">
        <f t="array" ref="AG35">_xlfn.XLOOKUP($F35,Onderhoud!$D$59:$D$91,_xlfn.XLOOKUP(TOTEX!$G35&amp;AA$2,Onderhoud!$F$57:$U$57,Onderhoud!$F$59:$U$91))/L35*IF($AG$1,1,_xlfn.XLOOKUP($F35,Onderhoud!$D$59:$D$91,Onderhoud!$AG$59:$AG$91))+Onderhoud!$T$135*J35</f>
        <v>1.8662169094151471</v>
      </c>
      <c r="AH35">
        <f t="shared" si="5"/>
        <v>1</v>
      </c>
    </row>
    <row r="36" spans="1:34" x14ac:dyDescent="0.25">
      <c r="A36" t="s">
        <v>273</v>
      </c>
      <c r="B36" t="s">
        <v>274</v>
      </c>
      <c r="C36" t="s">
        <v>132</v>
      </c>
      <c r="D36" t="s">
        <v>133</v>
      </c>
      <c r="E36" t="s">
        <v>125</v>
      </c>
      <c r="F36" t="str">
        <f t="shared" si="0"/>
        <v xml:space="preserve">rijwegenasfalt </v>
      </c>
      <c r="G36" t="s">
        <v>281</v>
      </c>
      <c r="H36" cm="1">
        <f t="array" ref="H36">_xlfn.XLOOKUP($F36,Onderhoud!$D$59:$D$91,_xlfn.XLOOKUP(TOTEX!$G36&amp;H$2,Onderhoud!$F$57:$U$57,Onderhoud!$F$59:$U$91))</f>
        <v>243889.99999999997</v>
      </c>
      <c r="I36" t="s">
        <v>276</v>
      </c>
      <c r="J36" s="521" cm="1">
        <f t="array" ref="J36">_xlfn.XLOOKUP(F36,Onderhoud!$D$4:$D$32,_xlfn.XLOOKUP(TOTEX!G36&amp;J$2,Onderhoud!$F$2:$U$2,Onderhoud!$F$4:$U$32),0)</f>
        <v>117.7479</v>
      </c>
      <c r="K36" s="523">
        <f t="shared" si="1"/>
        <v>28717535.330999997</v>
      </c>
      <c r="L36" s="553" cm="1">
        <f t="array" ref="L36">_xlfn.XLOOKUP($F36,Onderhoud!$D$59:$D$91,_xlfn.XLOOKUP(TOTEX!$G36&amp;L$2,Onderhoud!$F$57:$U$57,Onderhoud!$F$59:$U$91))</f>
        <v>25</v>
      </c>
      <c r="M36" s="207">
        <f t="shared" si="2"/>
        <v>1148701.4132399999</v>
      </c>
      <c r="N36" s="207">
        <f>_xlfn.XLOOKUP(F36,Onderhoud!$D$4:$D$32,Onderhoud!$Y$4:$Y$32,0)*M36</f>
        <v>966594.41452174901</v>
      </c>
      <c r="O36">
        <f t="shared" si="3"/>
        <v>243889.99999999997</v>
      </c>
      <c r="P36" t="str">
        <f t="shared" si="4"/>
        <v>m2</v>
      </c>
      <c r="Q36" t="str">
        <f>_xlfn.XLOOKUP($F36,Onderhoud!$D$103:$D$129,Onderhoud!U$103:U$129,"")</f>
        <v>85% B</v>
      </c>
      <c r="R36" t="str">
        <f>_xlfn.XLOOKUP($F36,Onderhoud!$D$103:$D$129,Onderhoud!V$103:V$129,"")</f>
        <v>82% B</v>
      </c>
      <c r="S36" t="str">
        <f>_xlfn.XLOOKUP($F36,Onderhoud!$D$103:$D$129,Onderhoud!W$103:W$129,"")</f>
        <v>90% B</v>
      </c>
      <c r="V36">
        <f>_xlfn.XLOOKUP($F36,Onderhoud!$D$103:$D$133,Onderhoud!$I$103:$I$133)</f>
        <v>1</v>
      </c>
      <c r="W36" s="522">
        <f>_xlfn.XLOOKUP($F36,Onderhoud!$D$103:$D$133,Onderhoud!$J$103:$J$133)</f>
        <v>0.2939538876219821</v>
      </c>
      <c r="Z36">
        <f>_xlfn.XLOOKUP($F36,Onderhoud!$D$103:$D$133,Onderhoud!$M$103:$M$133)</f>
        <v>1</v>
      </c>
      <c r="AA36" s="522" cm="1">
        <f t="array" ref="AA36">_xlfn.XLOOKUP($F36,Onderhoud!$D$59:$D$91,_xlfn.XLOOKUP(TOTEX!$G36&amp;AA$2,Onderhoud!$F$57:$U$57,Onderhoud!$F$59:$U$91))/L36*_xlfn.XLOOKUP($F36,Onderhoud!$D$59:$D$91,Onderhoud!$AF$59:$AF$91)+Onderhoud!$N$135*J36</f>
        <v>3.5236359595427688E-2</v>
      </c>
      <c r="AD36" s="553">
        <f>_xlfn.XLOOKUP($F36,Onderhoud!$D$103:$D$133,Onderhoud!$Q$103:$Q$133)</f>
        <v>1</v>
      </c>
      <c r="AE36" s="522" cm="1">
        <f t="array" ref="AE36">_xlfn.XLOOKUP($F36,Onderhoud!$D$59:$D$91,_xlfn.XLOOKUP(TOTEX!$G36&amp;AA$2,Onderhoud!$F$57:$U$57,Onderhoud!$F$59:$U$91))/L36*_xlfn.XLOOKUP($F36,Onderhoud!$D$59:$D$91,Onderhoud!$W$59:$W$91)+Onderhoud!$R$135*J36</f>
        <v>0.1759763371262405</v>
      </c>
      <c r="AF36">
        <f>_xlfn.XLOOKUP($F36,Onderhoud!$D$103:$D$133,Onderhoud!$S$103:$S$133)</f>
        <v>1</v>
      </c>
      <c r="AG36" s="522" cm="1">
        <f t="array" ref="AG36">_xlfn.XLOOKUP($F36,Onderhoud!$D$59:$D$91,_xlfn.XLOOKUP(TOTEX!$G36&amp;AA$2,Onderhoud!$F$57:$U$57,Onderhoud!$F$59:$U$91))/L36*IF($AG$1,1,_xlfn.XLOOKUP($F36,Onderhoud!$D$59:$D$91,Onderhoud!$AG$59:$AG$91))+Onderhoud!$T$135*J36</f>
        <v>1.2492442389717593</v>
      </c>
      <c r="AH36">
        <f t="shared" si="5"/>
        <v>1</v>
      </c>
    </row>
    <row r="37" spans="1:34" x14ac:dyDescent="0.25">
      <c r="A37" t="s">
        <v>273</v>
      </c>
      <c r="B37" t="s">
        <v>274</v>
      </c>
      <c r="C37" t="s">
        <v>132</v>
      </c>
      <c r="D37" t="s">
        <v>133</v>
      </c>
      <c r="E37" t="s">
        <v>134</v>
      </c>
      <c r="F37" t="str">
        <f t="shared" si="0"/>
        <v>rijwegenbetonstraatstenen</v>
      </c>
      <c r="G37" t="s">
        <v>281</v>
      </c>
      <c r="H37" cm="1">
        <f t="array" ref="H37">_xlfn.XLOOKUP($F37,Onderhoud!$D$59:$D$91,_xlfn.XLOOKUP(TOTEX!$G37&amp;H$2,Onderhoud!$F$57:$U$57,Onderhoud!$F$59:$U$91))</f>
        <v>1200890</v>
      </c>
      <c r="I37" t="s">
        <v>276</v>
      </c>
      <c r="J37" s="521" cm="1">
        <f t="array" ref="J37">_xlfn.XLOOKUP(F37,Onderhoud!$D$4:$D$32,_xlfn.XLOOKUP(TOTEX!G37&amp;J$2,Onderhoud!$F$2:$U$2,Onderhoud!$F$4:$U$32),0)</f>
        <v>78.732300000000009</v>
      </c>
      <c r="K37" s="523">
        <f t="shared" si="1"/>
        <v>94548831.747000009</v>
      </c>
      <c r="L37" s="553" cm="1">
        <f t="array" ref="L37">_xlfn.XLOOKUP($F37,Onderhoud!$D$59:$D$91,_xlfn.XLOOKUP(TOTEX!$G37&amp;L$2,Onderhoud!$F$57:$U$57,Onderhoud!$F$59:$U$91))</f>
        <v>25</v>
      </c>
      <c r="M37" s="207">
        <f t="shared" si="2"/>
        <v>3781953.2698800005</v>
      </c>
      <c r="N37" s="207">
        <f>_xlfn.XLOOKUP(F37,Onderhoud!$D$4:$D$32,Onderhoud!$Y$4:$Y$32,0)*M37</f>
        <v>3182389.1435262822</v>
      </c>
      <c r="O37">
        <f t="shared" si="3"/>
        <v>1200890</v>
      </c>
      <c r="P37" t="str">
        <f t="shared" si="4"/>
        <v>m2</v>
      </c>
      <c r="Q37" t="str">
        <f>_xlfn.XLOOKUP($F37,Onderhoud!$D$103:$D$129,Onderhoud!U$103:U$129,"")</f>
        <v>85% B</v>
      </c>
      <c r="R37" t="str">
        <f>_xlfn.XLOOKUP($F37,Onderhoud!$D$103:$D$129,Onderhoud!V$103:V$129,"")</f>
        <v>82% B</v>
      </c>
      <c r="S37" t="str">
        <f>_xlfn.XLOOKUP($F37,Onderhoud!$D$103:$D$129,Onderhoud!W$103:W$129,"")</f>
        <v>90% B</v>
      </c>
      <c r="V37">
        <f>_xlfn.XLOOKUP($F37,Onderhoud!$D$103:$D$133,Onderhoud!$I$103:$I$133)</f>
        <v>1</v>
      </c>
      <c r="W37" s="522">
        <f>_xlfn.XLOOKUP($F37,Onderhoud!$D$103:$D$133,Onderhoud!$J$103:$J$133)</f>
        <v>0.19655268303231044</v>
      </c>
      <c r="Z37">
        <f>_xlfn.XLOOKUP($F37,Onderhoud!$D$103:$D$133,Onderhoud!$M$103:$M$133)</f>
        <v>1</v>
      </c>
      <c r="AA37" s="522" cm="1">
        <f t="array" ref="AA37">_xlfn.XLOOKUP($F37,Onderhoud!$D$59:$D$91,_xlfn.XLOOKUP(TOTEX!$G37&amp;AA$2,Onderhoud!$F$57:$U$57,Onderhoud!$F$59:$U$91))/L37*_xlfn.XLOOKUP($F37,Onderhoud!$D$59:$D$91,Onderhoud!$AF$59:$AF$91)+Onderhoud!$N$135*J37</f>
        <v>1.7041678830236988E-2</v>
      </c>
      <c r="AD37" s="553">
        <f>_xlfn.XLOOKUP($F37,Onderhoud!$D$103:$D$133,Onderhoud!$Q$103:$Q$133)</f>
        <v>1</v>
      </c>
      <c r="AE37" s="522" cm="1">
        <f t="array" ref="AE37">_xlfn.XLOOKUP($F37,Onderhoud!$D$59:$D$91,_xlfn.XLOOKUP(TOTEX!$G37&amp;AA$2,Onderhoud!$F$57:$U$57,Onderhoud!$F$59:$U$91))/L37*_xlfn.XLOOKUP($F37,Onderhoud!$D$59:$D$91,Onderhoud!$W$59:$W$91)+Onderhoud!$R$135*J37</f>
        <v>0.17508397957641969</v>
      </c>
      <c r="AF37">
        <f>_xlfn.XLOOKUP($F37,Onderhoud!$D$103:$D$133,Onderhoud!$S$103:$S$133)</f>
        <v>1</v>
      </c>
      <c r="AG37" s="522" cm="1">
        <f t="array" ref="AG37">_xlfn.XLOOKUP($F37,Onderhoud!$D$59:$D$91,_xlfn.XLOOKUP(TOTEX!$G37&amp;AA$2,Onderhoud!$F$57:$U$57,Onderhoud!$F$59:$U$91))/L37*IF($AG$1,1,_xlfn.XLOOKUP($F37,Onderhoud!$D$59:$D$91,Onderhoud!$AG$59:$AG$91))+Onderhoud!$T$135*J37</f>
        <v>1.0099159100029493</v>
      </c>
      <c r="AH37">
        <f t="shared" si="5"/>
        <v>1</v>
      </c>
    </row>
    <row r="38" spans="1:34" x14ac:dyDescent="0.25">
      <c r="A38" t="s">
        <v>273</v>
      </c>
      <c r="B38" t="s">
        <v>274</v>
      </c>
      <c r="C38" t="s">
        <v>132</v>
      </c>
      <c r="D38" t="s">
        <v>133</v>
      </c>
      <c r="E38" t="s">
        <v>135</v>
      </c>
      <c r="F38" t="str">
        <f t="shared" si="0"/>
        <v>rijwegenstraatbakstenen</v>
      </c>
      <c r="G38" t="s">
        <v>281</v>
      </c>
      <c r="H38" cm="1">
        <f t="array" ref="H38">_xlfn.XLOOKUP($F38,Onderhoud!$D$59:$D$91,_xlfn.XLOOKUP(TOTEX!$G38&amp;H$2,Onderhoud!$F$57:$U$57,Onderhoud!$F$59:$U$91))</f>
        <v>213729.99999999997</v>
      </c>
      <c r="I38" t="s">
        <v>276</v>
      </c>
      <c r="J38" s="521" cm="1">
        <f t="array" ref="J38">_xlfn.XLOOKUP(F38,Onderhoud!$D$4:$D$32,_xlfn.XLOOKUP(TOTEX!G38&amp;J$2,Onderhoud!$F$2:$U$2,Onderhoud!$F$4:$U$32),0)</f>
        <v>91.241400000000013</v>
      </c>
      <c r="K38" s="523">
        <f t="shared" si="1"/>
        <v>19501024.421999998</v>
      </c>
      <c r="L38" s="553" cm="1">
        <f t="array" ref="L38">_xlfn.XLOOKUP($F38,Onderhoud!$D$59:$D$91,_xlfn.XLOOKUP(TOTEX!$G38&amp;L$2,Onderhoud!$F$57:$U$57,Onderhoud!$F$59:$U$91))</f>
        <v>25</v>
      </c>
      <c r="M38" s="207">
        <f t="shared" si="2"/>
        <v>780040.97687999997</v>
      </c>
      <c r="N38" s="207">
        <f>_xlfn.XLOOKUP(F38,Onderhoud!$D$4:$D$32,Onderhoud!$Y$4:$Y$32,0)*M38</f>
        <v>656378.79666538362</v>
      </c>
      <c r="O38">
        <f t="shared" si="3"/>
        <v>213729.99999999997</v>
      </c>
      <c r="P38" t="str">
        <f t="shared" si="4"/>
        <v>m2</v>
      </c>
      <c r="Q38" t="str">
        <f>_xlfn.XLOOKUP($F38,Onderhoud!$D$103:$D$129,Onderhoud!U$103:U$129,"")</f>
        <v>85% B</v>
      </c>
      <c r="R38" t="str">
        <f>_xlfn.XLOOKUP($F38,Onderhoud!$D$103:$D$129,Onderhoud!V$103:V$129,"")</f>
        <v>82% B</v>
      </c>
      <c r="S38" t="str">
        <f>_xlfn.XLOOKUP($F38,Onderhoud!$D$103:$D$129,Onderhoud!W$103:W$129,"")</f>
        <v>90% B</v>
      </c>
      <c r="V38">
        <f>_xlfn.XLOOKUP($F38,Onderhoud!$D$103:$D$133,Onderhoud!$I$103:$I$133)</f>
        <v>1</v>
      </c>
      <c r="W38" s="522">
        <f>_xlfn.XLOOKUP($F38,Onderhoud!$D$103:$D$133,Onderhoud!$J$103:$J$133)</f>
        <v>0.22778125335630039</v>
      </c>
      <c r="Z38">
        <f>_xlfn.XLOOKUP($F38,Onderhoud!$D$103:$D$133,Onderhoud!$M$103:$M$133)</f>
        <v>1</v>
      </c>
      <c r="AA38" s="522" cm="1">
        <f t="array" ref="AA38">_xlfn.XLOOKUP($F38,Onderhoud!$D$59:$D$91,_xlfn.XLOOKUP(TOTEX!$G38&amp;AA$2,Onderhoud!$F$57:$U$57,Onderhoud!$F$59:$U$91))/L38*_xlfn.XLOOKUP($F38,Onderhoud!$D$59:$D$91,Onderhoud!$AF$59:$AF$91)+Onderhoud!$N$135*J38</f>
        <v>1.7536756535844803E-2</v>
      </c>
      <c r="AD38" s="553">
        <f>_xlfn.XLOOKUP($F38,Onderhoud!$D$103:$D$133,Onderhoud!$Q$103:$Q$133)</f>
        <v>1</v>
      </c>
      <c r="AE38" s="522" cm="1">
        <f t="array" ref="AE38">_xlfn.XLOOKUP($F38,Onderhoud!$D$59:$D$91,_xlfn.XLOOKUP(TOTEX!$G38&amp;AA$2,Onderhoud!$F$57:$U$57,Onderhoud!$F$59:$U$91))/L38*_xlfn.XLOOKUP($F38,Onderhoud!$D$59:$D$91,Onderhoud!$W$59:$W$91)+Onderhoud!$R$135*J38</f>
        <v>0.2365520652410375</v>
      </c>
      <c r="AF38">
        <f>_xlfn.XLOOKUP($F38,Onderhoud!$D$103:$D$133,Onderhoud!$S$103:$S$133)</f>
        <v>1</v>
      </c>
      <c r="AG38" s="522" cm="1">
        <f t="array" ref="AG38">_xlfn.XLOOKUP($F38,Onderhoud!$D$59:$D$91,_xlfn.XLOOKUP(TOTEX!$G38&amp;AA$2,Onderhoud!$F$57:$U$57,Onderhoud!$F$59:$U$91))/L38*IF($AG$1,1,_xlfn.XLOOKUP($F38,Onderhoud!$D$59:$D$91,Onderhoud!$AG$59:$AG$91))+Onderhoud!$T$135*J38</f>
        <v>1.3626613231685483</v>
      </c>
      <c r="AH38">
        <f t="shared" si="5"/>
        <v>1</v>
      </c>
    </row>
    <row r="39" spans="1:34" x14ac:dyDescent="0.25">
      <c r="A39" t="s">
        <v>273</v>
      </c>
      <c r="B39" t="s">
        <v>274</v>
      </c>
      <c r="C39" t="s">
        <v>132</v>
      </c>
      <c r="D39" t="s">
        <v>133</v>
      </c>
      <c r="E39" t="s">
        <v>136</v>
      </c>
      <c r="F39" t="str">
        <f t="shared" si="0"/>
        <v>rijwegenbetonstraatstenen - wpv</v>
      </c>
      <c r="G39" t="s">
        <v>281</v>
      </c>
      <c r="H39" cm="1">
        <f t="array" ref="H39">_xlfn.XLOOKUP($F39,Onderhoud!$D$59:$D$91,_xlfn.XLOOKUP(TOTEX!$G39&amp;H$2,Onderhoud!$F$57:$U$57,Onderhoud!$F$59:$U$91))</f>
        <v>49880</v>
      </c>
      <c r="I39" t="s">
        <v>276</v>
      </c>
      <c r="J39" s="521" cm="1">
        <f t="array" ref="J39">_xlfn.XLOOKUP(F39,Onderhoud!$D$4:$D$32,_xlfn.XLOOKUP(TOTEX!G39&amp;J$2,Onderhoud!$F$2:$U$2,Onderhoud!$F$4:$U$32),0)</f>
        <v>83.418599999999984</v>
      </c>
      <c r="K39" s="523">
        <f t="shared" si="1"/>
        <v>4160919.7679999992</v>
      </c>
      <c r="L39" s="553" cm="1">
        <f t="array" ref="L39">_xlfn.XLOOKUP($F39,Onderhoud!$D$59:$D$91,_xlfn.XLOOKUP(TOTEX!$G39&amp;L$2,Onderhoud!$F$57:$U$57,Onderhoud!$F$59:$U$91))</f>
        <v>25</v>
      </c>
      <c r="M39" s="207">
        <f t="shared" si="2"/>
        <v>166436.79071999996</v>
      </c>
      <c r="N39" s="207">
        <f>_xlfn.XLOOKUP(F39,Onderhoud!$D$4:$D$32,Onderhoud!$Y$4:$Y$32,0)*M39</f>
        <v>140051.07891972706</v>
      </c>
      <c r="O39">
        <f t="shared" si="3"/>
        <v>49880</v>
      </c>
      <c r="P39" t="str">
        <f t="shared" si="4"/>
        <v>m2</v>
      </c>
      <c r="Q39" t="str">
        <f>_xlfn.XLOOKUP($F39,Onderhoud!$D$103:$D$129,Onderhoud!U$103:U$129,"")</f>
        <v>85% B</v>
      </c>
      <c r="R39" t="str">
        <f>_xlfn.XLOOKUP($F39,Onderhoud!$D$103:$D$129,Onderhoud!V$103:V$129,"")</f>
        <v>82% B</v>
      </c>
      <c r="S39" t="str">
        <f>_xlfn.XLOOKUP($F39,Onderhoud!$D$103:$D$129,Onderhoud!W$103:W$129,"")</f>
        <v>90% B</v>
      </c>
      <c r="V39">
        <f>_xlfn.XLOOKUP($F39,Onderhoud!$D$103:$D$133,Onderhoud!$I$103:$I$133)</f>
        <v>1</v>
      </c>
      <c r="W39" s="522">
        <f>_xlfn.XLOOKUP($F39,Onderhoud!$D$103:$D$133,Onderhoud!$J$103:$J$133)</f>
        <v>0.2082518819442476</v>
      </c>
      <c r="Z39">
        <f>_xlfn.XLOOKUP($F39,Onderhoud!$D$103:$D$133,Onderhoud!$M$103:$M$133)</f>
        <v>1</v>
      </c>
      <c r="AA39" s="522" cm="1">
        <f t="array" ref="AA39">_xlfn.XLOOKUP($F39,Onderhoud!$D$59:$D$91,_xlfn.XLOOKUP(TOTEX!$G39&amp;AA$2,Onderhoud!$F$57:$U$57,Onderhoud!$F$59:$U$91))/L39*_xlfn.XLOOKUP($F39,Onderhoud!$D$59:$D$91,Onderhoud!$AF$59:$AF$91)+Onderhoud!$N$135*J39</f>
        <v>0.15547467573334853</v>
      </c>
      <c r="AD39" s="553">
        <f>_xlfn.XLOOKUP($F39,Onderhoud!$D$103:$D$133,Onderhoud!$Q$103:$Q$133)</f>
        <v>1</v>
      </c>
      <c r="AE39" s="522" cm="1">
        <f t="array" ref="AE39">_xlfn.XLOOKUP($F39,Onderhoud!$D$59:$D$91,_xlfn.XLOOKUP(TOTEX!$G39&amp;AA$2,Onderhoud!$F$57:$U$57,Onderhoud!$F$59:$U$91))/L39*_xlfn.XLOOKUP($F39,Onderhoud!$D$59:$D$91,Onderhoud!$W$59:$W$91)+Onderhoud!$R$135*J39</f>
        <v>0.29395617107909361</v>
      </c>
      <c r="AF39">
        <f>_xlfn.XLOOKUP($F39,Onderhoud!$D$103:$D$133,Onderhoud!$S$103:$S$133)</f>
        <v>1</v>
      </c>
      <c r="AG39" s="522" cm="1">
        <f t="array" ref="AG39">_xlfn.XLOOKUP($F39,Onderhoud!$D$59:$D$91,_xlfn.XLOOKUP(TOTEX!$G39&amp;AA$2,Onderhoud!$F$57:$U$57,Onderhoud!$F$59:$U$91))/L39*IF($AG$1,1,_xlfn.XLOOKUP($F39,Onderhoud!$D$59:$D$91,Onderhoud!$AG$59:$AG$91))+Onderhoud!$T$135*J39</f>
        <v>1.6897472264396192</v>
      </c>
      <c r="AH39">
        <f t="shared" si="5"/>
        <v>1</v>
      </c>
    </row>
    <row r="40" spans="1:34" x14ac:dyDescent="0.25">
      <c r="A40" t="s">
        <v>273</v>
      </c>
      <c r="B40" t="s">
        <v>274</v>
      </c>
      <c r="C40" t="s">
        <v>132</v>
      </c>
      <c r="D40" t="s">
        <v>137</v>
      </c>
      <c r="E40" t="s">
        <v>134</v>
      </c>
      <c r="F40" t="str">
        <f t="shared" si="0"/>
        <v>parkeervakkenbetonstraatstenen</v>
      </c>
      <c r="G40" t="s">
        <v>281</v>
      </c>
      <c r="H40" cm="1">
        <f t="array" ref="H40">_xlfn.XLOOKUP($F40,Onderhoud!$D$59:$D$91,_xlfn.XLOOKUP(TOTEX!$G40&amp;H$2,Onderhoud!$F$57:$U$57,Onderhoud!$F$59:$U$91))</f>
        <v>593050</v>
      </c>
      <c r="I40" t="s">
        <v>276</v>
      </c>
      <c r="J40" s="521" cm="1">
        <f t="array" ref="J40">_xlfn.XLOOKUP(F40,Onderhoud!$D$4:$D$32,_xlfn.XLOOKUP(TOTEX!G40&amp;J$2,Onderhoud!$F$2:$U$2,Onderhoud!$F$4:$U$32),0)</f>
        <v>62.38393604787592</v>
      </c>
      <c r="K40" s="523">
        <f t="shared" si="1"/>
        <v>36996793.273192815</v>
      </c>
      <c r="L40" s="553" cm="1">
        <f t="array" ref="L40">_xlfn.XLOOKUP($F40,Onderhoud!$D$59:$D$91,_xlfn.XLOOKUP(TOTEX!$G40&amp;L$2,Onderhoud!$F$57:$U$57,Onderhoud!$F$59:$U$91))</f>
        <v>25</v>
      </c>
      <c r="M40" s="207">
        <f t="shared" si="2"/>
        <v>1479871.7309277125</v>
      </c>
      <c r="N40" s="207">
        <f>_xlfn.XLOOKUP(F40,Onderhoud!$D$4:$D$32,Onderhoud!$Y$4:$Y$32,0)*M40</f>
        <v>1245263.3319991368</v>
      </c>
      <c r="O40">
        <f t="shared" si="3"/>
        <v>593050</v>
      </c>
      <c r="P40" t="str">
        <f t="shared" si="4"/>
        <v>m2</v>
      </c>
      <c r="Q40" t="str">
        <f>_xlfn.XLOOKUP($F40,Onderhoud!$D$103:$D$129,Onderhoud!U$103:U$129,"")</f>
        <v>85% B</v>
      </c>
      <c r="R40" t="str">
        <f>_xlfn.XLOOKUP($F40,Onderhoud!$D$103:$D$129,Onderhoud!V$103:V$129,"")</f>
        <v>82% B</v>
      </c>
      <c r="S40" t="str">
        <f>_xlfn.XLOOKUP($F40,Onderhoud!$D$103:$D$129,Onderhoud!W$103:W$129,"")</f>
        <v>90% B</v>
      </c>
      <c r="V40">
        <f>_xlfn.XLOOKUP($F40,Onderhoud!$D$103:$D$133,Onderhoud!$I$103:$I$133)</f>
        <v>1</v>
      </c>
      <c r="W40" s="522">
        <f>_xlfn.XLOOKUP($F40,Onderhoud!$D$103:$D$133,Onderhoud!$J$103:$J$133)</f>
        <v>0.15573951235167879</v>
      </c>
      <c r="Z40">
        <f>_xlfn.XLOOKUP($F40,Onderhoud!$D$103:$D$133,Onderhoud!$M$103:$M$133)</f>
        <v>1</v>
      </c>
      <c r="AA40" s="522" cm="1">
        <f t="array" ref="AA40">_xlfn.XLOOKUP($F40,Onderhoud!$D$59:$D$91,_xlfn.XLOOKUP(TOTEX!$G40&amp;AA$2,Onderhoud!$F$57:$U$57,Onderhoud!$F$59:$U$91))/L40*_xlfn.XLOOKUP($F40,Onderhoud!$D$59:$D$91,Onderhoud!$AF$59:$AF$91)+Onderhoud!$N$135*J40</f>
        <v>2.1148046720487604E-2</v>
      </c>
      <c r="AD40" s="553">
        <f>_xlfn.XLOOKUP($F40,Onderhoud!$D$103:$D$133,Onderhoud!$Q$103:$Q$133)</f>
        <v>1</v>
      </c>
      <c r="AE40" s="522" cm="1">
        <f t="array" ref="AE40">_xlfn.XLOOKUP($F40,Onderhoud!$D$59:$D$91,_xlfn.XLOOKUP(TOTEX!$G40&amp;AA$2,Onderhoud!$F$57:$U$57,Onderhoud!$F$59:$U$91))/L40*_xlfn.XLOOKUP($F40,Onderhoud!$D$59:$D$91,Onderhoud!$W$59:$W$91)+Onderhoud!$R$135*J40</f>
        <v>0.19684413146027324</v>
      </c>
      <c r="AF40">
        <f>_xlfn.XLOOKUP($F40,Onderhoud!$D$103:$D$133,Onderhoud!$S$103:$S$133)</f>
        <v>1</v>
      </c>
      <c r="AG40" s="522" cm="1">
        <f t="array" ref="AG40">_xlfn.XLOOKUP($F40,Onderhoud!$D$59:$D$91,_xlfn.XLOOKUP(TOTEX!$G40&amp;AA$2,Onderhoud!$F$57:$U$57,Onderhoud!$F$59:$U$91))/L40*IF($AG$1,1,_xlfn.XLOOKUP($F40,Onderhoud!$D$59:$D$91,Onderhoud!$AG$59:$AG$91))+Onderhoud!$T$135*J40</f>
        <v>1.1323002918246159</v>
      </c>
      <c r="AH40">
        <f t="shared" si="5"/>
        <v>1</v>
      </c>
    </row>
    <row r="41" spans="1:34" x14ac:dyDescent="0.25">
      <c r="A41" t="s">
        <v>273</v>
      </c>
      <c r="B41" t="s">
        <v>274</v>
      </c>
      <c r="C41" t="s">
        <v>132</v>
      </c>
      <c r="D41" t="s">
        <v>137</v>
      </c>
      <c r="E41" t="s">
        <v>135</v>
      </c>
      <c r="F41" t="str">
        <f t="shared" si="0"/>
        <v>parkeervakkenstraatbakstenen</v>
      </c>
      <c r="G41" t="s">
        <v>281</v>
      </c>
      <c r="H41" cm="1">
        <f t="array" ref="H41">_xlfn.XLOOKUP($F41,Onderhoud!$D$59:$D$91,_xlfn.XLOOKUP(TOTEX!$G41&amp;H$2,Onderhoud!$F$57:$U$57,Onderhoud!$F$59:$U$91))</f>
        <v>81200</v>
      </c>
      <c r="I41" t="s">
        <v>276</v>
      </c>
      <c r="J41" s="521" cm="1">
        <f t="array" ref="J41">_xlfn.XLOOKUP(F41,Onderhoud!$D$4:$D$32,_xlfn.XLOOKUP(TOTEX!G41&amp;J$2,Onderhoud!$F$2:$U$2,Onderhoud!$F$4:$U$32),0)</f>
        <v>73.742133656128019</v>
      </c>
      <c r="K41" s="523">
        <f t="shared" si="1"/>
        <v>5987861.2528775949</v>
      </c>
      <c r="L41" s="553" cm="1">
        <f t="array" ref="L41">_xlfn.XLOOKUP($F41,Onderhoud!$D$59:$D$91,_xlfn.XLOOKUP(TOTEX!$G41&amp;L$2,Onderhoud!$F$57:$U$57,Onderhoud!$F$59:$U$91))</f>
        <v>25</v>
      </c>
      <c r="M41" s="207">
        <f t="shared" si="2"/>
        <v>239514.4501151038</v>
      </c>
      <c r="N41" s="207">
        <f>_xlfn.XLOOKUP(F41,Onderhoud!$D$4:$D$32,Onderhoud!$Y$4:$Y$32,0)*M41</f>
        <v>201543.52298175244</v>
      </c>
      <c r="O41">
        <f t="shared" si="3"/>
        <v>81200</v>
      </c>
      <c r="P41" t="str">
        <f t="shared" si="4"/>
        <v>m2</v>
      </c>
      <c r="Q41" t="str">
        <f>_xlfn.XLOOKUP($F41,Onderhoud!$D$103:$D$129,Onderhoud!U$103:U$129,"")</f>
        <v>85% B</v>
      </c>
      <c r="R41" t="str">
        <f>_xlfn.XLOOKUP($F41,Onderhoud!$D$103:$D$129,Onderhoud!V$103:V$129,"")</f>
        <v>82% B</v>
      </c>
      <c r="S41" t="str">
        <f>_xlfn.XLOOKUP($F41,Onderhoud!$D$103:$D$129,Onderhoud!W$103:W$129,"")</f>
        <v>90% B</v>
      </c>
      <c r="V41">
        <f>_xlfn.XLOOKUP($F41,Onderhoud!$D$103:$D$133,Onderhoud!$I$103:$I$133)</f>
        <v>1</v>
      </c>
      <c r="W41" s="522">
        <f>_xlfn.XLOOKUP($F41,Onderhoud!$D$103:$D$133,Onderhoud!$J$103:$J$133)</f>
        <v>0.18409489145673627</v>
      </c>
      <c r="Z41">
        <f>_xlfn.XLOOKUP($F41,Onderhoud!$D$103:$D$133,Onderhoud!$M$103:$M$133)</f>
        <v>1</v>
      </c>
      <c r="AA41" s="522" cm="1">
        <f t="array" ref="AA41">_xlfn.XLOOKUP($F41,Onderhoud!$D$59:$D$91,_xlfn.XLOOKUP(TOTEX!$G41&amp;AA$2,Onderhoud!$F$57:$U$57,Onderhoud!$F$59:$U$91))/L41*_xlfn.XLOOKUP($F41,Onderhoud!$D$59:$D$91,Onderhoud!$AF$59:$AF$91)+Onderhoud!$N$135*J41</f>
        <v>1.7307049279921223E-2</v>
      </c>
      <c r="AD41" s="553">
        <f>_xlfn.XLOOKUP($F41,Onderhoud!$D$103:$D$133,Onderhoud!$Q$103:$Q$133)</f>
        <v>1</v>
      </c>
      <c r="AE41" s="522" cm="1">
        <f t="array" ref="AE41">_xlfn.XLOOKUP($F41,Onderhoud!$D$59:$D$91,_xlfn.XLOOKUP(TOTEX!$G41&amp;AA$2,Onderhoud!$F$57:$U$57,Onderhoud!$F$59:$U$91))/L41*_xlfn.XLOOKUP($F41,Onderhoud!$D$59:$D$91,Onderhoud!$W$59:$W$91)+Onderhoud!$R$135*J41</f>
        <v>0.13692351071120157</v>
      </c>
      <c r="AF41">
        <f>_xlfn.XLOOKUP($F41,Onderhoud!$D$103:$D$133,Onderhoud!$S$103:$S$133)</f>
        <v>1</v>
      </c>
      <c r="AG41" s="522" cm="1">
        <f t="array" ref="AG41">_xlfn.XLOOKUP($F41,Onderhoud!$D$59:$D$91,_xlfn.XLOOKUP(TOTEX!$G41&amp;AA$2,Onderhoud!$F$57:$U$57,Onderhoud!$F$59:$U$91))/L41*IF($AG$1,1,_xlfn.XLOOKUP($F41,Onderhoud!$D$59:$D$91,Onderhoud!$AG$59:$AG$91))+Onderhoud!$T$135*J41</f>
        <v>1.1753038449548894</v>
      </c>
      <c r="AH41">
        <f t="shared" si="5"/>
        <v>1</v>
      </c>
    </row>
    <row r="42" spans="1:34" x14ac:dyDescent="0.25">
      <c r="A42" t="s">
        <v>273</v>
      </c>
      <c r="B42" t="s">
        <v>274</v>
      </c>
      <c r="C42" t="s">
        <v>132</v>
      </c>
      <c r="D42" t="s">
        <v>137</v>
      </c>
      <c r="E42" t="s">
        <v>125</v>
      </c>
      <c r="F42" t="str">
        <f t="shared" si="0"/>
        <v xml:space="preserve">parkeervakkenasfalt </v>
      </c>
      <c r="G42" t="s">
        <v>281</v>
      </c>
      <c r="H42" cm="1">
        <f t="array" ref="H42">_xlfn.XLOOKUP($F42,Onderhoud!$D$59:$D$91,_xlfn.XLOOKUP(TOTEX!$G42&amp;H$2,Onderhoud!$F$57:$U$57,Onderhoud!$F$59:$U$91))</f>
        <v>35670</v>
      </c>
      <c r="I42" t="s">
        <v>276</v>
      </c>
      <c r="J42" s="521" cm="1">
        <f t="array" ref="J42">_xlfn.XLOOKUP(F42,Onderhoud!$D$4:$D$32,_xlfn.XLOOKUP(TOTEX!G42&amp;J$2,Onderhoud!$F$2:$U$2,Onderhoud!$F$4:$U$32),0)</f>
        <v>117.7479</v>
      </c>
      <c r="K42" s="523">
        <f t="shared" si="1"/>
        <v>4200067.5930000003</v>
      </c>
      <c r="L42" s="553" cm="1">
        <f t="array" ref="L42">_xlfn.XLOOKUP($F42,Onderhoud!$D$59:$D$91,_xlfn.XLOOKUP(TOTEX!$G42&amp;L$2,Onderhoud!$F$57:$U$57,Onderhoud!$F$59:$U$91))</f>
        <v>25</v>
      </c>
      <c r="M42" s="207">
        <f t="shared" si="2"/>
        <v>168002.70372000002</v>
      </c>
      <c r="N42" s="207">
        <f>_xlfn.XLOOKUP(F42,Onderhoud!$D$4:$D$32,Onderhoud!$Y$4:$Y$32,0)*M42</f>
        <v>141368.74314646272</v>
      </c>
      <c r="O42">
        <f t="shared" si="3"/>
        <v>35670</v>
      </c>
      <c r="P42" t="str">
        <f t="shared" si="4"/>
        <v>m2</v>
      </c>
      <c r="Q42" t="str">
        <f>_xlfn.XLOOKUP($F42,Onderhoud!$D$103:$D$129,Onderhoud!U$103:U$129,"")</f>
        <v>85% B</v>
      </c>
      <c r="R42" t="str">
        <f>_xlfn.XLOOKUP($F42,Onderhoud!$D$103:$D$129,Onderhoud!V$103:V$129,"")</f>
        <v>82% B</v>
      </c>
      <c r="S42" t="str">
        <f>_xlfn.XLOOKUP($F42,Onderhoud!$D$103:$D$129,Onderhoud!W$103:W$129,"")</f>
        <v>90% B</v>
      </c>
      <c r="V42">
        <f>_xlfn.XLOOKUP($F42,Onderhoud!$D$103:$D$133,Onderhoud!$I$103:$I$133)</f>
        <v>1</v>
      </c>
      <c r="W42" s="522">
        <f>_xlfn.XLOOKUP($F42,Onderhoud!$D$103:$D$133,Onderhoud!$J$103:$J$133)</f>
        <v>0.2939538876219821</v>
      </c>
      <c r="Z42">
        <f>_xlfn.XLOOKUP($F42,Onderhoud!$D$103:$D$133,Onderhoud!$M$103:$M$133)</f>
        <v>1</v>
      </c>
      <c r="AA42" s="522" cm="1">
        <f t="array" ref="AA42">_xlfn.XLOOKUP($F42,Onderhoud!$D$59:$D$91,_xlfn.XLOOKUP(TOTEX!$G42&amp;AA$2,Onderhoud!$F$57:$U$57,Onderhoud!$F$59:$U$91))/L42*_xlfn.XLOOKUP($F42,Onderhoud!$D$59:$D$91,Onderhoud!$AF$59:$AF$91)+Onderhoud!$N$135*J42</f>
        <v>1.8232553928558385E-2</v>
      </c>
      <c r="AD42" s="553">
        <f>_xlfn.XLOOKUP($F42,Onderhoud!$D$103:$D$133,Onderhoud!$Q$103:$Q$133)</f>
        <v>1</v>
      </c>
      <c r="AE42" s="522" cm="1">
        <f t="array" ref="AE42">_xlfn.XLOOKUP($F42,Onderhoud!$D$59:$D$91,_xlfn.XLOOKUP(TOTEX!$G42&amp;AA$2,Onderhoud!$F$57:$U$57,Onderhoud!$F$59:$U$91))/L42*_xlfn.XLOOKUP($F42,Onderhoud!$D$59:$D$91,Onderhoud!$W$59:$W$91)+Onderhoud!$R$135*J42</f>
        <v>0.1759763371262405</v>
      </c>
      <c r="AF42">
        <f>_xlfn.XLOOKUP($F42,Onderhoud!$D$103:$D$133,Onderhoud!$S$103:$S$133)</f>
        <v>1</v>
      </c>
      <c r="AG42" s="522" cm="1">
        <f t="array" ref="AG42">_xlfn.XLOOKUP($F42,Onderhoud!$D$59:$D$91,_xlfn.XLOOKUP(TOTEX!$G42&amp;AA$2,Onderhoud!$F$57:$U$57,Onderhoud!$F$59:$U$91))/L42*IF($AG$1,1,_xlfn.XLOOKUP($F42,Onderhoud!$D$59:$D$91,Onderhoud!$AG$59:$AG$91))+Onderhoud!$T$135*J42</f>
        <v>1.2492442389717593</v>
      </c>
      <c r="AH42">
        <f t="shared" si="5"/>
        <v>1</v>
      </c>
    </row>
    <row r="43" spans="1:34" x14ac:dyDescent="0.25">
      <c r="A43" t="s">
        <v>273</v>
      </c>
      <c r="B43" t="s">
        <v>274</v>
      </c>
      <c r="C43" t="s">
        <v>132</v>
      </c>
      <c r="D43" t="s">
        <v>137</v>
      </c>
      <c r="E43" t="s">
        <v>138</v>
      </c>
      <c r="F43" t="str">
        <f t="shared" si="0"/>
        <v>parkeervakkendiverse verharding</v>
      </c>
      <c r="G43" t="s">
        <v>281</v>
      </c>
      <c r="H43" cm="1">
        <f t="array" ref="H43">_xlfn.XLOOKUP($F43,Onderhoud!$D$59:$D$91,_xlfn.XLOOKUP(TOTEX!$G43&amp;H$2,Onderhoud!$F$57:$U$57,Onderhoud!$F$59:$U$91))</f>
        <v>56259.999999999993</v>
      </c>
      <c r="I43" t="s">
        <v>276</v>
      </c>
      <c r="J43" s="521" cm="1">
        <f t="array" ref="J43">_xlfn.XLOOKUP(F43,Onderhoud!$D$4:$D$32,_xlfn.XLOOKUP(TOTEX!G43&amp;J$2,Onderhoud!$F$2:$U$2,Onderhoud!$F$4:$U$32),0)</f>
        <v>78.732300000000009</v>
      </c>
      <c r="K43" s="523">
        <f t="shared" si="1"/>
        <v>4429479.1979999999</v>
      </c>
      <c r="L43" s="553" cm="1">
        <f t="array" ref="L43">_xlfn.XLOOKUP($F43,Onderhoud!$D$59:$D$91,_xlfn.XLOOKUP(TOTEX!$G43&amp;L$2,Onderhoud!$F$57:$U$57,Onderhoud!$F$59:$U$91))</f>
        <v>25</v>
      </c>
      <c r="M43" s="207">
        <f t="shared" si="2"/>
        <v>177179.16792000001</v>
      </c>
      <c r="N43" s="207">
        <f>_xlfn.XLOOKUP(F43,Onderhoud!$D$4:$D$32,Onderhoud!$Y$4:$Y$32,0)*M43</f>
        <v>149090.43560591614</v>
      </c>
      <c r="O43">
        <f t="shared" si="3"/>
        <v>56259.999999999993</v>
      </c>
      <c r="P43" t="str">
        <f t="shared" si="4"/>
        <v>m2</v>
      </c>
      <c r="Q43" t="str">
        <f>_xlfn.XLOOKUP($F43,Onderhoud!$D$103:$D$129,Onderhoud!U$103:U$129,"")</f>
        <v>85% B</v>
      </c>
      <c r="R43" t="str">
        <f>_xlfn.XLOOKUP($F43,Onderhoud!$D$103:$D$129,Onderhoud!V$103:V$129,"")</f>
        <v>82% B</v>
      </c>
      <c r="S43" t="str">
        <f>_xlfn.XLOOKUP($F43,Onderhoud!$D$103:$D$129,Onderhoud!W$103:W$129,"")</f>
        <v>90% B</v>
      </c>
      <c r="V43">
        <f>_xlfn.XLOOKUP($F43,Onderhoud!$D$103:$D$133,Onderhoud!$I$103:$I$133)</f>
        <v>1</v>
      </c>
      <c r="W43" s="522">
        <f>_xlfn.XLOOKUP($F43,Onderhoud!$D$103:$D$133,Onderhoud!$J$103:$J$133)</f>
        <v>0.19655268303231044</v>
      </c>
      <c r="Z43">
        <f>_xlfn.XLOOKUP($F43,Onderhoud!$D$103:$D$133,Onderhoud!$M$103:$M$133)</f>
        <v>1</v>
      </c>
      <c r="AA43" s="522" cm="1">
        <f t="array" ref="AA43">_xlfn.XLOOKUP($F43,Onderhoud!$D$59:$D$91,_xlfn.XLOOKUP(TOTEX!$G43&amp;AA$2,Onderhoud!$F$57:$U$57,Onderhoud!$F$59:$U$91))/L43*_xlfn.XLOOKUP($F43,Onderhoud!$D$59:$D$91,Onderhoud!$AF$59:$AF$91)+Onderhoud!$N$135*J43</f>
        <v>1.7041678830236988E-2</v>
      </c>
      <c r="AD43" s="553">
        <f>_xlfn.XLOOKUP($F43,Onderhoud!$D$103:$D$133,Onderhoud!$Q$103:$Q$133)</f>
        <v>1</v>
      </c>
      <c r="AE43" s="522" cm="1">
        <f t="array" ref="AE43">_xlfn.XLOOKUP($F43,Onderhoud!$D$59:$D$91,_xlfn.XLOOKUP(TOTEX!$G43&amp;AA$2,Onderhoud!$F$57:$U$57,Onderhoud!$F$59:$U$91))/L43*_xlfn.XLOOKUP($F43,Onderhoud!$D$59:$D$91,Onderhoud!$W$59:$W$91)+Onderhoud!$R$135*J43</f>
        <v>0.15728833957641969</v>
      </c>
      <c r="AF43">
        <f>_xlfn.XLOOKUP($F43,Onderhoud!$D$103:$D$133,Onderhoud!$S$103:$S$133)</f>
        <v>1</v>
      </c>
      <c r="AG43" s="522" cm="1">
        <f t="array" ref="AG43">_xlfn.XLOOKUP($F43,Onderhoud!$D$59:$D$91,_xlfn.XLOOKUP(TOTEX!$G43&amp;AA$2,Onderhoud!$F$57:$U$57,Onderhoud!$F$59:$U$91))/L43*IF($AG$1,1,_xlfn.XLOOKUP($F43,Onderhoud!$D$59:$D$91,Onderhoud!$AG$59:$AG$91))+Onderhoud!$T$135*J43</f>
        <v>1.0099159100029493</v>
      </c>
      <c r="AH43">
        <f t="shared" si="5"/>
        <v>1</v>
      </c>
    </row>
    <row r="44" spans="1:34" x14ac:dyDescent="0.25">
      <c r="A44" t="s">
        <v>273</v>
      </c>
      <c r="B44" t="s">
        <v>274</v>
      </c>
      <c r="C44" t="s">
        <v>132</v>
      </c>
      <c r="D44" t="s">
        <v>139</v>
      </c>
      <c r="E44" t="s">
        <v>140</v>
      </c>
      <c r="F44" t="str">
        <f t="shared" si="0"/>
        <v>fietspadenrood asfalt</v>
      </c>
      <c r="G44" t="s">
        <v>281</v>
      </c>
      <c r="H44" cm="1">
        <f t="array" ref="H44">_xlfn.XLOOKUP($F44,Onderhoud!$D$59:$D$91,_xlfn.XLOOKUP(TOTEX!$G44&amp;H$2,Onderhoud!$F$57:$U$57,Onderhoud!$F$59:$U$91))</f>
        <v>439639.99999999994</v>
      </c>
      <c r="I44" t="s">
        <v>276</v>
      </c>
      <c r="J44" s="521" cm="1">
        <f t="array" ref="J44">_xlfn.XLOOKUP(F44,Onderhoud!$D$4:$D$32,_xlfn.XLOOKUP(TOTEX!G44&amp;J$2,Onderhoud!$F$2:$U$2,Onderhoud!$F$4:$U$32),0)</f>
        <v>98.835009284008805</v>
      </c>
      <c r="K44" s="523">
        <f t="shared" si="1"/>
        <v>43451823.481621623</v>
      </c>
      <c r="L44" s="553" cm="1">
        <f t="array" ref="L44">_xlfn.XLOOKUP($F44,Onderhoud!$D$59:$D$91,_xlfn.XLOOKUP(TOTEX!$G44&amp;L$2,Onderhoud!$F$57:$U$57,Onderhoud!$F$59:$U$91))</f>
        <v>25</v>
      </c>
      <c r="M44" s="207">
        <f t="shared" si="2"/>
        <v>1738072.9392648649</v>
      </c>
      <c r="N44" s="207">
        <f>_xlfn.XLOOKUP(F44,Onderhoud!$D$4:$D$32,Onderhoud!$Y$4:$Y$32,0)*M44</f>
        <v>1462531.1467026202</v>
      </c>
      <c r="O44">
        <f t="shared" si="3"/>
        <v>439639.99999999994</v>
      </c>
      <c r="P44" t="str">
        <f t="shared" si="4"/>
        <v>m2</v>
      </c>
      <c r="Q44" t="str">
        <f>_xlfn.XLOOKUP($F44,Onderhoud!$D$103:$D$129,Onderhoud!U$103:U$129,"")</f>
        <v>85% B</v>
      </c>
      <c r="R44" t="str">
        <f>_xlfn.XLOOKUP($F44,Onderhoud!$D$103:$D$129,Onderhoud!V$103:V$129,"")</f>
        <v>82% B</v>
      </c>
      <c r="S44" t="str">
        <f>_xlfn.XLOOKUP($F44,Onderhoud!$D$103:$D$129,Onderhoud!W$103:W$129,"")</f>
        <v>90% B</v>
      </c>
      <c r="V44">
        <f>_xlfn.XLOOKUP($F44,Onderhoud!$D$103:$D$133,Onderhoud!$I$103:$I$133)</f>
        <v>1</v>
      </c>
      <c r="W44" s="522">
        <f>_xlfn.XLOOKUP($F44,Onderhoud!$D$103:$D$133,Onderhoud!$J$103:$J$133)</f>
        <v>0.24673845743481695</v>
      </c>
      <c r="Z44">
        <f>_xlfn.XLOOKUP($F44,Onderhoud!$D$103:$D$133,Onderhoud!$M$103:$M$133)</f>
        <v>1</v>
      </c>
      <c r="AA44" s="522" cm="1">
        <f t="array" ref="AA44">_xlfn.XLOOKUP($F44,Onderhoud!$D$59:$D$91,_xlfn.XLOOKUP(TOTEX!$G44&amp;AA$2,Onderhoud!$F$57:$U$57,Onderhoud!$F$59:$U$91))/L44*_xlfn.XLOOKUP($F44,Onderhoud!$D$59:$D$91,Onderhoud!$AF$59:$AF$91)+Onderhoud!$N$135*J44</f>
        <v>2.4334565805452693E-2</v>
      </c>
      <c r="AD44" s="553">
        <f>_xlfn.XLOOKUP($F44,Onderhoud!$D$103:$D$133,Onderhoud!$Q$103:$Q$133)</f>
        <v>1</v>
      </c>
      <c r="AE44" s="522" cm="1">
        <f t="array" ref="AE44">_xlfn.XLOOKUP($F44,Onderhoud!$D$59:$D$91,_xlfn.XLOOKUP(TOTEX!$G44&amp;AA$2,Onderhoud!$F$57:$U$57,Onderhoud!$F$59:$U$91))/L44*_xlfn.XLOOKUP($F44,Onderhoud!$D$59:$D$91,Onderhoud!$W$59:$W$91)+Onderhoud!$R$135*J44</f>
        <v>0.20160854529775629</v>
      </c>
      <c r="AF44">
        <f>_xlfn.XLOOKUP($F44,Onderhoud!$D$103:$D$133,Onderhoud!$S$103:$S$133)</f>
        <v>1</v>
      </c>
      <c r="AG44" s="522" cm="1">
        <f t="array" ref="AG44">_xlfn.XLOOKUP($F44,Onderhoud!$D$59:$D$91,_xlfn.XLOOKUP(TOTEX!$G44&amp;AA$2,Onderhoud!$F$57:$U$57,Onderhoud!$F$59:$U$91))/L44*IF($AG$1,1,_xlfn.XLOOKUP($F44,Onderhoud!$D$59:$D$91,Onderhoud!$AG$59:$AG$91))+Onderhoud!$T$135*J44</f>
        <v>1.4797711491635182</v>
      </c>
      <c r="AH44">
        <f t="shared" si="5"/>
        <v>1</v>
      </c>
    </row>
    <row r="45" spans="1:34" x14ac:dyDescent="0.25">
      <c r="A45" t="s">
        <v>273</v>
      </c>
      <c r="B45" t="s">
        <v>274</v>
      </c>
      <c r="C45" t="s">
        <v>132</v>
      </c>
      <c r="D45" t="s">
        <v>139</v>
      </c>
      <c r="E45" t="s">
        <v>141</v>
      </c>
      <c r="F45" t="str">
        <f t="shared" si="0"/>
        <v>fietspadenelementverharding</v>
      </c>
      <c r="G45" t="s">
        <v>281</v>
      </c>
      <c r="H45" cm="1">
        <f t="array" ref="H45">_xlfn.XLOOKUP($F45,Onderhoud!$D$59:$D$91,_xlfn.XLOOKUP(TOTEX!$G45&amp;H$2,Onderhoud!$F$57:$U$57,Onderhoud!$F$59:$U$91))</f>
        <v>53649.999999999993</v>
      </c>
      <c r="I45" t="s">
        <v>276</v>
      </c>
      <c r="J45" s="521" cm="1">
        <f t="array" ref="J45">_xlfn.XLOOKUP(F45,Onderhoud!$D$4:$D$32,_xlfn.XLOOKUP(TOTEX!G45&amp;J$2,Onderhoud!$F$2:$U$2,Onderhoud!$F$4:$U$32),0)</f>
        <v>127.84156564843498</v>
      </c>
      <c r="K45" s="523">
        <f t="shared" si="1"/>
        <v>6858699.9970385358</v>
      </c>
      <c r="L45" s="553" cm="1">
        <f t="array" ref="L45">_xlfn.XLOOKUP($F45,Onderhoud!$D$59:$D$91,_xlfn.XLOOKUP(TOTEX!$G45&amp;L$2,Onderhoud!$F$57:$U$57,Onderhoud!$F$59:$U$91))</f>
        <v>25</v>
      </c>
      <c r="M45" s="207">
        <f t="shared" si="2"/>
        <v>274347.99988154141</v>
      </c>
      <c r="N45" s="207">
        <f>_xlfn.XLOOKUP(F45,Onderhoud!$D$4:$D$32,Onderhoud!$Y$4:$Y$32,0)*M45</f>
        <v>230854.80810260505</v>
      </c>
      <c r="O45">
        <f t="shared" si="3"/>
        <v>53649.999999999993</v>
      </c>
      <c r="P45" t="str">
        <f t="shared" si="4"/>
        <v>m2</v>
      </c>
      <c r="Q45" t="str">
        <f>_xlfn.XLOOKUP($F45,Onderhoud!$D$103:$D$129,Onderhoud!U$103:U$129,"")</f>
        <v>85% B</v>
      </c>
      <c r="R45" t="str">
        <f>_xlfn.XLOOKUP($F45,Onderhoud!$D$103:$D$129,Onderhoud!V$103:V$129,"")</f>
        <v>82% B</v>
      </c>
      <c r="S45" t="str">
        <f>_xlfn.XLOOKUP($F45,Onderhoud!$D$103:$D$129,Onderhoud!W$103:W$129,"")</f>
        <v>90% B</v>
      </c>
      <c r="V45">
        <f>_xlfn.XLOOKUP($F45,Onderhoud!$D$103:$D$133,Onderhoud!$I$103:$I$133)</f>
        <v>1</v>
      </c>
      <c r="W45" s="522">
        <f>_xlfn.XLOOKUP($F45,Onderhoud!$D$103:$D$133,Onderhoud!$J$103:$J$133)</f>
        <v>0.31915240290517538</v>
      </c>
      <c r="Z45">
        <f>_xlfn.XLOOKUP($F45,Onderhoud!$D$103:$D$133,Onderhoud!$M$103:$M$133)</f>
        <v>1</v>
      </c>
      <c r="AA45" s="522" cm="1">
        <f t="array" ref="AA45">_xlfn.XLOOKUP($F45,Onderhoud!$D$59:$D$91,_xlfn.XLOOKUP(TOTEX!$G45&amp;AA$2,Onderhoud!$F$57:$U$57,Onderhoud!$F$59:$U$91))/L45*_xlfn.XLOOKUP($F45,Onderhoud!$D$59:$D$91,Onderhoud!$AF$59:$AF$91)+Onderhoud!$N$135*J45</f>
        <v>2.7386817118195912E-2</v>
      </c>
      <c r="AD45" s="553">
        <f>_xlfn.XLOOKUP($F45,Onderhoud!$D$103:$D$133,Onderhoud!$Q$103:$Q$133)</f>
        <v>1</v>
      </c>
      <c r="AE45" s="522" cm="1">
        <f t="array" ref="AE45">_xlfn.XLOOKUP($F45,Onderhoud!$D$59:$D$91,_xlfn.XLOOKUP(TOTEX!$G45&amp;AA$2,Onderhoud!$F$57:$U$57,Onderhoud!$F$59:$U$91))/L45*_xlfn.XLOOKUP($F45,Onderhoud!$D$59:$D$91,Onderhoud!$W$59:$W$91)+Onderhoud!$R$135*J45</f>
        <v>0.33178307128185286</v>
      </c>
      <c r="AF45">
        <f>_xlfn.XLOOKUP($F45,Onderhoud!$D$103:$D$133,Onderhoud!$S$103:$S$133)</f>
        <v>1</v>
      </c>
      <c r="AG45" s="522" cm="1">
        <f t="array" ref="AG45">_xlfn.XLOOKUP($F45,Onderhoud!$D$59:$D$91,_xlfn.XLOOKUP(TOTEX!$G45&amp;AA$2,Onderhoud!$F$57:$U$57,Onderhoud!$F$59:$U$91))/L45*IF($AG$1,1,_xlfn.XLOOKUP($F45,Onderhoud!$D$59:$D$91,Onderhoud!$AG$59:$AG$91))+Onderhoud!$T$135*J45</f>
        <v>1.9112250120604553</v>
      </c>
      <c r="AH45">
        <f t="shared" si="5"/>
        <v>1</v>
      </c>
    </row>
    <row r="46" spans="1:34" x14ac:dyDescent="0.25">
      <c r="A46" t="s">
        <v>273</v>
      </c>
      <c r="B46" t="s">
        <v>274</v>
      </c>
      <c r="C46" t="s">
        <v>132</v>
      </c>
      <c r="D46" t="s">
        <v>142</v>
      </c>
      <c r="E46" t="s">
        <v>143</v>
      </c>
      <c r="F46" t="str">
        <f t="shared" si="0"/>
        <v>voetpadentrotoirtegels</v>
      </c>
      <c r="G46" t="s">
        <v>281</v>
      </c>
      <c r="H46" cm="1">
        <f t="array" ref="H46">_xlfn.XLOOKUP($F46,Onderhoud!$D$59:$D$91,_xlfn.XLOOKUP(TOTEX!$G46&amp;H$2,Onderhoud!$F$57:$U$57,Onderhoud!$F$59:$U$91))</f>
        <v>2636390</v>
      </c>
      <c r="I46" t="s">
        <v>276</v>
      </c>
      <c r="J46" s="521" cm="1">
        <f t="array" ref="J46">_xlfn.XLOOKUP(F46,Onderhoud!$D$4:$D$32,_xlfn.XLOOKUP(TOTEX!G46&amp;J$2,Onderhoud!$F$2:$U$2,Onderhoud!$F$4:$U$32),0)</f>
        <v>63.98248064129497</v>
      </c>
      <c r="K46" s="523">
        <f t="shared" si="1"/>
        <v>168682772.13790363</v>
      </c>
      <c r="L46" s="553" cm="1">
        <f t="array" ref="L46">_xlfn.XLOOKUP($F46,Onderhoud!$D$59:$D$91,_xlfn.XLOOKUP(TOTEX!$G46&amp;L$2,Onderhoud!$F$57:$U$57,Onderhoud!$F$59:$U$91))</f>
        <v>25</v>
      </c>
      <c r="M46" s="207">
        <f t="shared" si="2"/>
        <v>6747310.8855161453</v>
      </c>
      <c r="N46" s="207">
        <f>_xlfn.XLOOKUP(F46,Onderhoud!$D$4:$D$32,Onderhoud!$Y$4:$Y$32,0)*M46</f>
        <v>5677639.9330668095</v>
      </c>
      <c r="O46">
        <f t="shared" si="3"/>
        <v>2636390</v>
      </c>
      <c r="P46" t="str">
        <f t="shared" si="4"/>
        <v>m2</v>
      </c>
      <c r="Q46" t="str">
        <f>_xlfn.XLOOKUP($F46,Onderhoud!$D$103:$D$129,Onderhoud!U$103:U$129,"")</f>
        <v>85% B</v>
      </c>
      <c r="R46" t="str">
        <f>_xlfn.XLOOKUP($F46,Onderhoud!$D$103:$D$129,Onderhoud!V$103:V$129,"")</f>
        <v>82% B</v>
      </c>
      <c r="S46" t="str">
        <f>_xlfn.XLOOKUP($F46,Onderhoud!$D$103:$D$129,Onderhoud!W$103:W$129,"")</f>
        <v>90% B</v>
      </c>
      <c r="V46">
        <f>_xlfn.XLOOKUP($F46,Onderhoud!$D$103:$D$133,Onderhoud!$I$103:$I$133)</f>
        <v>1</v>
      </c>
      <c r="W46" s="522">
        <f>_xlfn.XLOOKUP($F46,Onderhoud!$D$103:$D$133,Onderhoud!$J$103:$J$133)</f>
        <v>0.15973022809075038</v>
      </c>
      <c r="Z46">
        <f>_xlfn.XLOOKUP($F46,Onderhoud!$D$103:$D$133,Onderhoud!$M$103:$M$133)</f>
        <v>1</v>
      </c>
      <c r="AA46" s="522" cm="1">
        <f t="array" ref="AA46">_xlfn.XLOOKUP($F46,Onderhoud!$D$59:$D$91,_xlfn.XLOOKUP(TOTEX!$G46&amp;AA$2,Onderhoud!$F$57:$U$57,Onderhoud!$F$59:$U$91))/L46*_xlfn.XLOOKUP($F46,Onderhoud!$D$59:$D$91,Onderhoud!$AF$59:$AF$91)+Onderhoud!$N$135*J46</f>
        <v>1.636438436211898E-2</v>
      </c>
      <c r="AD46" s="553">
        <f>_xlfn.XLOOKUP($F46,Onderhoud!$D$103:$D$133,Onderhoud!$Q$103:$Q$133)</f>
        <v>1</v>
      </c>
      <c r="AE46" s="522" cm="1">
        <f t="array" ref="AE46">_xlfn.XLOOKUP($F46,Onderhoud!$D$59:$D$91,_xlfn.XLOOKUP(TOTEX!$G46&amp;AA$2,Onderhoud!$F$57:$U$57,Onderhoud!$F$59:$U$91))/L46*_xlfn.XLOOKUP($F46,Onderhoud!$D$59:$D$91,Onderhoud!$W$59:$W$91)+Onderhoud!$R$135*J46</f>
        <v>0.15324608431080311</v>
      </c>
      <c r="AF46">
        <f>_xlfn.XLOOKUP($F46,Onderhoud!$D$103:$D$133,Onderhoud!$S$103:$S$133)</f>
        <v>1</v>
      </c>
      <c r="AG46" s="522" cm="1">
        <f t="array" ref="AG46">_xlfn.XLOOKUP($F46,Onderhoud!$D$59:$D$91,_xlfn.XLOOKUP(TOTEX!$G46&amp;AA$2,Onderhoud!$F$57:$U$57,Onderhoud!$F$59:$U$91))/L46*IF($AG$1,1,_xlfn.XLOOKUP($F46,Onderhoud!$D$59:$D$91,Onderhoud!$AG$59:$AG$91))+Onderhoud!$T$135*J46</f>
        <v>0.88336017859627392</v>
      </c>
      <c r="AH46">
        <f t="shared" si="5"/>
        <v>1</v>
      </c>
    </row>
    <row r="47" spans="1:34" x14ac:dyDescent="0.25">
      <c r="A47" t="s">
        <v>273</v>
      </c>
      <c r="B47" t="s">
        <v>274</v>
      </c>
      <c r="C47" t="s">
        <v>132</v>
      </c>
      <c r="D47" t="s">
        <v>142</v>
      </c>
      <c r="E47" t="s">
        <v>144</v>
      </c>
      <c r="F47" t="str">
        <f t="shared" si="0"/>
        <v>voetpadennatuursteentegels gefundeerd</v>
      </c>
      <c r="G47" t="s">
        <v>281</v>
      </c>
      <c r="H47" cm="1">
        <f t="array" ref="H47">_xlfn.XLOOKUP($F47,Onderhoud!$D$59:$D$91,_xlfn.XLOOKUP(TOTEX!$G47&amp;H$2,Onderhoud!$F$57:$U$57,Onderhoud!$F$59:$U$91))</f>
        <v>15949.999999999998</v>
      </c>
      <c r="I47" t="s">
        <v>276</v>
      </c>
      <c r="J47" s="521" cm="1">
        <f t="array" ref="J47">_xlfn.XLOOKUP(F47,Onderhoud!$D$4:$D$32,_xlfn.XLOOKUP(TOTEX!G47&amp;J$2,Onderhoud!$F$2:$U$2,Onderhoud!$F$4:$U$32),0)</f>
        <v>184.09863442905561</v>
      </c>
      <c r="K47" s="523">
        <f t="shared" si="1"/>
        <v>2936373.2191434368</v>
      </c>
      <c r="L47" s="553" cm="1">
        <f t="array" ref="L47">_xlfn.XLOOKUP($F47,Onderhoud!$D$59:$D$91,_xlfn.XLOOKUP(TOTEX!$G47&amp;L$2,Onderhoud!$F$57:$U$57,Onderhoud!$F$59:$U$91))</f>
        <v>25</v>
      </c>
      <c r="M47" s="207">
        <f t="shared" si="2"/>
        <v>117454.92876573747</v>
      </c>
      <c r="N47" s="207">
        <f>_xlfn.XLOOKUP(F47,Onderhoud!$D$4:$D$32,Onderhoud!$Y$4:$Y$32,0)*M47</f>
        <v>98834.454971887011</v>
      </c>
      <c r="O47">
        <f t="shared" si="3"/>
        <v>15949.999999999998</v>
      </c>
      <c r="P47" t="str">
        <f t="shared" si="4"/>
        <v>m2</v>
      </c>
      <c r="Q47" t="str">
        <f>_xlfn.XLOOKUP($F47,Onderhoud!$D$103:$D$129,Onderhoud!U$103:U$129,"")</f>
        <v>85% B</v>
      </c>
      <c r="R47" t="str">
        <f>_xlfn.XLOOKUP($F47,Onderhoud!$D$103:$D$129,Onderhoud!V$103:V$129,"")</f>
        <v>82% B</v>
      </c>
      <c r="S47" t="str">
        <f>_xlfn.XLOOKUP($F47,Onderhoud!$D$103:$D$129,Onderhoud!W$103:W$129,"")</f>
        <v>90% B</v>
      </c>
      <c r="V47">
        <f>_xlfn.XLOOKUP($F47,Onderhoud!$D$103:$D$133,Onderhoud!$I$103:$I$133)</f>
        <v>1</v>
      </c>
      <c r="W47" s="522">
        <f>_xlfn.XLOOKUP($F47,Onderhoud!$D$103:$D$133,Onderhoud!$J$103:$J$133)</f>
        <v>0.45959638597647162</v>
      </c>
      <c r="Z47">
        <f>_xlfn.XLOOKUP($F47,Onderhoud!$D$103:$D$133,Onderhoud!$M$103:$M$133)</f>
        <v>1</v>
      </c>
      <c r="AA47" s="522" cm="1">
        <f t="array" ref="AA47">_xlfn.XLOOKUP($F47,Onderhoud!$D$59:$D$91,_xlfn.XLOOKUP(TOTEX!$G47&amp;AA$2,Onderhoud!$F$57:$U$57,Onderhoud!$F$59:$U$91))/L47*_xlfn.XLOOKUP($F47,Onderhoud!$D$59:$D$91,Onderhoud!$AF$59:$AF$91)+Onderhoud!$N$135*J47</f>
        <v>3.1902322431706182E-2</v>
      </c>
      <c r="AD47" s="553">
        <f>_xlfn.XLOOKUP($F47,Onderhoud!$D$103:$D$133,Onderhoud!$Q$103:$Q$133)</f>
        <v>1</v>
      </c>
      <c r="AE47" s="522" cm="1">
        <f t="array" ref="AE47">_xlfn.XLOOKUP($F47,Onderhoud!$D$59:$D$91,_xlfn.XLOOKUP(TOTEX!$G47&amp;AA$2,Onderhoud!$F$57:$U$57,Onderhoud!$F$59:$U$91))/L47*_xlfn.XLOOKUP($F47,Onderhoud!$D$59:$D$91,Onderhoud!$W$59:$W$91)+Onderhoud!$R$135*J47</f>
        <v>1.0882900064439933</v>
      </c>
      <c r="AF47">
        <f>_xlfn.XLOOKUP($F47,Onderhoud!$D$103:$D$133,Onderhoud!$S$103:$S$133)</f>
        <v>1</v>
      </c>
      <c r="AG47" s="522" cm="1">
        <f t="array" ref="AG47">_xlfn.XLOOKUP($F47,Onderhoud!$D$59:$D$91,_xlfn.XLOOKUP(TOTEX!$G47&amp;AA$2,Onderhoud!$F$57:$U$57,Onderhoud!$F$59:$U$91))/L47*IF($AG$1,1,_xlfn.XLOOKUP($F47,Onderhoud!$D$59:$D$91,Onderhoud!$AG$59:$AG$91))+Onderhoud!$T$135*J47</f>
        <v>6.2408641659233988</v>
      </c>
      <c r="AH47">
        <f t="shared" si="5"/>
        <v>1</v>
      </c>
    </row>
    <row r="48" spans="1:34" x14ac:dyDescent="0.25">
      <c r="A48" t="s">
        <v>273</v>
      </c>
      <c r="B48" t="s">
        <v>274</v>
      </c>
      <c r="C48" t="s">
        <v>132</v>
      </c>
      <c r="D48" t="s">
        <v>142</v>
      </c>
      <c r="E48" t="s">
        <v>145</v>
      </c>
      <c r="F48" t="str">
        <f t="shared" si="0"/>
        <v>voetpadennatuursteentegels ongefundeerd</v>
      </c>
      <c r="G48" t="s">
        <v>281</v>
      </c>
      <c r="H48" cm="1">
        <f t="array" ref="H48">_xlfn.XLOOKUP($F48,Onderhoud!$D$59:$D$91,_xlfn.XLOOKUP(TOTEX!$G48&amp;H$2,Onderhoud!$F$57:$U$57,Onderhoud!$F$59:$U$91))</f>
        <v>23490</v>
      </c>
      <c r="I48" t="s">
        <v>276</v>
      </c>
      <c r="J48" s="521" cm="1">
        <f t="array" ref="J48">_xlfn.XLOOKUP(F48,Onderhoud!$D$4:$D$32,_xlfn.XLOOKUP(TOTEX!G48&amp;J$2,Onderhoud!$F$2:$U$2,Onderhoud!$F$4:$U$32),0)</f>
        <v>137.94871011218811</v>
      </c>
      <c r="K48" s="523">
        <f t="shared" si="1"/>
        <v>3240415.2005352988</v>
      </c>
      <c r="L48" s="553" cm="1">
        <f t="array" ref="L48">_xlfn.XLOOKUP($F48,Onderhoud!$D$59:$D$91,_xlfn.XLOOKUP(TOTEX!$G48&amp;L$2,Onderhoud!$F$57:$U$57,Onderhoud!$F$59:$U$91))</f>
        <v>25</v>
      </c>
      <c r="M48" s="207">
        <f t="shared" si="2"/>
        <v>129616.60802141196</v>
      </c>
      <c r="N48" s="207">
        <f>_xlfn.XLOOKUP(F48,Onderhoud!$D$4:$D$32,Onderhoud!$Y$4:$Y$32,0)*M48</f>
        <v>109068.1076028026</v>
      </c>
      <c r="O48">
        <f t="shared" si="3"/>
        <v>23490</v>
      </c>
      <c r="P48" t="str">
        <f t="shared" si="4"/>
        <v>m2</v>
      </c>
      <c r="Q48" t="str">
        <f>_xlfn.XLOOKUP($F48,Onderhoud!$D$103:$D$129,Onderhoud!U$103:U$129,"")</f>
        <v>85% B</v>
      </c>
      <c r="R48" t="str">
        <f>_xlfn.XLOOKUP($F48,Onderhoud!$D$103:$D$129,Onderhoud!V$103:V$129,"")</f>
        <v>82% B</v>
      </c>
      <c r="S48" t="str">
        <f>_xlfn.XLOOKUP($F48,Onderhoud!$D$103:$D$129,Onderhoud!W$103:W$129,"")</f>
        <v>90% B</v>
      </c>
      <c r="V48">
        <f>_xlfn.XLOOKUP($F48,Onderhoud!$D$103:$D$133,Onderhoud!$I$103:$I$133)</f>
        <v>1</v>
      </c>
      <c r="W48" s="522">
        <f>_xlfn.XLOOKUP($F48,Onderhoud!$D$103:$D$133,Onderhoud!$J$103:$J$133)</f>
        <v>0.3443845676221447</v>
      </c>
      <c r="Z48">
        <f>_xlfn.XLOOKUP($F48,Onderhoud!$D$103:$D$133,Onderhoud!$M$103:$M$133)</f>
        <v>1</v>
      </c>
      <c r="AA48" s="522" cm="1">
        <f t="array" ref="AA48">_xlfn.XLOOKUP($F48,Onderhoud!$D$59:$D$91,_xlfn.XLOOKUP(TOTEX!$G48&amp;AA$2,Onderhoud!$F$57:$U$57,Onderhoud!$F$59:$U$91))/L48*_xlfn.XLOOKUP($F48,Onderhoud!$D$59:$D$91,Onderhoud!$AF$59:$AF$91)+Onderhoud!$N$135*J48</f>
        <v>2.7120419660939941E-2</v>
      </c>
      <c r="AD48" s="553">
        <f>_xlfn.XLOOKUP($F48,Onderhoud!$D$103:$D$133,Onderhoud!$Q$103:$Q$133)</f>
        <v>1</v>
      </c>
      <c r="AE48" s="522" cm="1">
        <f t="array" ref="AE48">_xlfn.XLOOKUP($F48,Onderhoud!$D$59:$D$91,_xlfn.XLOOKUP(TOTEX!$G48&amp;AA$2,Onderhoud!$F$57:$U$57,Onderhoud!$F$59:$U$91))/L48*_xlfn.XLOOKUP($F48,Onderhoud!$D$59:$D$91,Onderhoud!$W$59:$W$91)+Onderhoud!$R$135*J48</f>
        <v>0.81870385092156306</v>
      </c>
      <c r="AF48">
        <f>_xlfn.XLOOKUP($F48,Onderhoud!$D$103:$D$133,Onderhoud!$S$103:$S$133)</f>
        <v>1</v>
      </c>
      <c r="AG48" s="522" cm="1">
        <f t="array" ref="AG48">_xlfn.XLOOKUP($F48,Onderhoud!$D$59:$D$91,_xlfn.XLOOKUP(TOTEX!$G48&amp;AA$2,Onderhoud!$F$57:$U$57,Onderhoud!$F$59:$U$91))/L48*IF($AG$1,1,_xlfn.XLOOKUP($F48,Onderhoud!$D$59:$D$91,Onderhoud!$AG$59:$AG$91))+Onderhoud!$T$135*J48</f>
        <v>4.6948408033446869</v>
      </c>
      <c r="AH48">
        <f t="shared" si="5"/>
        <v>1</v>
      </c>
    </row>
    <row r="49" spans="1:36" x14ac:dyDescent="0.25">
      <c r="A49" t="s">
        <v>273</v>
      </c>
      <c r="B49" t="s">
        <v>274</v>
      </c>
      <c r="C49" t="s">
        <v>132</v>
      </c>
      <c r="D49" t="s">
        <v>142</v>
      </c>
      <c r="E49" t="s">
        <v>146</v>
      </c>
      <c r="F49" t="str">
        <f t="shared" si="0"/>
        <v>voetpadenafwijkende tegels (formaat, dik)</v>
      </c>
      <c r="G49" t="s">
        <v>281</v>
      </c>
      <c r="H49" cm="1">
        <f t="array" ref="H49">_xlfn.XLOOKUP($F49,Onderhoud!$D$59:$D$91,_xlfn.XLOOKUP(TOTEX!$G49&amp;H$2,Onderhoud!$F$57:$U$57,Onderhoud!$F$59:$U$91))</f>
        <v>45240</v>
      </c>
      <c r="I49" t="s">
        <v>276</v>
      </c>
      <c r="J49" s="521" cm="1">
        <f t="array" ref="J49">_xlfn.XLOOKUP(F49,Onderhoud!$D$4:$D$32,_xlfn.XLOOKUP(TOTEX!G49&amp;J$2,Onderhoud!$F$2:$U$2,Onderhoud!$F$4:$U$32),0)</f>
        <v>97.679707187031212</v>
      </c>
      <c r="K49" s="523">
        <f t="shared" si="1"/>
        <v>4419029.9531412916</v>
      </c>
      <c r="L49" s="553" cm="1">
        <f t="array" ref="L49">_xlfn.XLOOKUP($F49,Onderhoud!$D$59:$D$91,_xlfn.XLOOKUP(TOTEX!$G49&amp;L$2,Onderhoud!$F$57:$U$57,Onderhoud!$F$59:$U$91))</f>
        <v>25</v>
      </c>
      <c r="M49" s="207">
        <f t="shared" si="2"/>
        <v>176761.19812565166</v>
      </c>
      <c r="N49" s="207">
        <f>_xlfn.XLOOKUP(F49,Onderhoud!$D$4:$D$32,Onderhoud!$Y$4:$Y$32,0)*M49</f>
        <v>148738.7277869831</v>
      </c>
      <c r="O49">
        <f t="shared" si="3"/>
        <v>45240</v>
      </c>
      <c r="P49" t="str">
        <f t="shared" si="4"/>
        <v>m2</v>
      </c>
      <c r="Q49" t="str">
        <f>_xlfn.XLOOKUP($F49,Onderhoud!$D$103:$D$129,Onderhoud!U$103:U$129,"")</f>
        <v>85% B</v>
      </c>
      <c r="R49" t="str">
        <f>_xlfn.XLOOKUP($F49,Onderhoud!$D$103:$D$129,Onderhoud!V$103:V$129,"")</f>
        <v>82% B</v>
      </c>
      <c r="S49" t="str">
        <f>_xlfn.XLOOKUP($F49,Onderhoud!$D$103:$D$129,Onderhoud!W$103:W$129,"")</f>
        <v>90% B</v>
      </c>
      <c r="V49">
        <f>_xlfn.XLOOKUP($F49,Onderhoud!$D$103:$D$133,Onderhoud!$I$103:$I$133)</f>
        <v>1</v>
      </c>
      <c r="W49" s="522">
        <f>_xlfn.XLOOKUP($F49,Onderhoud!$D$103:$D$133,Onderhoud!$J$103:$J$133)</f>
        <v>0.24385428249170207</v>
      </c>
      <c r="Z49">
        <f>_xlfn.XLOOKUP($F49,Onderhoud!$D$103:$D$133,Onderhoud!$M$103:$M$133)</f>
        <v>1</v>
      </c>
      <c r="AA49" s="522" cm="1">
        <f t="array" ref="AA49">_xlfn.XLOOKUP($F49,Onderhoud!$D$59:$D$91,_xlfn.XLOOKUP(TOTEX!$G49&amp;AA$2,Onderhoud!$F$57:$U$57,Onderhoud!$F$59:$U$91))/L49*_xlfn.XLOOKUP($F49,Onderhoud!$D$59:$D$91,Onderhoud!$AF$59:$AF$91)+Onderhoud!$N$135*J49</f>
        <v>1.693317669741853E-2</v>
      </c>
      <c r="AD49" s="553">
        <f>_xlfn.XLOOKUP($F49,Onderhoud!$D$103:$D$133,Onderhoud!$Q$103:$Q$133)</f>
        <v>1</v>
      </c>
      <c r="AE49" s="522" cm="1">
        <f t="array" ref="AE49">_xlfn.XLOOKUP($F49,Onderhoud!$D$59:$D$91,_xlfn.XLOOKUP(TOTEX!$G49&amp;AA$2,Onderhoud!$F$57:$U$57,Onderhoud!$F$59:$U$91))/L49*_xlfn.XLOOKUP($F49,Onderhoud!$D$59:$D$91,Onderhoud!$W$59:$W$91)+Onderhoud!$R$135*J49</f>
        <v>0.20597339769703771</v>
      </c>
      <c r="AF49">
        <f>_xlfn.XLOOKUP($F49,Onderhoud!$D$103:$D$133,Onderhoud!$S$103:$S$133)</f>
        <v>1</v>
      </c>
      <c r="AG49" s="522" cm="1">
        <f t="array" ref="AG49">_xlfn.XLOOKUP($F49,Onderhoud!$D$59:$D$91,_xlfn.XLOOKUP(TOTEX!$G49&amp;AA$2,Onderhoud!$F$57:$U$57,Onderhoud!$F$59:$U$91))/L49*IF($AG$1,1,_xlfn.XLOOKUP($F49,Onderhoud!$D$59:$D$91,Onderhoud!$AG$59:$AG$91))+Onderhoud!$T$135*J49</f>
        <v>1.1886977079506704</v>
      </c>
      <c r="AH49">
        <f t="shared" si="5"/>
        <v>1</v>
      </c>
    </row>
    <row r="50" spans="1:36" x14ac:dyDescent="0.25">
      <c r="A50" t="s">
        <v>273</v>
      </c>
      <c r="B50" t="s">
        <v>274</v>
      </c>
      <c r="C50" t="s">
        <v>147</v>
      </c>
      <c r="D50" t="s">
        <v>148</v>
      </c>
      <c r="E50" t="s">
        <v>149</v>
      </c>
      <c r="F50" t="str">
        <f t="shared" si="0"/>
        <v>kadeskadekeien</v>
      </c>
      <c r="G50" t="s">
        <v>253</v>
      </c>
      <c r="H50" cm="1">
        <f t="array" ref="H50">_xlfn.XLOOKUP($F50,Onderhoud!$D$59:$D$91,_xlfn.XLOOKUP(TOTEX!$G50&amp;H$2,Onderhoud!$F$57:$U$57,Onderhoud!$F$59:$U$91))</f>
        <v>265000</v>
      </c>
      <c r="I50" t="s">
        <v>276</v>
      </c>
      <c r="J50" s="521" cm="1">
        <f t="array" ref="J50">_xlfn.XLOOKUP(F50,Onderhoud!$D$4:$D$32,_xlfn.XLOOKUP(TOTEX!G50&amp;J$2,Onderhoud!$F$2:$U$2,Onderhoud!$F$4:$U$32),0)</f>
        <v>107.95015002391374</v>
      </c>
      <c r="K50" s="523">
        <f t="shared" si="1"/>
        <v>28606789.75633714</v>
      </c>
      <c r="L50" s="553" cm="1">
        <f t="array" ref="L50">_xlfn.XLOOKUP($F50,Onderhoud!$D$59:$D$91,_xlfn.XLOOKUP(TOTEX!$G50&amp;L$2,Onderhoud!$F$57:$U$57,Onderhoud!$F$59:$U$91))</f>
        <v>60</v>
      </c>
      <c r="M50" s="207">
        <f t="shared" si="2"/>
        <v>476779.82927228569</v>
      </c>
      <c r="N50" s="207">
        <f>_xlfn.XLOOKUP(F50,Onderhoud!$D$4:$D$32,Onderhoud!$Y$4:$Y$32,0)*M50</f>
        <v>401194.52681036945</v>
      </c>
      <c r="O50">
        <f t="shared" si="3"/>
        <v>265000</v>
      </c>
      <c r="P50" t="str">
        <f t="shared" si="4"/>
        <v>m2</v>
      </c>
      <c r="Q50" t="str">
        <f>_xlfn.XLOOKUP($F50,Onderhoud!$D$103:$D$129,Onderhoud!U$103:U$129,"")</f>
        <v>85% B</v>
      </c>
      <c r="R50" t="str">
        <f>_xlfn.XLOOKUP($F50,Onderhoud!$D$103:$D$129,Onderhoud!V$103:V$129,"")</f>
        <v>82% B</v>
      </c>
      <c r="S50" t="str">
        <f>_xlfn.XLOOKUP($F50,Onderhoud!$D$103:$D$129,Onderhoud!W$103:W$129,"")</f>
        <v>90% B</v>
      </c>
      <c r="V50">
        <f>_xlfn.XLOOKUP($F50,Onderhoud!$D$103:$D$133,Onderhoud!$I$103:$I$133)</f>
        <v>1</v>
      </c>
      <c r="W50" s="522">
        <f>_xlfn.XLOOKUP($F50,Onderhoud!$D$103:$D$133,Onderhoud!$J$103:$J$133)</f>
        <v>0.26949411640382248</v>
      </c>
      <c r="Z50">
        <f>_xlfn.XLOOKUP($F50,Onderhoud!$D$103:$D$133,Onderhoud!$M$103:$M$133)</f>
        <v>1</v>
      </c>
      <c r="AA50" s="522" cm="1">
        <f t="array" ref="AA50">_xlfn.XLOOKUP($F50,Onderhoud!$D$59:$D$91,_xlfn.XLOOKUP(TOTEX!$G50&amp;AA$2,Onderhoud!$F$57:$U$57,Onderhoud!$F$59:$U$91))/L50*_xlfn.XLOOKUP($F50,Onderhoud!$D$59:$D$91,Onderhoud!$AF$59:$AF$91)+Onderhoud!$N$135*J50</f>
        <v>6.1831579507765327E-2</v>
      </c>
      <c r="AD50" s="553">
        <f>_xlfn.XLOOKUP($F50,Onderhoud!$D$103:$D$133,Onderhoud!$Q$103:$Q$133)</f>
        <v>1</v>
      </c>
      <c r="AE50" s="522" cm="1">
        <f t="array" ref="AE50">_xlfn.XLOOKUP($F50,Onderhoud!$D$59:$D$91,_xlfn.XLOOKUP(TOTEX!$G50&amp;AA$2,Onderhoud!$F$57:$U$57,Onderhoud!$F$59:$U$91))/L50*_xlfn.XLOOKUP($F50,Onderhoud!$D$59:$D$91,Onderhoud!$W$59:$W$91)+Onderhoud!$R$135*J50</f>
        <v>0.38426061867438688</v>
      </c>
      <c r="AF50">
        <f>_xlfn.XLOOKUP($F50,Onderhoud!$D$103:$D$133,Onderhoud!$S$103:$S$133)</f>
        <v>1</v>
      </c>
      <c r="AG50" s="522" cm="1">
        <f t="array" ref="AG50">_xlfn.XLOOKUP($F50,Onderhoud!$D$59:$D$91,_xlfn.XLOOKUP(TOTEX!$G50&amp;AA$2,Onderhoud!$F$57:$U$57,Onderhoud!$F$59:$U$91))/L50*IF($AG$1,1,_xlfn.XLOOKUP($F50,Onderhoud!$D$59:$D$91,Onderhoud!$AG$59:$AG$91))+Onderhoud!$T$135*J50</f>
        <v>2.2087127352496156</v>
      </c>
      <c r="AH50">
        <f t="shared" si="5"/>
        <v>1</v>
      </c>
      <c r="AI50" s="522">
        <f>SUM(Onderhoud!V77:V82)</f>
        <v>2761636.458333333</v>
      </c>
      <c r="AJ50" t="s">
        <v>282</v>
      </c>
    </row>
    <row r="51" spans="1:36" x14ac:dyDescent="0.25">
      <c r="A51" t="s">
        <v>273</v>
      </c>
      <c r="B51" t="s">
        <v>274</v>
      </c>
      <c r="C51" t="s">
        <v>147</v>
      </c>
      <c r="D51" t="s">
        <v>150</v>
      </c>
      <c r="E51" t="s">
        <v>151</v>
      </c>
      <c r="F51" t="str">
        <f t="shared" si="0"/>
        <v>padenhalfverharding</v>
      </c>
      <c r="G51" t="s">
        <v>253</v>
      </c>
      <c r="H51" cm="1">
        <f t="array" ref="H51">_xlfn.XLOOKUP($F51,Onderhoud!$D$59:$D$91,_xlfn.XLOOKUP(TOTEX!$G51&amp;H$2,Onderhoud!$F$57:$U$57,Onderhoud!$F$59:$U$91))</f>
        <v>725000</v>
      </c>
      <c r="I51" t="s">
        <v>276</v>
      </c>
      <c r="J51" s="521" cm="1">
        <f t="array" ref="J51">_xlfn.XLOOKUP(F51,Onderhoud!$D$4:$D$32,_xlfn.XLOOKUP(TOTEX!G51&amp;J$2,Onderhoud!$F$2:$U$2,Onderhoud!$F$4:$U$32),0)</f>
        <v>77.305678433024994</v>
      </c>
      <c r="K51" s="523">
        <f t="shared" si="1"/>
        <v>56046616.863943122</v>
      </c>
      <c r="L51" s="553" cm="1">
        <f t="array" ref="L51">_xlfn.XLOOKUP($F51,Onderhoud!$D$59:$D$91,_xlfn.XLOOKUP(TOTEX!$G51&amp;L$2,Onderhoud!$F$57:$U$57,Onderhoud!$F$59:$U$91))</f>
        <v>60</v>
      </c>
      <c r="M51" s="207">
        <f t="shared" si="2"/>
        <v>934110.28106571874</v>
      </c>
      <c r="N51" s="207">
        <f>_xlfn.XLOOKUP(F51,Onderhoud!$D$4:$D$32,Onderhoud!$Y$4:$Y$32,0)*M51</f>
        <v>786023.04290611972</v>
      </c>
      <c r="O51">
        <f t="shared" si="3"/>
        <v>725000</v>
      </c>
      <c r="P51" t="str">
        <f t="shared" si="4"/>
        <v>m2</v>
      </c>
      <c r="Q51" t="str">
        <f>_xlfn.XLOOKUP($F51,Onderhoud!$D$103:$D$129,Onderhoud!U$103:U$129,"")</f>
        <v>85% B</v>
      </c>
      <c r="R51" t="str">
        <f>_xlfn.XLOOKUP($F51,Onderhoud!$D$103:$D$129,Onderhoud!V$103:V$129,"")</f>
        <v>82% B</v>
      </c>
      <c r="S51" t="str">
        <f>_xlfn.XLOOKUP($F51,Onderhoud!$D$103:$D$129,Onderhoud!W$103:W$129,"")</f>
        <v>90% B</v>
      </c>
      <c r="V51">
        <f>_xlfn.XLOOKUP($F51,Onderhoud!$D$103:$D$133,Onderhoud!$I$103:$I$133)</f>
        <v>1</v>
      </c>
      <c r="W51" s="522">
        <f>_xlfn.XLOOKUP($F51,Onderhoud!$D$103:$D$133,Onderhoud!$J$103:$J$133)</f>
        <v>0.19299116766110067</v>
      </c>
      <c r="Z51">
        <f>_xlfn.XLOOKUP($F51,Onderhoud!$D$103:$D$133,Onderhoud!$M$103:$M$133)</f>
        <v>1</v>
      </c>
      <c r="AA51" s="522" cm="1">
        <f t="array" ref="AA51">_xlfn.XLOOKUP($F51,Onderhoud!$D$59:$D$91,_xlfn.XLOOKUP(TOTEX!$G51&amp;AA$2,Onderhoud!$F$57:$U$57,Onderhoud!$F$59:$U$91))/L51*_xlfn.XLOOKUP($F51,Onderhoud!$D$59:$D$91,Onderhoud!$AF$59:$AF$91)+Onderhoud!$N$135*J51</f>
        <v>2.2644612303537846E-2</v>
      </c>
      <c r="AD51" s="553">
        <f>_xlfn.XLOOKUP($F51,Onderhoud!$D$103:$D$133,Onderhoud!$Q$103:$Q$133)</f>
        <v>1</v>
      </c>
      <c r="AE51" s="522" cm="1">
        <f t="array" ref="AE51">_xlfn.XLOOKUP($F51,Onderhoud!$D$59:$D$91,_xlfn.XLOOKUP(TOTEX!$G51&amp;AA$2,Onderhoud!$F$57:$U$57,Onderhoud!$F$59:$U$91))/L51*_xlfn.XLOOKUP($F51,Onderhoud!$D$59:$D$91,Onderhoud!$W$59:$W$91)+Onderhoud!$R$135*J51</f>
        <v>0.21001584845685795</v>
      </c>
      <c r="AF51">
        <f>_xlfn.XLOOKUP($F51,Onderhoud!$D$103:$D$133,Onderhoud!$S$103:$S$133)</f>
        <v>1</v>
      </c>
      <c r="AG51" s="522" cm="1">
        <f t="array" ref="AG51">_xlfn.XLOOKUP($F51,Onderhoud!$D$59:$D$91,_xlfn.XLOOKUP(TOTEX!$G51&amp;AA$2,Onderhoud!$F$57:$U$57,Onderhoud!$F$59:$U$91))/L51*IF($AG$1,1,_xlfn.XLOOKUP($F51,Onderhoud!$D$59:$D$91,Onderhoud!$AG$59:$AG$91))+Onderhoud!$T$135*J51</f>
        <v>1.5760222761063596</v>
      </c>
      <c r="AH51">
        <f t="shared" si="5"/>
        <v>1</v>
      </c>
    </row>
    <row r="52" spans="1:36" x14ac:dyDescent="0.25">
      <c r="A52" t="s">
        <v>273</v>
      </c>
      <c r="B52" t="s">
        <v>274</v>
      </c>
      <c r="C52" t="s">
        <v>147</v>
      </c>
      <c r="D52" t="s">
        <v>150</v>
      </c>
      <c r="E52" t="s">
        <v>152</v>
      </c>
      <c r="F52" t="str">
        <f t="shared" si="0"/>
        <v>padenasfalt</v>
      </c>
      <c r="G52" t="s">
        <v>253</v>
      </c>
      <c r="H52" cm="1">
        <f t="array" ref="H52">_xlfn.XLOOKUP($F52,Onderhoud!$D$59:$D$91,_xlfn.XLOOKUP(TOTEX!$G52&amp;H$2,Onderhoud!$F$57:$U$57,Onderhoud!$F$59:$U$91))</f>
        <v>618000</v>
      </c>
      <c r="I52" t="s">
        <v>276</v>
      </c>
      <c r="J52" s="521" cm="1">
        <f t="array" ref="J52">_xlfn.XLOOKUP(F52,Onderhoud!$D$4:$D$32,_xlfn.XLOOKUP(TOTEX!G52&amp;J$2,Onderhoud!$F$2:$U$2,Onderhoud!$F$4:$U$32),0)</f>
        <v>50.580205349958845</v>
      </c>
      <c r="K52" s="523">
        <f t="shared" si="1"/>
        <v>31258566.906274565</v>
      </c>
      <c r="L52" s="553" cm="1">
        <f t="array" ref="L52">_xlfn.XLOOKUP($F52,Onderhoud!$D$59:$D$91,_xlfn.XLOOKUP(TOTEX!$G52&amp;L$2,Onderhoud!$F$57:$U$57,Onderhoud!$F$59:$U$91))</f>
        <v>60</v>
      </c>
      <c r="M52" s="207">
        <f t="shared" si="2"/>
        <v>520976.11510457605</v>
      </c>
      <c r="N52" s="207">
        <f>_xlfn.XLOOKUP(F52,Onderhoud!$D$4:$D$32,Onderhoud!$Y$4:$Y$32,0)*M52</f>
        <v>438384.24603218527</v>
      </c>
      <c r="O52">
        <f t="shared" si="3"/>
        <v>618000</v>
      </c>
      <c r="P52" t="str">
        <f t="shared" si="4"/>
        <v>m2</v>
      </c>
      <c r="Q52" t="str">
        <f>_xlfn.XLOOKUP($F52,Onderhoud!$D$103:$D$129,Onderhoud!U$103:U$129,"")</f>
        <v>85% B</v>
      </c>
      <c r="R52" t="str">
        <f>_xlfn.XLOOKUP($F52,Onderhoud!$D$103:$D$129,Onderhoud!V$103:V$129,"")</f>
        <v>82% B</v>
      </c>
      <c r="S52" t="str">
        <f>_xlfn.XLOOKUP($F52,Onderhoud!$D$103:$D$129,Onderhoud!W$103:W$129,"")</f>
        <v>90% B</v>
      </c>
      <c r="V52">
        <f>_xlfn.XLOOKUP($F52,Onderhoud!$D$103:$D$133,Onderhoud!$I$103:$I$133)</f>
        <v>1</v>
      </c>
      <c r="W52" s="522">
        <f>_xlfn.XLOOKUP($F52,Onderhoud!$D$103:$D$133,Onderhoud!$J$103:$J$133)</f>
        <v>0.12627187405752952</v>
      </c>
      <c r="Z52">
        <f>_xlfn.XLOOKUP($F52,Onderhoud!$D$103:$D$133,Onderhoud!$M$103:$M$133)</f>
        <v>1</v>
      </c>
      <c r="AA52" s="522" cm="1">
        <f t="array" ref="AA52">_xlfn.XLOOKUP($F52,Onderhoud!$D$59:$D$91,_xlfn.XLOOKUP(TOTEX!$G52&amp;AA$2,Onderhoud!$F$57:$U$57,Onderhoud!$F$59:$U$91))/L52*_xlfn.XLOOKUP($F52,Onderhoud!$D$59:$D$91,Onderhoud!$AF$59:$AF$91)+Onderhoud!$N$135*J52</f>
        <v>2.1379071833060394E-2</v>
      </c>
      <c r="AD52" s="553">
        <f>_xlfn.XLOOKUP($F52,Onderhoud!$D$103:$D$133,Onderhoud!$Q$103:$Q$133)</f>
        <v>1</v>
      </c>
      <c r="AE52" s="522" cm="1">
        <f t="array" ref="AE52">_xlfn.XLOOKUP($F52,Onderhoud!$D$59:$D$91,_xlfn.XLOOKUP(TOTEX!$G52&amp;AA$2,Onderhoud!$F$57:$U$57,Onderhoud!$F$59:$U$91))/L52*_xlfn.XLOOKUP($F52,Onderhoud!$D$59:$D$91,Onderhoud!$W$59:$W$91)+Onderhoud!$R$135*J52</f>
        <v>0.13870216717567907</v>
      </c>
      <c r="AF52">
        <f>_xlfn.XLOOKUP($F52,Onderhoud!$D$103:$D$133,Onderhoud!$S$103:$S$133)</f>
        <v>1</v>
      </c>
      <c r="AG52" s="522" cm="1">
        <f t="array" ref="AG52">_xlfn.XLOOKUP($F52,Onderhoud!$D$59:$D$91,_xlfn.XLOOKUP(TOTEX!$G52&amp;AA$2,Onderhoud!$F$57:$U$57,Onderhoud!$F$59:$U$91))/L52*IF($AG$1,1,_xlfn.XLOOKUP($F52,Onderhoud!$D$59:$D$91,Onderhoud!$AG$59:$AG$91))+Onderhoud!$T$135*J52</f>
        <v>1.0415029675594649</v>
      </c>
      <c r="AH52">
        <f t="shared" si="5"/>
        <v>1</v>
      </c>
    </row>
    <row r="53" spans="1:36" x14ac:dyDescent="0.25">
      <c r="A53" t="s">
        <v>273</v>
      </c>
      <c r="B53" t="s">
        <v>274</v>
      </c>
      <c r="C53" t="s">
        <v>147</v>
      </c>
      <c r="D53" t="s">
        <v>153</v>
      </c>
      <c r="E53" t="s">
        <v>138</v>
      </c>
      <c r="F53" t="str">
        <f t="shared" si="0"/>
        <v>diversendiverse verharding</v>
      </c>
      <c r="G53" t="s">
        <v>253</v>
      </c>
      <c r="H53" cm="1">
        <f t="array" ref="H53">_xlfn.XLOOKUP($F53,Onderhoud!$D$59:$D$91,_xlfn.XLOOKUP(TOTEX!$G53&amp;H$2,Onderhoud!$F$57:$U$57,Onderhoud!$F$59:$U$91))</f>
        <v>5550</v>
      </c>
      <c r="I53" t="s">
        <v>276</v>
      </c>
      <c r="J53" s="521" cm="1">
        <f t="array" ref="J53">_xlfn.XLOOKUP(F53,Onderhoud!$D$4:$D$32,_xlfn.XLOOKUP(TOTEX!G53&amp;J$2,Onderhoud!$F$2:$U$2,Onderhoud!$F$4:$U$32),0)</f>
        <v>78.732300000000009</v>
      </c>
      <c r="K53" s="523">
        <f t="shared" si="1"/>
        <v>436964.26500000007</v>
      </c>
      <c r="L53" s="553" cm="1">
        <f t="array" ref="L53">_xlfn.XLOOKUP($F53,Onderhoud!$D$59:$D$91,_xlfn.XLOOKUP(TOTEX!$G53&amp;L$2,Onderhoud!$F$57:$U$57,Onderhoud!$F$59:$U$91))</f>
        <v>60</v>
      </c>
      <c r="M53" s="207">
        <f t="shared" si="2"/>
        <v>7282.7377500000011</v>
      </c>
      <c r="N53" s="207">
        <f>_xlfn.XLOOKUP(F53,Onderhoud!$D$4:$D$32,Onderhoud!$Y$4:$Y$32,0)*M53</f>
        <v>6128.1840088638655</v>
      </c>
      <c r="O53">
        <f t="shared" si="3"/>
        <v>5550</v>
      </c>
      <c r="P53" t="str">
        <f t="shared" si="4"/>
        <v>m2</v>
      </c>
      <c r="Q53" t="str">
        <f>_xlfn.XLOOKUP($F53,Onderhoud!$D$103:$D$129,Onderhoud!U$103:U$129,"")</f>
        <v>85% B</v>
      </c>
      <c r="R53" t="str">
        <f>_xlfn.XLOOKUP($F53,Onderhoud!$D$103:$D$129,Onderhoud!V$103:V$129,"")</f>
        <v>82% B</v>
      </c>
      <c r="S53" t="str">
        <f>_xlfn.XLOOKUP($F53,Onderhoud!$D$103:$D$129,Onderhoud!W$103:W$129,"")</f>
        <v>90% B</v>
      </c>
      <c r="V53">
        <f>_xlfn.XLOOKUP($F53,Onderhoud!$D$103:$D$133,Onderhoud!$I$103:$I$133)</f>
        <v>1</v>
      </c>
      <c r="W53" s="522">
        <f>_xlfn.XLOOKUP($F53,Onderhoud!$D$103:$D$133,Onderhoud!$J$103:$J$133)</f>
        <v>0.19655268303231044</v>
      </c>
      <c r="Z53">
        <f>_xlfn.XLOOKUP($F53,Onderhoud!$D$103:$D$133,Onderhoud!$M$103:$M$133)</f>
        <v>1</v>
      </c>
      <c r="AA53" s="522" cm="1">
        <f t="array" ref="AA53">_xlfn.XLOOKUP($F53,Onderhoud!$D$59:$D$91,_xlfn.XLOOKUP(TOTEX!$G53&amp;AA$2,Onderhoud!$F$57:$U$57,Onderhoud!$F$59:$U$91))/L53*_xlfn.XLOOKUP($F53,Onderhoud!$D$59:$D$91,Onderhoud!$AF$59:$AF$91)+Onderhoud!$N$135*J53</f>
        <v>2.2712167602688255E-2</v>
      </c>
      <c r="AD53" s="553">
        <f>_xlfn.XLOOKUP($F53,Onderhoud!$D$103:$D$133,Onderhoud!$Q$103:$Q$133)</f>
        <v>1</v>
      </c>
      <c r="AE53" s="522" cm="1">
        <f t="array" ref="AE53">_xlfn.XLOOKUP($F53,Onderhoud!$D$59:$D$91,_xlfn.XLOOKUP(TOTEX!$G53&amp;AA$2,Onderhoud!$F$57:$U$57,Onderhoud!$F$59:$U$91))/L53*_xlfn.XLOOKUP($F53,Onderhoud!$D$59:$D$91,Onderhoud!$W$59:$W$91)+Onderhoud!$R$135*J53</f>
        <v>0.28093116624308634</v>
      </c>
      <c r="AF53">
        <f>_xlfn.XLOOKUP($F53,Onderhoud!$D$103:$D$133,Onderhoud!$S$103:$S$133)</f>
        <v>1</v>
      </c>
      <c r="AG53" s="522" cm="1">
        <f t="array" ref="AG53">_xlfn.XLOOKUP($F53,Onderhoud!$D$59:$D$91,_xlfn.XLOOKUP(TOTEX!$G53&amp;AA$2,Onderhoud!$F$57:$U$57,Onderhoud!$F$59:$U$91))/L53*IF($AG$1,1,_xlfn.XLOOKUP($F53,Onderhoud!$D$59:$D$91,Onderhoud!$AG$59:$AG$91))+Onderhoud!$T$135*J53</f>
        <v>1.6147569766696159</v>
      </c>
      <c r="AH53">
        <f t="shared" si="5"/>
        <v>1</v>
      </c>
    </row>
    <row r="54" spans="1:36" x14ac:dyDescent="0.25">
      <c r="A54" t="s">
        <v>273</v>
      </c>
      <c r="B54" t="s">
        <v>274</v>
      </c>
      <c r="C54" t="s">
        <v>147</v>
      </c>
      <c r="D54" t="s">
        <v>154</v>
      </c>
      <c r="E54" t="s">
        <v>125</v>
      </c>
      <c r="F54" t="str">
        <f t="shared" si="0"/>
        <v xml:space="preserve">industriewegenasfalt </v>
      </c>
      <c r="G54" t="s">
        <v>253</v>
      </c>
      <c r="H54" cm="1">
        <f t="array" ref="H54">_xlfn.XLOOKUP($F54,Onderhoud!$D$59:$D$91,_xlfn.XLOOKUP(TOTEX!$G54&amp;H$2,Onderhoud!$F$57:$U$57,Onderhoud!$F$59:$U$91))</f>
        <v>305000</v>
      </c>
      <c r="I54" t="s">
        <v>276</v>
      </c>
      <c r="J54" s="521" cm="1">
        <f t="array" ref="J54">_xlfn.XLOOKUP(F54,Onderhoud!$D$4:$D$32,_xlfn.XLOOKUP(TOTEX!G54&amp;J$2,Onderhoud!$F$2:$U$2,Onderhoud!$F$4:$U$32),0)</f>
        <v>107.95015002391374</v>
      </c>
      <c r="K54" s="523">
        <f t="shared" si="1"/>
        <v>32924795.75729369</v>
      </c>
      <c r="L54" s="553" cm="1">
        <f t="array" ref="L54">_xlfn.XLOOKUP($F54,Onderhoud!$D$59:$D$91,_xlfn.XLOOKUP(TOTEX!$G54&amp;L$2,Onderhoud!$F$57:$U$57,Onderhoud!$F$59:$U$91))</f>
        <v>60</v>
      </c>
      <c r="M54" s="207">
        <f t="shared" si="2"/>
        <v>548746.59595489479</v>
      </c>
      <c r="N54" s="207">
        <f>_xlfn.XLOOKUP(F54,Onderhoud!$D$4:$D$32,Onderhoud!$Y$4:$Y$32,0)*M54</f>
        <v>461752.19123457611</v>
      </c>
      <c r="O54">
        <f t="shared" si="3"/>
        <v>305000</v>
      </c>
      <c r="P54" t="str">
        <f t="shared" si="4"/>
        <v>m2</v>
      </c>
      <c r="Q54" t="str">
        <f>_xlfn.XLOOKUP($F54,Onderhoud!$D$103:$D$129,Onderhoud!U$103:U$129,"")</f>
        <v>85% B</v>
      </c>
      <c r="R54" t="str">
        <f>_xlfn.XLOOKUP($F54,Onderhoud!$D$103:$D$129,Onderhoud!V$103:V$129,"")</f>
        <v>82% B</v>
      </c>
      <c r="S54" t="str">
        <f>_xlfn.XLOOKUP($F54,Onderhoud!$D$103:$D$129,Onderhoud!W$103:W$129,"")</f>
        <v>90% B</v>
      </c>
      <c r="V54">
        <f>_xlfn.XLOOKUP($F54,Onderhoud!$D$103:$D$133,Onderhoud!$I$103:$I$133)</f>
        <v>1</v>
      </c>
      <c r="W54" s="522">
        <f>_xlfn.XLOOKUP($F54,Onderhoud!$D$103:$D$133,Onderhoud!$J$103:$J$133)</f>
        <v>0.26949411640382248</v>
      </c>
      <c r="Z54">
        <f>_xlfn.XLOOKUP($F54,Onderhoud!$D$103:$D$133,Onderhoud!$M$103:$M$133)</f>
        <v>1</v>
      </c>
      <c r="AA54" s="522" cm="1">
        <f t="array" ref="AA54">_xlfn.XLOOKUP($F54,Onderhoud!$D$59:$D$91,_xlfn.XLOOKUP(TOTEX!$G54&amp;AA$2,Onderhoud!$F$57:$U$57,Onderhoud!$F$59:$U$91))/L54*_xlfn.XLOOKUP($F54,Onderhoud!$D$59:$D$91,Onderhoud!$AF$59:$AF$91)+Onderhoud!$N$135*J54</f>
        <v>2.4095730451161555E-2</v>
      </c>
      <c r="AD54" s="553">
        <f>_xlfn.XLOOKUP($F54,Onderhoud!$D$103:$D$133,Onderhoud!$Q$103:$Q$133)</f>
        <v>1</v>
      </c>
      <c r="AE54" s="522" cm="1">
        <f t="array" ref="AE54">_xlfn.XLOOKUP($F54,Onderhoud!$D$59:$D$91,_xlfn.XLOOKUP(TOTEX!$G54&amp;AA$2,Onderhoud!$F$57:$U$57,Onderhoud!$F$59:$U$91))/L54*_xlfn.XLOOKUP($F54,Onderhoud!$D$59:$D$91,Onderhoud!$W$59:$W$91)+Onderhoud!$R$135*J54</f>
        <v>0.40543911867438681</v>
      </c>
      <c r="AF54">
        <f>_xlfn.XLOOKUP($F54,Onderhoud!$D$103:$D$133,Onderhoud!$S$103:$S$133)</f>
        <v>1</v>
      </c>
      <c r="AG54" s="522" cm="1">
        <f t="array" ref="AG54">_xlfn.XLOOKUP($F54,Onderhoud!$D$59:$D$91,_xlfn.XLOOKUP(TOTEX!$G54&amp;AA$2,Onderhoud!$F$57:$U$57,Onderhoud!$F$59:$U$91))/L54*IF($AG$1,1,_xlfn.XLOOKUP($F54,Onderhoud!$D$59:$D$91,Onderhoud!$AG$59:$AG$91))+Onderhoud!$T$135*J54</f>
        <v>2.2763710685829488</v>
      </c>
      <c r="AH54">
        <f t="shared" si="5"/>
        <v>1</v>
      </c>
    </row>
    <row r="55" spans="1:36" x14ac:dyDescent="0.25">
      <c r="A55" t="s">
        <v>273</v>
      </c>
      <c r="B55" t="s">
        <v>274</v>
      </c>
      <c r="C55" t="s">
        <v>147</v>
      </c>
      <c r="D55" t="s">
        <v>155</v>
      </c>
      <c r="F55" t="str">
        <f t="shared" si="0"/>
        <v>begraafplaatsen</v>
      </c>
      <c r="G55" t="s">
        <v>253</v>
      </c>
      <c r="H55" cm="1">
        <f t="array" ref="H55">_xlfn.XLOOKUP($F55,Onderhoud!$D$59:$D$91,_xlfn.XLOOKUP(TOTEX!$G55&amp;H$2,Onderhoud!$F$57:$U$57,Onderhoud!$F$59:$U$91))</f>
        <v>219110</v>
      </c>
      <c r="I55" t="s">
        <v>276</v>
      </c>
      <c r="J55" s="521" cm="1">
        <f t="array" ref="J55">_xlfn.XLOOKUP(F55,Onderhoud!$D$4:$D$32,_xlfn.XLOOKUP(TOTEX!G55&amp;J$2,Onderhoud!$F$2:$U$2,Onderhoud!$F$4:$U$32),0)</f>
        <v>69</v>
      </c>
      <c r="K55" s="523">
        <f t="shared" si="1"/>
        <v>15118590</v>
      </c>
      <c r="L55" s="553" cm="1">
        <f t="array" ref="L55">_xlfn.XLOOKUP($F55,Onderhoud!$D$59:$D$91,_xlfn.XLOOKUP(TOTEX!$G55&amp;L$2,Onderhoud!$F$57:$U$57,Onderhoud!$F$59:$U$91))</f>
        <v>60</v>
      </c>
      <c r="M55" s="207">
        <f t="shared" si="2"/>
        <v>251976.5</v>
      </c>
      <c r="N55" s="207">
        <f>_xlfn.XLOOKUP(F55,Onderhoud!$D$4:$D$32,Onderhoud!$Y$4:$Y$32,0)*M55</f>
        <v>212029.92760648092</v>
      </c>
      <c r="O55">
        <f t="shared" si="3"/>
        <v>219110</v>
      </c>
      <c r="P55" t="str">
        <f t="shared" si="4"/>
        <v>m2</v>
      </c>
      <c r="Q55" t="str">
        <f>_xlfn.XLOOKUP($F55,Onderhoud!$D$103:$D$129,Onderhoud!U$103:U$129,"")</f>
        <v>85% B</v>
      </c>
      <c r="R55" t="str">
        <f>_xlfn.XLOOKUP($F55,Onderhoud!$D$103:$D$129,Onderhoud!V$103:V$129,"")</f>
        <v>82% B</v>
      </c>
      <c r="S55" t="str">
        <f>_xlfn.XLOOKUP($F55,Onderhoud!$D$103:$D$129,Onderhoud!W$103:W$129,"")</f>
        <v>90% B</v>
      </c>
      <c r="V55">
        <f>_xlfn.XLOOKUP($F55,Onderhoud!$D$103:$D$133,Onderhoud!$I$103:$I$133)</f>
        <v>1</v>
      </c>
      <c r="W55" s="522">
        <f>_xlfn.XLOOKUP($F55,Onderhoud!$D$103:$D$133,Onderhoud!$J$103:$J$133)</f>
        <v>0.17225630559794922</v>
      </c>
      <c r="Z55">
        <f>_xlfn.XLOOKUP($F55,Onderhoud!$D$103:$D$133,Onderhoud!$M$103:$M$133)</f>
        <v>1</v>
      </c>
      <c r="AA55" s="522" cm="1">
        <f t="array" ref="AA55">_xlfn.XLOOKUP($F55,Onderhoud!$D$59:$D$91,_xlfn.XLOOKUP(TOTEX!$G55&amp;AA$2,Onderhoud!$F$57:$U$57,Onderhoud!$F$59:$U$91))/L55*_xlfn.XLOOKUP($F55,Onderhoud!$D$59:$D$91,Onderhoud!$AF$59:$AF$91)+Onderhoud!$N$135*J55</f>
        <v>2.2251310671080493E-2</v>
      </c>
      <c r="AD55" s="553">
        <f>_xlfn.XLOOKUP($F55,Onderhoud!$D$103:$D$133,Onderhoud!$Q$103:$Q$133)</f>
        <v>1</v>
      </c>
      <c r="AE55" s="522" cm="1">
        <f t="array" ref="AE55">_xlfn.XLOOKUP($F55,Onderhoud!$D$59:$D$91,_xlfn.XLOOKUP(TOTEX!$G55&amp;AA$2,Onderhoud!$F$57:$U$57,Onderhoud!$F$59:$U$91))/L55*_xlfn.XLOOKUP($F55,Onderhoud!$D$59:$D$91,Onderhoud!$W$59:$W$91)+Onderhoud!$R$135*J55</f>
        <v>0.21677027370943003</v>
      </c>
      <c r="AF55">
        <f>_xlfn.XLOOKUP($F55,Onderhoud!$D$103:$D$133,Onderhoud!$S$103:$S$133)</f>
        <v>1</v>
      </c>
      <c r="AG55" s="522" cm="1">
        <f t="array" ref="AG55">_xlfn.XLOOKUP($F55,Onderhoud!$D$59:$D$91,_xlfn.XLOOKUP(TOTEX!$G55&amp;AA$2,Onderhoud!$F$57:$U$57,Onderhoud!$F$59:$U$91))/L55*IF($AG$1,1,_xlfn.XLOOKUP($F55,Onderhoud!$D$59:$D$91,Onderhoud!$AG$59:$AG$91))+Onderhoud!$T$135*J55</f>
        <v>1.4112426080554421</v>
      </c>
      <c r="AH55">
        <f t="shared" si="5"/>
        <v>1</v>
      </c>
    </row>
    <row r="56" spans="1:36" x14ac:dyDescent="0.25">
      <c r="A56" t="s">
        <v>273</v>
      </c>
      <c r="B56" t="s">
        <v>274</v>
      </c>
      <c r="C56" t="s">
        <v>170</v>
      </c>
      <c r="D56" t="s">
        <v>127</v>
      </c>
      <c r="E56" t="s">
        <v>193</v>
      </c>
      <c r="F56" t="str">
        <f t="shared" si="0"/>
        <v>stil asfalttoename beheerkosten</v>
      </c>
      <c r="G56" t="s">
        <v>275</v>
      </c>
      <c r="H56" cm="1">
        <f t="array" ref="H56">_xlfn.XLOOKUP($F56,Onderhoud!$D$59:$D$91,_xlfn.XLOOKUP(TOTEX!$G56&amp;H$2,Onderhoud!$F$57:$U$57,Onderhoud!$F$59:$U$91))</f>
        <v>651000</v>
      </c>
      <c r="I56" t="s">
        <v>276</v>
      </c>
      <c r="J56" s="521" cm="1">
        <f t="array" ref="J56">_xlfn.XLOOKUP(F56,Onderhoud!$D$4:$D$32,_xlfn.XLOOKUP(TOTEX!G56&amp;J$2,Onderhoud!$F$2:$U$2,Onderhoud!$F$4:$U$32),0)</f>
        <v>0</v>
      </c>
      <c r="K56" s="523">
        <f t="shared" si="1"/>
        <v>0</v>
      </c>
      <c r="L56" s="553" cm="1">
        <f t="array" ref="L56">_xlfn.XLOOKUP($F56,Onderhoud!$D$59:$D$91,_xlfn.XLOOKUP(TOTEX!$G56&amp;L$2,Onderhoud!$F$57:$U$57,Onderhoud!$F$59:$U$91))</f>
        <v>45</v>
      </c>
      <c r="M56" s="207">
        <f t="shared" si="2"/>
        <v>0</v>
      </c>
      <c r="N56" s="207">
        <f>_xlfn.XLOOKUP(F56,Onderhoud!$D$4:$D$32,Onderhoud!$Y$4:$Y$32,0)*M56</f>
        <v>0</v>
      </c>
      <c r="O56">
        <f t="shared" si="3"/>
        <v>651000</v>
      </c>
      <c r="P56" t="str">
        <f t="shared" si="4"/>
        <v>m2</v>
      </c>
      <c r="Q56" t="str">
        <f>_xlfn.XLOOKUP($F56,Onderhoud!$D$103:$D$129,Onderhoud!U$103:U$129,"")</f>
        <v/>
      </c>
      <c r="R56" t="str">
        <f>_xlfn.XLOOKUP($F56,Onderhoud!$D$103:$D$129,Onderhoud!V$103:V$129,"")</f>
        <v/>
      </c>
      <c r="S56" t="str">
        <f>_xlfn.XLOOKUP($F56,Onderhoud!$D$103:$D$129,Onderhoud!W$103:W$129,"")</f>
        <v/>
      </c>
      <c r="V56">
        <f>_xlfn.XLOOKUP($F56,Onderhoud!$D$103:$D$133,Onderhoud!$I$103:$I$133)</f>
        <v>0</v>
      </c>
      <c r="W56" s="522">
        <f>_xlfn.XLOOKUP($F56,Onderhoud!$D$103:$D$133,Onderhoud!$J$103:$J$133)</f>
        <v>0</v>
      </c>
      <c r="Z56">
        <f>_xlfn.XLOOKUP($F56,Onderhoud!$D$103:$D$133,Onderhoud!$M$103:$M$133)</f>
        <v>1</v>
      </c>
      <c r="AA56" s="522" cm="1">
        <f t="array" ref="AA56">_xlfn.XLOOKUP($F56,Onderhoud!$D$59:$D$91,_xlfn.XLOOKUP(TOTEX!$G56&amp;AA$2,Onderhoud!$F$57:$U$57,Onderhoud!$F$59:$U$91))/L56*_xlfn.XLOOKUP($F56,Onderhoud!$D$59:$D$91,Onderhoud!$AF$59:$AF$91)+Onderhoud!$N$135*J56</f>
        <v>7.6804915514592943E-3</v>
      </c>
      <c r="AD56" s="553">
        <f>_xlfn.XLOOKUP($F56,Onderhoud!$D$103:$D$133,Onderhoud!$Q$103:$Q$133)</f>
        <v>1</v>
      </c>
      <c r="AE56" s="522" cm="1">
        <f t="array" ref="AE56">_xlfn.XLOOKUP($F56,Onderhoud!$D$59:$D$91,_xlfn.XLOOKUP(TOTEX!$G56&amp;AA$2,Onderhoud!$F$57:$U$57,Onderhoud!$F$59:$U$91))/L56*_xlfn.XLOOKUP($F56,Onderhoud!$D$59:$D$91,Onderhoud!$W$59:$W$91)+Onderhoud!$R$135*J56</f>
        <v>0</v>
      </c>
      <c r="AF56">
        <f>_xlfn.XLOOKUP($F56,Onderhoud!$D$103:$D$133,Onderhoud!$S$103:$S$133)</f>
        <v>1</v>
      </c>
      <c r="AG56" s="522" cm="1">
        <f t="array" ref="AG56">_xlfn.XLOOKUP($F56,Onderhoud!$D$59:$D$91,_xlfn.XLOOKUP(TOTEX!$G56&amp;AA$2,Onderhoud!$F$57:$U$57,Onderhoud!$F$59:$U$91))/L56*IF($AG$1,1,_xlfn.XLOOKUP($F56,Onderhoud!$D$59:$D$91,Onderhoud!$AG$59:$AG$91))+Onderhoud!$T$135*J56</f>
        <v>0.85938325793333314</v>
      </c>
      <c r="AH56">
        <f t="shared" si="5"/>
        <v>1</v>
      </c>
      <c r="AI56" s="9">
        <f>SUM(Onderhoud!V85:V87)</f>
        <v>3062687.8494968424</v>
      </c>
      <c r="AJ56" t="s">
        <v>283</v>
      </c>
    </row>
    <row r="57" spans="1:36" x14ac:dyDescent="0.25">
      <c r="A57" t="s">
        <v>273</v>
      </c>
      <c r="B57" t="s">
        <v>274</v>
      </c>
      <c r="C57" t="s">
        <v>170</v>
      </c>
      <c r="D57" t="s">
        <v>171</v>
      </c>
      <c r="E57" t="s">
        <v>192</v>
      </c>
      <c r="F57" t="str">
        <f t="shared" si="0"/>
        <v xml:space="preserve">klinkerkaarttoename beheerkosten </v>
      </c>
      <c r="G57" t="s">
        <v>284</v>
      </c>
      <c r="H57" cm="1">
        <f t="array" ref="H57">_xlfn.XLOOKUP($F57,Onderhoud!$D$59:$D$91,_xlfn.XLOOKUP(TOTEX!$G57&amp;H$2,Onderhoud!$F$57:$U$57,Onderhoud!$F$59:$U$91))</f>
        <v>723660.00000000012</v>
      </c>
      <c r="I57" t="s">
        <v>276</v>
      </c>
      <c r="J57" s="521" cm="1">
        <f t="array" ref="J57">_xlfn.XLOOKUP(F57,Onderhoud!$D$4:$D$32,_xlfn.XLOOKUP(TOTEX!G57&amp;J$2,Onderhoud!$F$2:$U$2,Onderhoud!$F$4:$U$32),0)</f>
        <v>0</v>
      </c>
      <c r="K57" s="523">
        <f t="shared" si="1"/>
        <v>0</v>
      </c>
      <c r="L57" s="553" cm="1">
        <f t="array" ref="L57">_xlfn.XLOOKUP($F57,Onderhoud!$D$59:$D$91,_xlfn.XLOOKUP(TOTEX!$G57&amp;L$2,Onderhoud!$F$57:$U$57,Onderhoud!$F$59:$U$91))</f>
        <v>60</v>
      </c>
      <c r="M57" s="207">
        <f t="shared" si="2"/>
        <v>0</v>
      </c>
      <c r="N57" s="207">
        <f>_xlfn.XLOOKUP(F57,Onderhoud!$D$4:$D$32,Onderhoud!$Y$4:$Y$32,0)*M57</f>
        <v>0</v>
      </c>
      <c r="O57">
        <f t="shared" si="3"/>
        <v>723660.00000000012</v>
      </c>
      <c r="P57" t="str">
        <f t="shared" si="4"/>
        <v>m2</v>
      </c>
      <c r="Q57" t="str">
        <f>_xlfn.XLOOKUP($F57,Onderhoud!$D$103:$D$129,Onderhoud!U$103:U$129,"")</f>
        <v/>
      </c>
      <c r="R57" t="str">
        <f>_xlfn.XLOOKUP($F57,Onderhoud!$D$103:$D$129,Onderhoud!V$103:V$129,"")</f>
        <v/>
      </c>
      <c r="S57" t="str">
        <f>_xlfn.XLOOKUP($F57,Onderhoud!$D$103:$D$129,Onderhoud!W$103:W$129,"")</f>
        <v/>
      </c>
      <c r="V57">
        <f>_xlfn.XLOOKUP($F57,Onderhoud!$D$103:$D$133,Onderhoud!$I$103:$I$133)</f>
        <v>0</v>
      </c>
      <c r="W57" s="522">
        <f>_xlfn.XLOOKUP($F57,Onderhoud!$D$103:$D$133,Onderhoud!$J$103:$J$133)</f>
        <v>0</v>
      </c>
      <c r="Z57">
        <f>_xlfn.XLOOKUP($F57,Onderhoud!$D$103:$D$133,Onderhoud!$M$103:$M$133)</f>
        <v>1</v>
      </c>
      <c r="AA57" s="522" cm="1">
        <f t="array" ref="AA57">_xlfn.XLOOKUP($F57,Onderhoud!$D$59:$D$91,_xlfn.XLOOKUP(TOTEX!$G57&amp;AA$2,Onderhoud!$F$57:$U$57,Onderhoud!$F$59:$U$91))/L57*_xlfn.XLOOKUP($F57,Onderhoud!$D$59:$D$91,Onderhoud!$AF$59:$AF$91)+Onderhoud!$N$135*J57</f>
        <v>0</v>
      </c>
      <c r="AD57" s="553">
        <f>_xlfn.XLOOKUP($F57,Onderhoud!$D$103:$D$133,Onderhoud!$Q$103:$Q$133)</f>
        <v>1</v>
      </c>
      <c r="AE57" s="522" cm="1">
        <f t="array" ref="AE57">_xlfn.XLOOKUP($F57,Onderhoud!$D$59:$D$91,_xlfn.XLOOKUP(TOTEX!$G57&amp;AA$2,Onderhoud!$F$57:$U$57,Onderhoud!$F$59:$U$91))/L57*_xlfn.XLOOKUP($F57,Onderhoud!$D$59:$D$91,Onderhoud!$W$59:$W$91)+Onderhoud!$R$135*J57</f>
        <v>0</v>
      </c>
      <c r="AF57">
        <f>_xlfn.XLOOKUP($F57,Onderhoud!$D$103:$D$133,Onderhoud!$S$103:$S$133)</f>
        <v>1</v>
      </c>
      <c r="AG57" s="522" cm="1">
        <f t="array" ref="AG57">_xlfn.XLOOKUP($F57,Onderhoud!$D$59:$D$91,_xlfn.XLOOKUP(TOTEX!$G57&amp;AA$2,Onderhoud!$F$57:$U$57,Onderhoud!$F$59:$U$91))/L57*IF($AG$1,1,_xlfn.XLOOKUP($F57,Onderhoud!$D$59:$D$91,Onderhoud!$AG$59:$AG$91))+Onderhoud!$T$135*J57</f>
        <v>0.95386500000000007</v>
      </c>
      <c r="AH57">
        <f t="shared" si="5"/>
        <v>1</v>
      </c>
    </row>
    <row r="58" spans="1:36" x14ac:dyDescent="0.25">
      <c r="A58" t="s">
        <v>273</v>
      </c>
      <c r="B58" t="s">
        <v>274</v>
      </c>
      <c r="C58" t="s">
        <v>170</v>
      </c>
      <c r="D58" t="s">
        <v>174</v>
      </c>
      <c r="E58" t="s">
        <v>193</v>
      </c>
      <c r="F58" t="str">
        <f t="shared" si="0"/>
        <v>waterpasserendtoename beheerkosten</v>
      </c>
      <c r="G58" t="s">
        <v>284</v>
      </c>
      <c r="H58" cm="1">
        <f t="array" ref="H58">_xlfn.XLOOKUP($F58,Onderhoud!$D$59:$D$91,_xlfn.XLOOKUP(TOTEX!$G58&amp;H$2,Onderhoud!$F$57:$U$57,Onderhoud!$F$59:$U$91))</f>
        <v>511840.00000000006</v>
      </c>
      <c r="I58" t="s">
        <v>276</v>
      </c>
      <c r="J58" s="521" cm="1">
        <f t="array" ref="J58">_xlfn.XLOOKUP(F58,Onderhoud!$D$4:$D$32,_xlfn.XLOOKUP(TOTEX!G58&amp;J$2,Onderhoud!$F$2:$U$2,Onderhoud!$F$4:$U$32),0)</f>
        <v>0</v>
      </c>
      <c r="K58" s="523">
        <f t="shared" si="1"/>
        <v>0</v>
      </c>
      <c r="L58" s="553" cm="1">
        <f t="array" ref="L58">_xlfn.XLOOKUP($F58,Onderhoud!$D$59:$D$91,_xlfn.XLOOKUP(TOTEX!$G58&amp;L$2,Onderhoud!$F$57:$U$57,Onderhoud!$F$59:$U$91))</f>
        <v>60</v>
      </c>
      <c r="M58" s="207">
        <f t="shared" si="2"/>
        <v>0</v>
      </c>
      <c r="N58" s="207">
        <f>_xlfn.XLOOKUP(F58,Onderhoud!$D$4:$D$32,Onderhoud!$Y$4:$Y$32,0)*M58</f>
        <v>0</v>
      </c>
      <c r="O58">
        <f t="shared" si="3"/>
        <v>511840.00000000006</v>
      </c>
      <c r="P58" t="str">
        <f t="shared" si="4"/>
        <v>m2</v>
      </c>
      <c r="Q58" t="str">
        <f>_xlfn.XLOOKUP($F58,Onderhoud!$D$103:$D$129,Onderhoud!U$103:U$129,"")</f>
        <v/>
      </c>
      <c r="R58" t="str">
        <f>_xlfn.XLOOKUP($F58,Onderhoud!$D$103:$D$129,Onderhoud!V$103:V$129,"")</f>
        <v/>
      </c>
      <c r="S58" t="str">
        <f>_xlfn.XLOOKUP($F58,Onderhoud!$D$103:$D$129,Onderhoud!W$103:W$129,"")</f>
        <v/>
      </c>
      <c r="V58">
        <f>_xlfn.XLOOKUP($F58,Onderhoud!$D$103:$D$133,Onderhoud!$I$103:$I$133)</f>
        <v>0</v>
      </c>
      <c r="W58" s="522">
        <f>_xlfn.XLOOKUP($F58,Onderhoud!$D$103:$D$133,Onderhoud!$J$103:$J$133)</f>
        <v>0</v>
      </c>
      <c r="Z58">
        <f>_xlfn.XLOOKUP($F58,Onderhoud!$D$103:$D$133,Onderhoud!$M$103:$M$133)</f>
        <v>1</v>
      </c>
      <c r="AA58" s="522" cm="1">
        <f t="array" ref="AA58">_xlfn.XLOOKUP($F58,Onderhoud!$D$59:$D$91,_xlfn.XLOOKUP(TOTEX!$G58&amp;AA$2,Onderhoud!$F$57:$U$57,Onderhoud!$F$59:$U$91))/L58*_xlfn.XLOOKUP($F58,Onderhoud!$D$59:$D$91,Onderhoud!$AF$59:$AF$91)+Onderhoud!$N$135*J58</f>
        <v>0</v>
      </c>
      <c r="AD58" s="553">
        <f>_xlfn.XLOOKUP($F58,Onderhoud!$D$103:$D$133,Onderhoud!$Q$103:$Q$133)</f>
        <v>1</v>
      </c>
      <c r="AE58" s="522" cm="1">
        <f t="array" ref="AE58">_xlfn.XLOOKUP($F58,Onderhoud!$D$59:$D$91,_xlfn.XLOOKUP(TOTEX!$G58&amp;AA$2,Onderhoud!$F$57:$U$57,Onderhoud!$F$59:$U$91))/L58*_xlfn.XLOOKUP($F58,Onderhoud!$D$59:$D$91,Onderhoud!$W$59:$W$91)+Onderhoud!$R$135*J58</f>
        <v>0</v>
      </c>
      <c r="AF58">
        <f>_xlfn.XLOOKUP($F58,Onderhoud!$D$103:$D$133,Onderhoud!$S$103:$S$133)</f>
        <v>1</v>
      </c>
      <c r="AG58" s="522" cm="1">
        <f t="array" ref="AG58">_xlfn.XLOOKUP($F58,Onderhoud!$D$59:$D$91,_xlfn.XLOOKUP(TOTEX!$G58&amp;AA$2,Onderhoud!$F$57:$U$57,Onderhoud!$F$59:$U$91))/L58*IF($AG$1,1,_xlfn.XLOOKUP($F58,Onderhoud!$D$59:$D$91,Onderhoud!$AG$59:$AG$91))+Onderhoud!$T$135*J58</f>
        <v>1.3317049999999999</v>
      </c>
      <c r="AH58">
        <f t="shared" si="5"/>
        <v>1</v>
      </c>
    </row>
    <row r="59" spans="1:36" x14ac:dyDescent="0.25">
      <c r="A59" t="s">
        <v>273</v>
      </c>
      <c r="B59" t="s">
        <v>274</v>
      </c>
      <c r="C59" t="s">
        <v>170</v>
      </c>
      <c r="D59" t="s">
        <v>171</v>
      </c>
      <c r="E59" t="s">
        <v>192</v>
      </c>
      <c r="F59" t="str">
        <f t="shared" si="0"/>
        <v xml:space="preserve">klinkerkaarttoename beheerkosten </v>
      </c>
      <c r="G59" t="s">
        <v>280</v>
      </c>
      <c r="H59" cm="1">
        <f t="array" ref="H59">_xlfn.XLOOKUP($F59,Onderhoud!$D$59:$D$91,_xlfn.XLOOKUP(TOTEX!$G59&amp;H$2,Onderhoud!$F$57:$U$57,Onderhoud!$F$59:$U$91))</f>
        <v>1111335</v>
      </c>
      <c r="I59" t="s">
        <v>276</v>
      </c>
      <c r="J59" s="521" cm="1">
        <f t="array" ref="J59">_xlfn.XLOOKUP(F59,Onderhoud!$D$4:$D$32,_xlfn.XLOOKUP(TOTEX!G59&amp;J$2,Onderhoud!$F$2:$U$2,Onderhoud!$F$4:$U$32),0)</f>
        <v>0</v>
      </c>
      <c r="K59" s="523">
        <f t="shared" si="1"/>
        <v>0</v>
      </c>
      <c r="L59" s="553" cm="1">
        <f t="array" ref="L59">_xlfn.XLOOKUP($F59,Onderhoud!$D$59:$D$91,_xlfn.XLOOKUP(TOTEX!$G59&amp;L$2,Onderhoud!$F$57:$U$57,Onderhoud!$F$59:$U$91))</f>
        <v>40</v>
      </c>
      <c r="M59" s="207">
        <f t="shared" si="2"/>
        <v>0</v>
      </c>
      <c r="N59" s="207">
        <f>_xlfn.XLOOKUP(F59,Onderhoud!$D$4:$D$32,Onderhoud!$Y$4:$Y$32,0)*M59</f>
        <v>0</v>
      </c>
      <c r="O59">
        <f t="shared" si="3"/>
        <v>1111335</v>
      </c>
      <c r="P59" t="str">
        <f t="shared" si="4"/>
        <v>m2</v>
      </c>
      <c r="Q59" t="str">
        <f>_xlfn.XLOOKUP($F59,Onderhoud!$D$103:$D$129,Onderhoud!U$103:U$129,"")</f>
        <v/>
      </c>
      <c r="R59" t="str">
        <f>_xlfn.XLOOKUP($F59,Onderhoud!$D$103:$D$129,Onderhoud!V$103:V$129,"")</f>
        <v/>
      </c>
      <c r="S59" t="str">
        <f>_xlfn.XLOOKUP($F59,Onderhoud!$D$103:$D$129,Onderhoud!W$103:W$129,"")</f>
        <v/>
      </c>
      <c r="V59">
        <f>_xlfn.XLOOKUP($F59,Onderhoud!$D$103:$D$133,Onderhoud!$I$103:$I$133)</f>
        <v>0</v>
      </c>
      <c r="W59" s="522">
        <f>_xlfn.XLOOKUP($F59,Onderhoud!$D$103:$D$133,Onderhoud!$J$103:$J$133)</f>
        <v>0</v>
      </c>
      <c r="Z59">
        <f>_xlfn.XLOOKUP($F59,Onderhoud!$D$103:$D$133,Onderhoud!$M$103:$M$133)</f>
        <v>1</v>
      </c>
      <c r="AA59" s="522" cm="1">
        <f t="array" ref="AA59">_xlfn.XLOOKUP($F59,Onderhoud!$D$59:$D$91,_xlfn.XLOOKUP(TOTEX!$G59&amp;AA$2,Onderhoud!$F$57:$U$57,Onderhoud!$F$59:$U$91))/L59*_xlfn.XLOOKUP($F59,Onderhoud!$D$59:$D$91,Onderhoud!$AF$59:$AF$91)+Onderhoud!$N$135*J59</f>
        <v>0</v>
      </c>
      <c r="AD59" s="553">
        <f>_xlfn.XLOOKUP($F59,Onderhoud!$D$103:$D$133,Onderhoud!$Q$103:$Q$133)</f>
        <v>1</v>
      </c>
      <c r="AE59" s="522" cm="1">
        <f t="array" ref="AE59">_xlfn.XLOOKUP($F59,Onderhoud!$D$59:$D$91,_xlfn.XLOOKUP(TOTEX!$G59&amp;AA$2,Onderhoud!$F$57:$U$57,Onderhoud!$F$59:$U$91))/L59*_xlfn.XLOOKUP($F59,Onderhoud!$D$59:$D$91,Onderhoud!$W$59:$W$91)+Onderhoud!$R$135*J59</f>
        <v>0</v>
      </c>
      <c r="AF59">
        <f>_xlfn.XLOOKUP($F59,Onderhoud!$D$103:$D$133,Onderhoud!$S$103:$S$133)</f>
        <v>1</v>
      </c>
      <c r="AG59" s="522" cm="1">
        <f t="array" ref="AG59">_xlfn.XLOOKUP($F59,Onderhoud!$D$59:$D$91,_xlfn.XLOOKUP(TOTEX!$G59&amp;AA$2,Onderhoud!$F$57:$U$57,Onderhoud!$F$59:$U$91))/L59*IF($AG$1,1,_xlfn.XLOOKUP($F59,Onderhoud!$D$59:$D$91,Onderhoud!$AG$59:$AG$91))+Onderhoud!$T$135*J59</f>
        <v>0.21043249999999994</v>
      </c>
      <c r="AH59">
        <f t="shared" si="5"/>
        <v>1</v>
      </c>
    </row>
    <row r="60" spans="1:36" x14ac:dyDescent="0.25">
      <c r="A60" t="s">
        <v>273</v>
      </c>
      <c r="B60" t="s">
        <v>274</v>
      </c>
      <c r="C60" t="s">
        <v>170</v>
      </c>
      <c r="D60" t="s">
        <v>174</v>
      </c>
      <c r="E60" t="s">
        <v>193</v>
      </c>
      <c r="F60" t="str">
        <f t="shared" si="0"/>
        <v>waterpasserendtoename beheerkosten</v>
      </c>
      <c r="G60" t="s">
        <v>280</v>
      </c>
      <c r="H60" cm="1">
        <f t="array" ref="H60">_xlfn.XLOOKUP($F60,Onderhoud!$D$59:$D$91,_xlfn.XLOOKUP(TOTEX!$G60&amp;H$2,Onderhoud!$F$57:$U$57,Onderhoud!$F$59:$U$91))</f>
        <v>786040</v>
      </c>
      <c r="I60" t="s">
        <v>276</v>
      </c>
      <c r="J60" s="521" cm="1">
        <f t="array" ref="J60">_xlfn.XLOOKUP(F60,Onderhoud!$D$4:$D$32,_xlfn.XLOOKUP(TOTEX!G60&amp;J$2,Onderhoud!$F$2:$U$2,Onderhoud!$F$4:$U$32),0)</f>
        <v>0</v>
      </c>
      <c r="K60" s="523">
        <f t="shared" si="1"/>
        <v>0</v>
      </c>
      <c r="L60" s="553" cm="1">
        <f t="array" ref="L60">_xlfn.XLOOKUP($F60,Onderhoud!$D$59:$D$91,_xlfn.XLOOKUP(TOTEX!$G60&amp;L$2,Onderhoud!$F$57:$U$57,Onderhoud!$F$59:$U$91))</f>
        <v>40</v>
      </c>
      <c r="M60" s="207">
        <f t="shared" si="2"/>
        <v>0</v>
      </c>
      <c r="N60" s="207">
        <f>_xlfn.XLOOKUP(F60,Onderhoud!$D$4:$D$32,Onderhoud!$Y$4:$Y$32,0)*M60</f>
        <v>0</v>
      </c>
      <c r="O60">
        <f t="shared" si="3"/>
        <v>786040</v>
      </c>
      <c r="P60" t="str">
        <f t="shared" si="4"/>
        <v>m2</v>
      </c>
      <c r="Q60" t="str">
        <f>_xlfn.XLOOKUP($F60,Onderhoud!$D$103:$D$129,Onderhoud!U$103:U$129,"")</f>
        <v/>
      </c>
      <c r="R60" t="str">
        <f>_xlfn.XLOOKUP($F60,Onderhoud!$D$103:$D$129,Onderhoud!V$103:V$129,"")</f>
        <v/>
      </c>
      <c r="S60" t="str">
        <f>_xlfn.XLOOKUP($F60,Onderhoud!$D$103:$D$129,Onderhoud!W$103:W$129,"")</f>
        <v/>
      </c>
      <c r="V60">
        <f>_xlfn.XLOOKUP($F60,Onderhoud!$D$103:$D$133,Onderhoud!$I$103:$I$133)</f>
        <v>0</v>
      </c>
      <c r="W60" s="522">
        <f>_xlfn.XLOOKUP($F60,Onderhoud!$D$103:$D$133,Onderhoud!$J$103:$J$133)</f>
        <v>0</v>
      </c>
      <c r="Z60">
        <f>_xlfn.XLOOKUP($F60,Onderhoud!$D$103:$D$133,Onderhoud!$M$103:$M$133)</f>
        <v>1</v>
      </c>
      <c r="AA60" s="522" cm="1">
        <f t="array" ref="AA60">_xlfn.XLOOKUP($F60,Onderhoud!$D$59:$D$91,_xlfn.XLOOKUP(TOTEX!$G60&amp;AA$2,Onderhoud!$F$57:$U$57,Onderhoud!$F$59:$U$91))/L60*_xlfn.XLOOKUP($F60,Onderhoud!$D$59:$D$91,Onderhoud!$AF$59:$AF$91)+Onderhoud!$N$135*J60</f>
        <v>0</v>
      </c>
      <c r="AD60" s="553">
        <f>_xlfn.XLOOKUP($F60,Onderhoud!$D$103:$D$133,Onderhoud!$Q$103:$Q$133)</f>
        <v>1</v>
      </c>
      <c r="AE60" s="522" cm="1">
        <f t="array" ref="AE60">_xlfn.XLOOKUP($F60,Onderhoud!$D$59:$D$91,_xlfn.XLOOKUP(TOTEX!$G60&amp;AA$2,Onderhoud!$F$57:$U$57,Onderhoud!$F$59:$U$91))/L60*_xlfn.XLOOKUP($F60,Onderhoud!$D$59:$D$91,Onderhoud!$W$59:$W$91)+Onderhoud!$R$135*J60</f>
        <v>0</v>
      </c>
      <c r="AF60">
        <f>_xlfn.XLOOKUP($F60,Onderhoud!$D$103:$D$133,Onderhoud!$S$103:$S$133)</f>
        <v>1</v>
      </c>
      <c r="AG60" s="522" cm="1">
        <f t="array" ref="AG60">_xlfn.XLOOKUP($F60,Onderhoud!$D$59:$D$91,_xlfn.XLOOKUP(TOTEX!$G60&amp;AA$2,Onderhoud!$F$57:$U$57,Onderhoud!$F$59:$U$91))/L60*IF($AG$1,1,_xlfn.XLOOKUP($F60,Onderhoud!$D$59:$D$91,Onderhoud!$AG$59:$AG$91))+Onderhoud!$T$135*J60</f>
        <v>0.40405205303132519</v>
      </c>
      <c r="AH60">
        <f t="shared" si="5"/>
        <v>1</v>
      </c>
    </row>
    <row r="61" spans="1:36" x14ac:dyDescent="0.25">
      <c r="A61" t="s">
        <v>273</v>
      </c>
      <c r="B61" t="s">
        <v>274</v>
      </c>
      <c r="C61" t="s">
        <v>170</v>
      </c>
      <c r="D61" t="s">
        <v>171</v>
      </c>
      <c r="E61" t="s">
        <v>192</v>
      </c>
      <c r="F61" t="str">
        <f t="shared" si="0"/>
        <v xml:space="preserve">klinkerkaarttoename beheerkosten </v>
      </c>
      <c r="G61" t="s">
        <v>281</v>
      </c>
      <c r="H61" cm="1">
        <f t="array" ref="H61">_xlfn.XLOOKUP($F61,Onderhoud!$D$59:$D$91,_xlfn.XLOOKUP(TOTEX!$G61&amp;H$2,Onderhoud!$F$57:$U$57,Onderhoud!$F$59:$U$91))</f>
        <v>749505</v>
      </c>
      <c r="I61" t="s">
        <v>276</v>
      </c>
      <c r="J61" s="521" cm="1">
        <f t="array" ref="J61">_xlfn.XLOOKUP(F61,Onderhoud!$D$4:$D$32,_xlfn.XLOOKUP(TOTEX!G61&amp;J$2,Onderhoud!$F$2:$U$2,Onderhoud!$F$4:$U$32),0)</f>
        <v>0</v>
      </c>
      <c r="K61" s="523">
        <f t="shared" si="1"/>
        <v>0</v>
      </c>
      <c r="L61" s="553" cm="1">
        <f t="array" ref="L61">_xlfn.XLOOKUP($F61,Onderhoud!$D$59:$D$91,_xlfn.XLOOKUP(TOTEX!$G61&amp;L$2,Onderhoud!$F$57:$U$57,Onderhoud!$F$59:$U$91))</f>
        <v>25</v>
      </c>
      <c r="M61" s="207">
        <f t="shared" si="2"/>
        <v>0</v>
      </c>
      <c r="N61" s="207">
        <f>_xlfn.XLOOKUP(F61,Onderhoud!$D$4:$D$32,Onderhoud!$Y$4:$Y$32,0)*M61</f>
        <v>0</v>
      </c>
      <c r="O61">
        <f t="shared" si="3"/>
        <v>749505</v>
      </c>
      <c r="P61" t="str">
        <f t="shared" si="4"/>
        <v>m2</v>
      </c>
      <c r="Q61" t="str">
        <f>_xlfn.XLOOKUP($F61,Onderhoud!$D$103:$D$129,Onderhoud!U$103:U$129,"")</f>
        <v/>
      </c>
      <c r="R61" t="str">
        <f>_xlfn.XLOOKUP($F61,Onderhoud!$D$103:$D$129,Onderhoud!V$103:V$129,"")</f>
        <v/>
      </c>
      <c r="S61" t="str">
        <f>_xlfn.XLOOKUP($F61,Onderhoud!$D$103:$D$129,Onderhoud!W$103:W$129,"")</f>
        <v/>
      </c>
      <c r="V61">
        <f>_xlfn.XLOOKUP($F61,Onderhoud!$D$103:$D$133,Onderhoud!$I$103:$I$133)</f>
        <v>0</v>
      </c>
      <c r="W61" s="522">
        <f>_xlfn.XLOOKUP($F61,Onderhoud!$D$103:$D$133,Onderhoud!$J$103:$J$133)</f>
        <v>0</v>
      </c>
      <c r="Z61">
        <f>_xlfn.XLOOKUP($F61,Onderhoud!$D$103:$D$133,Onderhoud!$M$103:$M$133)</f>
        <v>1</v>
      </c>
      <c r="AA61" s="522" cm="1">
        <f t="array" ref="AA61">_xlfn.XLOOKUP($F61,Onderhoud!$D$59:$D$91,_xlfn.XLOOKUP(TOTEX!$G61&amp;AA$2,Onderhoud!$F$57:$U$57,Onderhoud!$F$59:$U$91))/L61*_xlfn.XLOOKUP($F61,Onderhoud!$D$59:$D$91,Onderhoud!$AF$59:$AF$91)+Onderhoud!$N$135*J61</f>
        <v>0</v>
      </c>
      <c r="AD61" s="553">
        <f>_xlfn.XLOOKUP($F61,Onderhoud!$D$103:$D$133,Onderhoud!$Q$103:$Q$133)</f>
        <v>1</v>
      </c>
      <c r="AE61" s="522" cm="1">
        <f t="array" ref="AE61">_xlfn.XLOOKUP($F61,Onderhoud!$D$59:$D$91,_xlfn.XLOOKUP(TOTEX!$G61&amp;AA$2,Onderhoud!$F$57:$U$57,Onderhoud!$F$59:$U$91))/L61*_xlfn.XLOOKUP($F61,Onderhoud!$D$59:$D$91,Onderhoud!$W$59:$W$91)+Onderhoud!$R$135*J61</f>
        <v>0</v>
      </c>
      <c r="AF61">
        <f>_xlfn.XLOOKUP($F61,Onderhoud!$D$103:$D$133,Onderhoud!$S$103:$S$133)</f>
        <v>1</v>
      </c>
      <c r="AG61" s="522" cm="1">
        <f t="array" ref="AG61">_xlfn.XLOOKUP($F61,Onderhoud!$D$59:$D$91,_xlfn.XLOOKUP(TOTEX!$G61&amp;AA$2,Onderhoud!$F$57:$U$57,Onderhoud!$F$59:$U$91))/L61*IF($AG$1,1,_xlfn.XLOOKUP($F61,Onderhoud!$D$59:$D$91,Onderhoud!$AG$59:$AG$91))+Onderhoud!$T$135*J61</f>
        <v>0.30538439999999994</v>
      </c>
      <c r="AH61">
        <f t="shared" si="5"/>
        <v>1</v>
      </c>
    </row>
    <row r="62" spans="1:36" x14ac:dyDescent="0.25">
      <c r="A62" t="s">
        <v>273</v>
      </c>
      <c r="B62" t="s">
        <v>274</v>
      </c>
      <c r="C62" t="s">
        <v>170</v>
      </c>
      <c r="D62" t="s">
        <v>174</v>
      </c>
      <c r="E62" t="s">
        <v>193</v>
      </c>
      <c r="F62" t="str">
        <f t="shared" si="0"/>
        <v>waterpasserendtoename beheerkosten</v>
      </c>
      <c r="G62" t="s">
        <v>281</v>
      </c>
      <c r="H62" cm="1">
        <f t="array" ref="H62">_xlfn.XLOOKUP($F62,Onderhoud!$D$59:$D$91,_xlfn.XLOOKUP(TOTEX!$G62&amp;H$2,Onderhoud!$F$57:$U$57,Onderhoud!$F$59:$U$91))</f>
        <v>530120</v>
      </c>
      <c r="I62" t="s">
        <v>276</v>
      </c>
      <c r="J62" s="521" cm="1">
        <f t="array" ref="J62">_xlfn.XLOOKUP(F62,Onderhoud!$D$4:$D$32,_xlfn.XLOOKUP(TOTEX!G62&amp;J$2,Onderhoud!$F$2:$U$2,Onderhoud!$F$4:$U$32),0)</f>
        <v>0</v>
      </c>
      <c r="K62" s="523">
        <f t="shared" si="1"/>
        <v>0</v>
      </c>
      <c r="L62" s="553" cm="1">
        <f t="array" ref="L62">_xlfn.XLOOKUP($F62,Onderhoud!$D$59:$D$91,_xlfn.XLOOKUP(TOTEX!$G62&amp;L$2,Onderhoud!$F$57:$U$57,Onderhoud!$F$59:$U$91))</f>
        <v>25</v>
      </c>
      <c r="M62" s="207">
        <f t="shared" si="2"/>
        <v>0</v>
      </c>
      <c r="N62" s="207">
        <f>_xlfn.XLOOKUP(F62,Onderhoud!$D$4:$D$32,Onderhoud!$Y$4:$Y$32,0)*M62</f>
        <v>0</v>
      </c>
      <c r="O62">
        <f t="shared" si="3"/>
        <v>530120</v>
      </c>
      <c r="P62" t="str">
        <f t="shared" si="4"/>
        <v>m2</v>
      </c>
      <c r="Q62" t="str">
        <f>_xlfn.XLOOKUP($F62,Onderhoud!$D$103:$D$129,Onderhoud!U$103:U$129,"")</f>
        <v/>
      </c>
      <c r="R62" t="str">
        <f>_xlfn.XLOOKUP($F62,Onderhoud!$D$103:$D$129,Onderhoud!V$103:V$129,"")</f>
        <v/>
      </c>
      <c r="S62" t="str">
        <f>_xlfn.XLOOKUP($F62,Onderhoud!$D$103:$D$129,Onderhoud!W$103:W$129,"")</f>
        <v/>
      </c>
      <c r="V62">
        <f>_xlfn.XLOOKUP($F62,Onderhoud!$D$103:$D$133,Onderhoud!$I$103:$I$133)</f>
        <v>0</v>
      </c>
      <c r="W62" s="522">
        <f>_xlfn.XLOOKUP($F62,Onderhoud!$D$103:$D$133,Onderhoud!$J$103:$J$133)</f>
        <v>0</v>
      </c>
      <c r="Z62">
        <f>_xlfn.XLOOKUP($F62,Onderhoud!$D$103:$D$133,Onderhoud!$M$103:$M$133)</f>
        <v>1</v>
      </c>
      <c r="AA62" s="522" cm="1">
        <f t="array" ref="AA62">_xlfn.XLOOKUP($F62,Onderhoud!$D$59:$D$91,_xlfn.XLOOKUP(TOTEX!$G62&amp;AA$2,Onderhoud!$F$57:$U$57,Onderhoud!$F$59:$U$91))/L62*_xlfn.XLOOKUP($F62,Onderhoud!$D$59:$D$91,Onderhoud!$AF$59:$AF$91)+Onderhoud!$N$135*J62</f>
        <v>0</v>
      </c>
      <c r="AD62" s="553">
        <f>_xlfn.XLOOKUP($F62,Onderhoud!$D$103:$D$133,Onderhoud!$Q$103:$Q$133)</f>
        <v>1</v>
      </c>
      <c r="AE62" s="522" cm="1">
        <f t="array" ref="AE62">_xlfn.XLOOKUP($F62,Onderhoud!$D$59:$D$91,_xlfn.XLOOKUP(TOTEX!$G62&amp;AA$2,Onderhoud!$F$57:$U$57,Onderhoud!$F$59:$U$91))/L62*_xlfn.XLOOKUP($F62,Onderhoud!$D$59:$D$91,Onderhoud!$W$59:$W$91)+Onderhoud!$R$135*J62</f>
        <v>0</v>
      </c>
      <c r="AF62">
        <f>_xlfn.XLOOKUP($F62,Onderhoud!$D$103:$D$133,Onderhoud!$S$103:$S$133)</f>
        <v>1</v>
      </c>
      <c r="AG62" s="522" cm="1">
        <f t="array" ref="AG62">_xlfn.XLOOKUP($F62,Onderhoud!$D$59:$D$91,_xlfn.XLOOKUP(TOTEX!$G62&amp;AA$2,Onderhoud!$F$57:$U$57,Onderhoud!$F$59:$U$91))/L62*IF($AG$1,1,_xlfn.XLOOKUP($F62,Onderhoud!$D$59:$D$91,Onderhoud!$AG$59:$AG$91))+Onderhoud!$T$135*J62</f>
        <v>0.66208839999999991</v>
      </c>
      <c r="AH62">
        <f t="shared" si="5"/>
        <v>1</v>
      </c>
    </row>
    <row r="63" spans="1:36" x14ac:dyDescent="0.25">
      <c r="A63" t="s">
        <v>273</v>
      </c>
      <c r="B63" t="s">
        <v>274</v>
      </c>
      <c r="C63" t="s">
        <v>159</v>
      </c>
      <c r="D63" t="s">
        <v>160</v>
      </c>
      <c r="E63" t="s">
        <v>161</v>
      </c>
      <c r="F63" t="str">
        <f t="shared" si="0"/>
        <v>bankenstuks</v>
      </c>
      <c r="G63" t="s">
        <v>253</v>
      </c>
      <c r="H63" cm="1">
        <f t="array" ref="H63">_xlfn.XLOOKUP($F63,Onderhoud!$D$59:$D$91,_xlfn.XLOOKUP(TOTEX!$G63&amp;H$2,Onderhoud!$F$57:$U$57,Onderhoud!$F$59:$U$91))</f>
        <v>9797</v>
      </c>
      <c r="I63" t="s">
        <v>285</v>
      </c>
      <c r="J63" s="521" cm="1">
        <f t="array" ref="J63">_xlfn.XLOOKUP(F63,Onderhoud!$D$4:$D$32,_xlfn.XLOOKUP(TOTEX!G63&amp;J$2,Onderhoud!$F$2:$U$2,Onderhoud!$F$4:$U$32),0)</f>
        <v>1580</v>
      </c>
      <c r="K63" s="523">
        <f t="shared" si="1"/>
        <v>15479260</v>
      </c>
      <c r="L63" s="554" cm="1">
        <f t="array" ref="L63">_xlfn.XLOOKUP($F63,Onderhoud!$D$59:$D$91,_xlfn.XLOOKUP(TOTEX!$G63&amp;L$2,Onderhoud!$F$57:$U$57,Onderhoud!$F$59:$U$91))</f>
        <v>30</v>
      </c>
      <c r="M63" s="207">
        <f t="shared" si="2"/>
        <v>515975.33333333331</v>
      </c>
      <c r="N63" s="207">
        <f>_xlfn.XLOOKUP(F63,Onderhoud!$D$4:$D$32,Onderhoud!$Y$4:$Y$32,0)*M63</f>
        <v>515975.33333333331</v>
      </c>
      <c r="O63">
        <f t="shared" si="3"/>
        <v>9797</v>
      </c>
      <c r="P63" t="str">
        <f t="shared" si="4"/>
        <v>st</v>
      </c>
      <c r="Q63">
        <f>_xlfn.XLOOKUP($F63,Onderhoud!$D$103:$D$129,Onderhoud!U$103:U$129,"")</f>
        <v>0</v>
      </c>
      <c r="R63">
        <f>_xlfn.XLOOKUP($F63,Onderhoud!$D$103:$D$129,Onderhoud!V$103:V$129,"")</f>
        <v>0</v>
      </c>
      <c r="S63" t="str">
        <f>_xlfn.XLOOKUP($F63,Onderhoud!$D$103:$D$129,Onderhoud!W$103:W$129,"")</f>
        <v>90% B</v>
      </c>
      <c r="V63">
        <f>_xlfn.XLOOKUP($F63,Onderhoud!$D$103:$D$133,Onderhoud!$I$103:$I$133)</f>
        <v>1</v>
      </c>
      <c r="W63" s="522">
        <f>_xlfn.XLOOKUP($F63,Onderhoud!$D$103:$D$133,Onderhoud!$J$103:$J$133)</f>
        <v>3.9444197513733301</v>
      </c>
      <c r="Z63">
        <f>_xlfn.XLOOKUP($F63,Onderhoud!$D$103:$D$133,Onderhoud!$M$103:$M$133)</f>
        <v>1</v>
      </c>
      <c r="AA63" s="522" cm="1">
        <f t="array" ref="AA63">_xlfn.XLOOKUP($F63,Onderhoud!$D$59:$D$91,_xlfn.XLOOKUP(TOTEX!$G63&amp;AA$2,Onderhoud!$F$57:$U$57,Onderhoud!$F$59:$U$91))/L63*_xlfn.XLOOKUP($F63,Onderhoud!$D$59:$D$91,Onderhoud!$AF$59:$AF$91)+Onderhoud!$N$135*J63</f>
        <v>0.9679488307331634</v>
      </c>
      <c r="AD63" s="553">
        <f>_xlfn.XLOOKUP($F63,Onderhoud!$D$103:$D$133,Onderhoud!$Q$103:$Q$133)</f>
        <v>1</v>
      </c>
      <c r="AE63" s="522" cm="1">
        <f t="array" ref="AE63">_xlfn.XLOOKUP($F63,Onderhoud!$D$59:$D$91,_xlfn.XLOOKUP(TOTEX!$G63&amp;AA$2,Onderhoud!$F$57:$U$57,Onderhoud!$F$59:$U$91))/L63*_xlfn.XLOOKUP($F63,Onderhoud!$D$59:$D$91,Onderhoud!$W$59:$W$91)+Onderhoud!$R$135*J63</f>
        <v>2.1467250060569145</v>
      </c>
      <c r="AF63">
        <f>_xlfn.XLOOKUP($F63,Onderhoud!$D$103:$D$133,Onderhoud!$S$103:$S$133)</f>
        <v>1</v>
      </c>
      <c r="AG63" s="522" cm="1">
        <f t="array" ref="AG63">_xlfn.XLOOKUP($F63,Onderhoud!$D$59:$D$91,_xlfn.XLOOKUP(TOTEX!$G63&amp;AA$2,Onderhoud!$F$57:$U$57,Onderhoud!$F$59:$U$91))/L63*IF($AG$1,1,_xlfn.XLOOKUP($F63,Onderhoud!$D$59:$D$91,Onderhoud!$AG$59:$AG$91))+Onderhoud!$T$135*J63</f>
        <v>17.312076091273557</v>
      </c>
      <c r="AH63">
        <f t="shared" si="5"/>
        <v>1</v>
      </c>
      <c r="AI63" s="9">
        <f>SUM(Onderhoud!V89:V91)</f>
        <v>1074000</v>
      </c>
      <c r="AJ63" t="s">
        <v>286</v>
      </c>
    </row>
    <row r="64" spans="1:36" x14ac:dyDescent="0.25">
      <c r="A64" t="s">
        <v>273</v>
      </c>
      <c r="B64" t="s">
        <v>274</v>
      </c>
      <c r="C64" t="s">
        <v>159</v>
      </c>
      <c r="D64" t="s">
        <v>162</v>
      </c>
      <c r="E64" t="s">
        <v>161</v>
      </c>
      <c r="F64" t="str">
        <f t="shared" si="0"/>
        <v>straatmeubilairstuks</v>
      </c>
      <c r="G64" t="s">
        <v>253</v>
      </c>
      <c r="H64" cm="1">
        <f t="array" ref="H64">_xlfn.XLOOKUP($F64,Onderhoud!$D$59:$D$91,_xlfn.XLOOKUP(TOTEX!$G64&amp;H$2,Onderhoud!$F$57:$U$57,Onderhoud!$F$59:$U$91))</f>
        <v>50000</v>
      </c>
      <c r="I64" t="s">
        <v>285</v>
      </c>
      <c r="J64" s="521" cm="1">
        <f t="array" ref="J64">_xlfn.XLOOKUP(F64,Onderhoud!$D$4:$D$32,_xlfn.XLOOKUP(TOTEX!G64&amp;J$2,Onderhoud!$F$2:$U$2,Onderhoud!$F$4:$U$32),0)</f>
        <v>362.80180000000001</v>
      </c>
      <c r="K64" s="523">
        <f t="shared" si="1"/>
        <v>18140090</v>
      </c>
      <c r="L64" s="554" cm="1">
        <f t="array" ref="L64">_xlfn.XLOOKUP($F64,Onderhoud!$D$59:$D$91,_xlfn.XLOOKUP(TOTEX!$G64&amp;L$2,Onderhoud!$F$57:$U$57,Onderhoud!$F$59:$U$91))</f>
        <v>28.05523585587764</v>
      </c>
      <c r="M64" s="207">
        <f t="shared" si="2"/>
        <v>646584.83333333326</v>
      </c>
      <c r="N64" s="207">
        <f>_xlfn.XLOOKUP(F64,Onderhoud!$D$4:$D$32,Onderhoud!$Y$4:$Y$32,0)*M64</f>
        <v>646584.83333333326</v>
      </c>
      <c r="O64">
        <f t="shared" si="3"/>
        <v>50000</v>
      </c>
      <c r="P64" t="str">
        <f t="shared" si="4"/>
        <v>st</v>
      </c>
      <c r="Q64">
        <f>_xlfn.XLOOKUP($F64,Onderhoud!$D$103:$D$129,Onderhoud!U$103:U$129,"")</f>
        <v>0</v>
      </c>
      <c r="R64">
        <f>_xlfn.XLOOKUP($F64,Onderhoud!$D$103:$D$129,Onderhoud!V$103:V$129,"")</f>
        <v>0</v>
      </c>
      <c r="S64" t="str">
        <f>_xlfn.XLOOKUP($F64,Onderhoud!$D$103:$D$129,Onderhoud!W$103:W$129,"")</f>
        <v>90% B</v>
      </c>
      <c r="V64">
        <f>_xlfn.XLOOKUP($F64,Onderhoud!$D$103:$D$133,Onderhoud!$I$103:$I$133)</f>
        <v>1</v>
      </c>
      <c r="W64" s="522">
        <f>_xlfn.XLOOKUP($F64,Onderhoud!$D$103:$D$133,Onderhoud!$J$103:$J$133)</f>
        <v>0.90572315554037763</v>
      </c>
      <c r="Z64">
        <f>_xlfn.XLOOKUP($F64,Onderhoud!$D$103:$D$133,Onderhoud!$M$103:$M$133)</f>
        <v>1</v>
      </c>
      <c r="AA64" s="522" cm="1">
        <f t="array" ref="AA64">_xlfn.XLOOKUP($F64,Onderhoud!$D$59:$D$91,_xlfn.XLOOKUP(TOTEX!$G64&amp;AA$2,Onderhoud!$F$57:$U$57,Onderhoud!$F$59:$U$91))/L64*_xlfn.XLOOKUP($F64,Onderhoud!$D$59:$D$91,Onderhoud!$AF$59:$AF$91)+Onderhoud!$N$135*J64</f>
        <v>0.54717987776062926</v>
      </c>
      <c r="AD64" s="553">
        <f>_xlfn.XLOOKUP($F64,Onderhoud!$D$103:$D$133,Onderhoud!$Q$103:$Q$133)</f>
        <v>1</v>
      </c>
      <c r="AE64" s="522" cm="1">
        <f t="array" ref="AE64">_xlfn.XLOOKUP($F64,Onderhoud!$D$59:$D$91,_xlfn.XLOOKUP(TOTEX!$G64&amp;AA$2,Onderhoud!$F$57:$U$57,Onderhoud!$F$59:$U$91))/L64*_xlfn.XLOOKUP($F64,Onderhoud!$D$59:$D$91,Onderhoud!$W$59:$W$91)+Onderhoud!$R$135*J64</f>
        <v>3.1217729708445487</v>
      </c>
      <c r="AF64">
        <f>_xlfn.XLOOKUP($F64,Onderhoud!$D$103:$D$133,Onderhoud!$S$103:$S$133)</f>
        <v>1</v>
      </c>
      <c r="AG64" s="522" cm="1">
        <f t="array" ref="AG64">_xlfn.XLOOKUP($F64,Onderhoud!$D$59:$D$91,_xlfn.XLOOKUP(TOTEX!$G64&amp;AA$2,Onderhoud!$F$57:$U$57,Onderhoud!$F$59:$U$91))/L64*IF($AG$1,1,_xlfn.XLOOKUP($F64,Onderhoud!$D$59:$D$91,Onderhoud!$AG$59:$AG$91))+Onderhoud!$T$135*J64</f>
        <v>20.633612875930563</v>
      </c>
      <c r="AH64">
        <f t="shared" si="5"/>
        <v>1</v>
      </c>
    </row>
    <row r="65" spans="1:35" x14ac:dyDescent="0.25">
      <c r="A65" t="s">
        <v>273</v>
      </c>
      <c r="B65" t="s">
        <v>274</v>
      </c>
      <c r="C65" t="s">
        <v>159</v>
      </c>
      <c r="D65" t="s">
        <v>163</v>
      </c>
      <c r="F65" t="str">
        <f t="shared" si="0"/>
        <v>bewegwijzering</v>
      </c>
      <c r="G65" t="s">
        <v>253</v>
      </c>
      <c r="H65" cm="1">
        <f t="array" ref="H65">_xlfn.XLOOKUP($F65,Onderhoud!$D$59:$D$91,_xlfn.XLOOKUP(TOTEX!$G65&amp;H$2,Onderhoud!$F$57:$U$57,Onderhoud!$F$59:$U$91))</f>
        <v>15000</v>
      </c>
      <c r="I65" t="s">
        <v>285</v>
      </c>
      <c r="J65" s="521" cm="1">
        <f t="array" ref="J65">_xlfn.XLOOKUP(F65,Onderhoud!$D$4:$D$32,_xlfn.XLOOKUP(TOTEX!G65&amp;J$2,Onderhoud!$F$2:$U$2,Onderhoud!$F$4:$U$32),0)</f>
        <v>558.98373333333336</v>
      </c>
      <c r="K65" s="523">
        <f t="shared" si="1"/>
        <v>8384756</v>
      </c>
      <c r="L65" s="554" cm="1">
        <f t="array" ref="L65">_xlfn.XLOOKUP($F65,Onderhoud!$D$59:$D$91,_xlfn.XLOOKUP(TOTEX!$G65&amp;L$2,Onderhoud!$F$57:$U$57,Onderhoud!$F$59:$U$91))</f>
        <v>25.431100790767985</v>
      </c>
      <c r="M65" s="207">
        <f t="shared" si="2"/>
        <v>329704.8</v>
      </c>
      <c r="N65" s="207">
        <f>_xlfn.XLOOKUP(F65,Onderhoud!$D$4:$D$32,Onderhoud!$Y$4:$Y$32,0)*M65</f>
        <v>329704.8</v>
      </c>
      <c r="O65">
        <f t="shared" si="3"/>
        <v>15000</v>
      </c>
      <c r="P65" t="str">
        <f t="shared" si="4"/>
        <v>st</v>
      </c>
      <c r="Q65">
        <f>_xlfn.XLOOKUP($F65,Onderhoud!$D$103:$D$129,Onderhoud!U$103:U$129,"")</f>
        <v>0</v>
      </c>
      <c r="R65">
        <f>_xlfn.XLOOKUP($F65,Onderhoud!$D$103:$D$129,Onderhoud!V$103:V$129,"")</f>
        <v>0</v>
      </c>
      <c r="S65" t="str">
        <f>_xlfn.XLOOKUP($F65,Onderhoud!$D$103:$D$129,Onderhoud!W$103:W$129,"")</f>
        <v>90% B</v>
      </c>
      <c r="V65">
        <f>_xlfn.XLOOKUP($F65,Onderhoud!$D$103:$D$133,Onderhoud!$I$103:$I$133)</f>
        <v>1</v>
      </c>
      <c r="W65" s="522">
        <f>_xlfn.XLOOKUP($F65,Onderhoud!$D$103:$D$133,Onderhoud!$J$103:$J$133)</f>
        <v>1.3954851129470902</v>
      </c>
      <c r="Z65">
        <f>_xlfn.XLOOKUP($F65,Onderhoud!$D$103:$D$133,Onderhoud!$M$103:$M$133)</f>
        <v>1</v>
      </c>
      <c r="AA65" s="522" t="e" cm="1">
        <f t="array" ref="AA65">_xlfn.XLOOKUP($F65,Onderhoud!$D$59:$D$91,_xlfn.XLOOKUP(TOTEX!$G65&amp;AA$2,Onderhoud!$F$57:$U$57,Onderhoud!$F$59:$U$91))/L65*_xlfn.XLOOKUP($F65,Onderhoud!$D$59:$D$91,Onderhoud!$AF$59:$AF$91)+Onderhoud!$N$135*J65</f>
        <v>#DIV/0!</v>
      </c>
      <c r="AD65" s="553">
        <f>_xlfn.XLOOKUP($F65,Onderhoud!$D$103:$D$133,Onderhoud!$Q$103:$Q$133)</f>
        <v>1</v>
      </c>
      <c r="AE65" s="522" cm="1">
        <f t="array" ref="AE65">_xlfn.XLOOKUP($F65,Onderhoud!$D$59:$D$91,_xlfn.XLOOKUP(TOTEX!$G65&amp;AA$2,Onderhoud!$F$57:$U$57,Onderhoud!$F$59:$U$91))/L65*_xlfn.XLOOKUP($F65,Onderhoud!$D$59:$D$91,Onderhoud!$W$59:$W$91)+Onderhoud!$R$135*J65</f>
        <v>0.35864294019979293</v>
      </c>
      <c r="AF65">
        <f>_xlfn.XLOOKUP($F65,Onderhoud!$D$103:$D$133,Onderhoud!$S$103:$S$133)</f>
        <v>1</v>
      </c>
      <c r="AG65" s="522" cm="1">
        <f t="array" ref="AG65">_xlfn.XLOOKUP($F65,Onderhoud!$D$59:$D$91,_xlfn.XLOOKUP(TOTEX!$G65&amp;AA$2,Onderhoud!$F$57:$U$57,Onderhoud!$F$59:$U$91))/L65*IF($AG$1,1,_xlfn.XLOOKUP($F65,Onderhoud!$D$59:$D$91,Onderhoud!$AG$59:$AG$91))+Onderhoud!$T$135*J65</f>
        <v>2.1163821500951858</v>
      </c>
      <c r="AH65">
        <f t="shared" si="5"/>
        <v>1</v>
      </c>
    </row>
    <row r="68" spans="1:35" x14ac:dyDescent="0.25">
      <c r="L68" t="s">
        <v>287</v>
      </c>
      <c r="M68" s="207">
        <f>SUM(M4:M65)</f>
        <v>53652183.659734152</v>
      </c>
      <c r="N68" s="207">
        <f>SUM(N4:N65)</f>
        <v>45383119.012385331</v>
      </c>
      <c r="O68" s="541">
        <f>M68/SUM(K4:K65)</f>
        <v>2.540610208838728E-2</v>
      </c>
      <c r="P68" t="s">
        <v>288</v>
      </c>
      <c r="W68" s="522">
        <f>SUMPRODUCT(W4:W65,V4:V65,$O$4:$O$65,AD$4:AD$65)</f>
        <v>5272000.0000000009</v>
      </c>
      <c r="X68" t="s">
        <v>289</v>
      </c>
      <c r="Y68" s="207">
        <f>SUMPRODUCT(W4:W65,V4:V65,$O$4:$O$65,AH$4:AH$65)</f>
        <v>5272000.0000000009</v>
      </c>
      <c r="AA68" s="522" t="e">
        <f>SUMPRODUCT(AA4:AA65,Z4:Z65,$O$4:$O$65,AH$4:AH$65)</f>
        <v>#DIV/0!</v>
      </c>
      <c r="AE68" s="522">
        <f>SUMPRODUCT(AE4:AE65,AD4:AD65,$O$4:$O$65,$AH$4:$AH$65)</f>
        <v>6021617.7914004708</v>
      </c>
      <c r="AG68" s="522">
        <f>SUMPRODUCT(AG4:AG65,AF4:AF65,$O$4:$O$65,$AH$4:$AH$65)</f>
        <v>41250610.108021632</v>
      </c>
      <c r="AI68" s="522" t="e">
        <f>SUM(Y68:AG68)</f>
        <v>#DIV/0!</v>
      </c>
    </row>
    <row r="69" spans="1:35" x14ac:dyDescent="0.25">
      <c r="L69" t="s">
        <v>290</v>
      </c>
      <c r="M69" s="522" t="e">
        <f>AI68</f>
        <v>#DIV/0!</v>
      </c>
      <c r="O69" s="541" t="e">
        <f>M69/SUM(K4:K65)</f>
        <v>#DIV/0!</v>
      </c>
      <c r="P69" t="s">
        <v>288</v>
      </c>
      <c r="X69" t="s">
        <v>291</v>
      </c>
      <c r="Y69" s="567">
        <f>Onderhoud!I136</f>
        <v>5272000</v>
      </c>
      <c r="AA69" s="522">
        <f>Onderhoud!N134</f>
        <v>724472.41666514566</v>
      </c>
      <c r="AE69" s="522">
        <f>Onderhoud!R134</f>
        <v>4666701.452135304</v>
      </c>
      <c r="AG69" s="522">
        <f>Onderhoud!T134</f>
        <v>33255134.848713115</v>
      </c>
    </row>
    <row r="70" spans="1:35" x14ac:dyDescent="0.25">
      <c r="E70" t="s">
        <v>292</v>
      </c>
      <c r="X70" t="s">
        <v>293</v>
      </c>
      <c r="AA70" s="522">
        <f>Bron!G13</f>
        <v>824472.42</v>
      </c>
      <c r="AB70" s="522"/>
      <c r="AC70" s="522"/>
      <c r="AD70" s="522"/>
      <c r="AE70" s="522">
        <f>Bron!G31</f>
        <v>6028817.3392651668</v>
      </c>
      <c r="AF70" s="522"/>
      <c r="AG70" s="522">
        <f>Bron!G40</f>
        <v>41322610.259308524</v>
      </c>
    </row>
  </sheetData>
  <phoneticPr fontId="50" type="noConversion"/>
  <dataValidations count="2">
    <dataValidation type="list" allowBlank="1" showInputMessage="1" showErrorMessage="1" sqref="AH2" xr:uid="{6D6C1EA4-7001-40FD-93A8-5ADC34302A2E}">
      <formula1>$AH$1:$AM$1</formula1>
    </dataValidation>
    <dataValidation type="list" allowBlank="1" showInputMessage="1" showErrorMessage="1" sqref="AG1" xr:uid="{97ADF515-8F97-4BDF-8D9C-8A0898C7E476}">
      <formula1>"waar,onwaar"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3434A74AD3A409584F0E6F1EF49FB" ma:contentTypeVersion="6" ma:contentTypeDescription="Een nieuw document maken." ma:contentTypeScope="" ma:versionID="7efed7b2d207cff1990d775dbd738ab9">
  <xsd:schema xmlns:xsd="http://www.w3.org/2001/XMLSchema" xmlns:xs="http://www.w3.org/2001/XMLSchema" xmlns:p="http://schemas.microsoft.com/office/2006/metadata/properties" xmlns:ns2="21e4617a-4137-4c14-9d85-813e422fba97" xmlns:ns3="8b50a67f-6003-4a12-969b-982fbe9254aa" targetNamespace="http://schemas.microsoft.com/office/2006/metadata/properties" ma:root="true" ma:fieldsID="589ca2c99c585a0241d70e04f05e4d43" ns2:_="" ns3:_="">
    <xsd:import namespace="21e4617a-4137-4c14-9d85-813e422fba97"/>
    <xsd:import namespace="8b50a67f-6003-4a12-969b-982fbe925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4617a-4137-4c14-9d85-813e422f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0a67f-6003-4a12-969b-982fbe925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964D00-F0E4-4817-A288-76DE157F87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68DBE1-2DB5-4950-9EA1-425E2FC3C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4617a-4137-4c14-9d85-813e422fba97"/>
    <ds:schemaRef ds:uri="8b50a67f-6003-4a12-969b-982fbe925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B33E33-7A2D-4EEC-B968-CC20139E1F5C}">
  <ds:schemaRefs>
    <ds:schemaRef ds:uri="http://purl.org/dc/terms/"/>
    <ds:schemaRef ds:uri="8b50a67f-6003-4a12-969b-982fbe9254aa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21e4617a-4137-4c14-9d85-813e422fba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Bron</vt:lpstr>
      <vt:lpstr>Onderhoud</vt:lpstr>
      <vt:lpstr>Verdeelsleutel</vt:lpstr>
      <vt:lpstr>Vervanging</vt:lpstr>
      <vt:lpstr>TOTEX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Wim van der Meer</dc:creator>
  <cp:keywords/>
  <dc:description/>
  <cp:lastModifiedBy>Scholtus D.J. (Dick)</cp:lastModifiedBy>
  <cp:revision/>
  <dcterms:created xsi:type="dcterms:W3CDTF">2015-03-08T19:09:54Z</dcterms:created>
  <dcterms:modified xsi:type="dcterms:W3CDTF">2025-01-14T15:11:42Z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0x0101009223434A74AD3A409584F0E6F1EF49FB</vt:lpwstr>
  </property>
  <property fmtid="{D5CDD505-2E9C-101B-9397-08002B2CF9AE}" pid="3" name="MSIP_Label_9033636f-625c-43f4-a4e7-7e9c7771eb64_Enabled">
    <vt:lpwstr>true</vt:lpwstr>
  </property>
  <property fmtid="{D5CDD505-2E9C-101B-9397-08002B2CF9AE}" pid="4" name="MSIP_Label_9033636f-625c-43f4-a4e7-7e9c7771eb64_SetDate">
    <vt:lpwstr>2021-11-24T15:11:57Z</vt:lpwstr>
  </property>
  <property fmtid="{D5CDD505-2E9C-101B-9397-08002B2CF9AE}" pid="5" name="MSIP_Label_9033636f-625c-43f4-a4e7-7e9c7771eb64_Method">
    <vt:lpwstr>Privileged</vt:lpwstr>
  </property>
  <property fmtid="{D5CDD505-2E9C-101B-9397-08002B2CF9AE}" pid="6" name="MSIP_Label_9033636f-625c-43f4-a4e7-7e9c7771eb64_Name">
    <vt:lpwstr>Openbaar</vt:lpwstr>
  </property>
  <property fmtid="{D5CDD505-2E9C-101B-9397-08002B2CF9AE}" pid="7" name="MSIP_Label_9033636f-625c-43f4-a4e7-7e9c7771eb64_SiteId">
    <vt:lpwstr>49c4cd82-8f65-4d6a-9a3b-0ecd07c0cf5b</vt:lpwstr>
  </property>
  <property fmtid="{D5CDD505-2E9C-101B-9397-08002B2CF9AE}" pid="8" name="MSIP_Label_9033636f-625c-43f4-a4e7-7e9c7771eb64_ActionId">
    <vt:lpwstr>f785d0b2-9b72-4db8-a9a5-b1ceaf3cffa2</vt:lpwstr>
  </property>
  <property fmtid="{D5CDD505-2E9C-101B-9397-08002B2CF9AE}" pid="9" name="MSIP_Label_9033636f-625c-43f4-a4e7-7e9c7771eb64_ContentBits">
    <vt:lpwstr>0</vt:lpwstr>
  </property>
</Properties>
</file>