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v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<sst xmlns="http://schemas.openxmlformats.org/spreadsheetml/2006/main" count="450" uniqueCount="124">
  <si>
    <t xml:space="preserve">uuid</t>
  </si>
  <si>
    <t xml:space="preserve">Ident-Nummer</t>
  </si>
  <si>
    <t xml:space="preserve">K_vs Wert</t>
  </si>
  <si>
    <t xml:space="preserve">K_vs Wert Einheit</t>
  </si>
  <si>
    <t xml:space="preserve">Nenndurchmesser</t>
  </si>
  <si>
    <t xml:space="preserve">Nenndurchmesser Einheit</t>
  </si>
  <si>
    <t xml:space="preserve">K_vs Wert Comment</t>
  </si>
  <si>
    <t xml:space="preserve">Actuator Input Range from</t>
  </si>
  <si>
    <t xml:space="preserve">Actuator Input Range to</t>
  </si>
  <si>
    <t xml:space="preserve">Actuator Input Range unit</t>
  </si>
  <si>
    <t xml:space="preserve">Actuator Actuation Range from</t>
  </si>
  <si>
    <t xml:space="preserve">Actuator Actuation Range to</t>
  </si>
  <si>
    <t xml:space="preserve">Actuator Actuation Range unit</t>
  </si>
  <si>
    <t xml:space="preserve">Actuator Kennlinie _ Sensitivity</t>
  </si>
  <si>
    <t xml:space="preserve">Actuator Kennlinie _ Bias</t>
  </si>
  <si>
    <t xml:space="preserve">Sensor Messbereich von</t>
  </si>
  <si>
    <t xml:space="preserve">Sensor Messbereich bis</t>
  </si>
  <si>
    <t xml:space="preserve">Sensor Messbereich Unit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</si>
  <si>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</si>
  <si>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</si>
  <si>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</si>
  <si>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Unit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</si>
  <si>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</si>
  <si>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</si>
  <si>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</si>
  <si>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</si>
  <si>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Signalwandlung Eingabebereich von</t>
  </si>
  <si>
    <t xml:space="preserve">Signalwandlung Eingabebereich bis</t>
  </si>
  <si>
    <t xml:space="preserve">Signalwandlung Eingabebereich unit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</si>
  <si>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</si>
  <si>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</si>
  <si>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</si>
  <si>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</si>
  <si>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</si>
  <si>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</si>
  <si>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</si>
  <si>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</si>
  <si>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</si>
  <si>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</si>
  <si>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</si>
  <si>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</si>
  <si>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</si>
  <si>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</si>
  <si>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</si>
  <si>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</si>
  <si>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</si>
  <si>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</si>
  <si>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</si>
  <si>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</si>
  <si>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</si>
  <si>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</si>
  <si>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Totzone</t>
  </si>
  <si>
    <t xml:space="preserve">Totzone Einheit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</si>
  <si>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</si>
  <si>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</si>
  <si>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</si>
  <si>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</si>
  <si>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</si>
  <si>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</si>
  <si>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</si>
  <si>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</si>
  <si>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</si>
  <si>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</si>
  <si>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</si>
  <si>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</si>
  <si>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</si>
  <si>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</si>
  <si>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</si>
  <si>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</si>
  <si>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0193081d-09ef-74a6-9e22-01e25e6c52b4</t>
  </si>
  <si>
    <t xml:space="preserve">m^3/s</t>
  </si>
  <si>
    <t xml:space="preserve">m</t>
  </si>
  <si>
    <t xml:space="preserve">nominal volume flow Q = k_vs * sqrt( (Δp/1bar) * (1000 kg/m^3 / ⍴)) , K_vs is the value for the fully opened valve, K_v can be calculated for other  degress of opening with the data sheet,  ⍴ is the densitiy of the fluid, Δp the pressure difference</t>
  </si>
  <si>
    <t xml:space="preserve">V</t>
  </si>
  <si>
    <t xml:space="preserve">%</t>
  </si>
  <si>
    <t xml:space="preserve">NONE</t>
  </si>
  <si>
    <t xml:space="preserve">UNKNOWN</t>
  </si>
  <si>
    <r>
      <rPr>
        <b val="true"/>
        <sz val="10.5"/>
        <color rgb="FF333333"/>
        <rFont val="Arial"/>
        <family val="2"/>
        <charset val="1"/>
      </rPr>
      <t xml:space="preserve">Angabe Kundenservice: Umkehrspiel:</t>
    </r>
    <r>
      <rPr>
        <sz val="10.5"/>
        <color rgb="FF333333"/>
        <rFont val="Arial"/>
        <family val="2"/>
        <charset val="1"/>
      </rPr>
      <t xml:space="preserve"> mechanisches Spiel im Antrieb, was nicht durch den Positionssensor erkannt wird. (1-2% der tatsächlichen Ventilposition/ abhängig vom Gerätezustand(Lebendauer) → führt zu Hysterese-verhalten</t>
    </r>
  </si>
  <si>
    <t xml:space="preserve">absolute</t>
  </si>
  <si>
    <t xml:space="preserve">Bürkert</t>
  </si>
  <si>
    <t xml:space="preserve">1010 W3YAM</t>
  </si>
  <si>
    <t xml:space="preserve">Pa</t>
  </si>
  <si>
    <t xml:space="preserve">Logan</t>
  </si>
  <si>
    <t xml:space="preserve">Resilienzdemonstrator</t>
  </si>
  <si>
    <t xml:space="preserve">..\3_Konzipieren und Konstruieren\Datenblaetter\info_221021_Datenblatt_Ventil_Buerkert_Typ_3285.pdf</t>
  </si>
  <si>
    <t xml:space="preserve">Montageort: Leckageventil</t>
  </si>
  <si>
    <t xml:space="preserve">0193081d-09f0-728c-8e5b-03edcb230589</t>
  </si>
  <si>
    <t xml:space="preserve">1014 W3YAG</t>
  </si>
  <si>
    <t xml:space="preserve">Montageort: Druckausgleichsventil</t>
  </si>
  <si>
    <t xml:space="preserve">0193081d-09f1-789f-985b-324c8755183b</t>
  </si>
  <si>
    <t xml:space="preserve">1035 W3YAG</t>
  </si>
  <si>
    <t xml:space="preserve">Montageort: Verbraucherventil 1</t>
  </si>
  <si>
    <t xml:space="preserve">0193081d-09f2-7ea1-bc1a-e2a638345ce4</t>
  </si>
  <si>
    <t xml:space="preserve">1032 W3YAM</t>
  </si>
  <si>
    <t xml:space="preserve">Montageort: Verbraucherventil 2</t>
  </si>
  <si>
    <t xml:space="preserve">0193081d-09f3-7308-a1c2-c5066a94217a</t>
  </si>
  <si>
    <t xml:space="preserve">1041 W39AN</t>
  </si>
  <si>
    <t xml:space="preserve">Montageort: Regelventil 2</t>
  </si>
  <si>
    <t xml:space="preserve">0193081d-09f4-797f-b63c-27f480311860</t>
  </si>
  <si>
    <t xml:space="preserve">Widerstand</t>
  </si>
  <si>
    <t xml:space="preserve">Ohm</t>
  </si>
  <si>
    <t xml:space="preserve">A</t>
  </si>
  <si>
    <t xml:space="preserve">Estimation based on 1% linearity, 0.3% hysteresis</t>
  </si>
  <si>
    <t xml:space="preserve">Samson</t>
  </si>
  <si>
    <t xml:space="preserve">3241-7</t>
  </si>
  <si>
    <t xml:space="preserve">6010F302</t>
  </si>
  <si>
    <t xml:space="preserve">..\3_Konzipieren und Konstruieren\Datenblaetter\info_241024_Datenblatt_Ventil_Samson_3241-7_DN15.pdf</t>
  </si>
  <si>
    <t xml:space="preserve">pneumatischer Antrieb 3277; elektropneumatischer Stellungsregler 3730-3</t>
  </si>
  <si>
    <t xml:space="preserve">Montageort: Regelventil 1</t>
  </si>
  <si>
    <t xml:space="preserve">0193081d-09f5-79fa-944e-eceb6f0dbbb9</t>
  </si>
  <si>
    <t xml:space="preserve">Position accuracy : ± 3%</t>
  </si>
  <si>
    <t xml:space="preserve">Comparato</t>
  </si>
  <si>
    <t xml:space="preserve">Sintesi Smart Motorised Ball Valve 1/2" SM4010T030/18</t>
  </si>
  <si>
    <t xml:space="preserve">..\3_Konzipieren und Konstruieren\Datenblaetter\info_181112_Datenblatt_Ventil_Sintesi_Smart.pdf</t>
  </si>
  <si>
    <t xml:space="preserve">Montageort: Kugelhahnventil 1</t>
  </si>
  <si>
    <t xml:space="preserve">0193081d-09f6-7704-beb1-1eb3fc3aa288</t>
  </si>
  <si>
    <t xml:space="preserve">Montageort: Kugelhahnventil 2</t>
  </si>
  <si>
    <t xml:space="preserve">018bb4b1-db51-77be-9ece-68f3222e0afa</t>
  </si>
  <si>
    <t xml:space="preserve">nominal volume flow Q = k_vs * sqrt( (Δp/35bar) * (1000 kg/m^3 / ⍴)) , K_vs is the value for the fully opened valve, K_v can be calculated for other  degress of opening with the data sheet,  ⍴ is the densitiy of the fluid, Δp the pressure difference</t>
  </si>
  <si>
    <t xml:space="preserve">Rexroth - Bosch Group</t>
  </si>
  <si>
    <t xml:space="preserve">4WRPEH 6 C3B12L -10/G24 K0/A1M</t>
  </si>
  <si>
    <t xml:space="preserve">R927000555</t>
  </si>
  <si>
    <t xml:space="preserve">Rexer</t>
  </si>
  <si>
    <t xml:space="preserve">Hydropulser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</si>
</sst>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33333"/>
      <name val="Arial"/>
      <family val="2"/>
      <charset val="1"/>
    </font>
    <font>
      <sz val="10.5"/>
      <color rgb="FF333333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2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3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4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5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6" Type="http://schemas.openxmlformats.org/officeDocument/2006/relationships/hyperlink" Target="../../linuxlite/AppData/Roaming/Microsoft/3_Konzipieren%20und%20Konstruieren/Datenblaetter/info_241024_Datenblatt_Ventil_Samson_3241-7_DN15.pdf" TargetMode="External"/><Relationship Id="rId7" Type="http://schemas.openxmlformats.org/officeDocument/2006/relationships/hyperlink" Target="../../linuxlite/AppData/Roaming/Microsoft/3_Konzipieren%20und%20Konstruieren/Datenblaetter/info_181112_Datenblatt_Ventil_Sintesi_Smart.pdf" TargetMode="External"/><Relationship Id="rId8" Type="http://schemas.openxmlformats.org/officeDocument/2006/relationships/hyperlink" Target="../../linuxlite/AppData/Roaming/Microsoft/3_Konzipieren%20und%20Konstruieren/Datenblaetter/info_181112_Datenblatt_Ventil_Sintesi_Sma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1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B3" activeCellId="0" sqref="AB3"/>
    </sheetView>
  </sheetViews>
  <sheetFormatPr defaultColWidth="8.76953125" defaultRowHeight="13.8" zeroHeight="false" outlineLevelRow="0" outlineLevelCol="0"/>
  <cols>
    <col collapsed="false" customWidth="true" hidden="false" outlineLevel="0" max="1" min="1" style="0" width="38.67"/>
    <col collapsed="false" customWidth="true" hidden="false" outlineLevel="0" max="6" min="2" style="0" width="17.4"/>
    <col collapsed="false" customWidth="true" hidden="false" outlineLevel="0" max="7" min="7" style="0" width="68.21"/>
    <col collapsed="false" customWidth="true" hidden="false" outlineLevel="0" max="10" min="8" style="0" width="17.4"/>
    <col collapsed="false" customWidth="true" hidden="false" outlineLevel="0" max="11" min="11" style="0" width="17"/>
    <col collapsed="false" customWidth="true" hidden="false" outlineLevel="0" max="12" min="12" style="0" width="17.59"/>
    <col collapsed="false" customWidth="true" hidden="false" outlineLevel="0" max="13" min="13" style="0" width="18.71"/>
    <col collapsed="false" customWidth="true" hidden="false" outlineLevel="0" max="14" min="14" style="0" width="28.06"/>
    <col collapsed="false" customWidth="true" hidden="false" outlineLevel="0" max="15" min="15" style="0" width="33.48"/>
    <col collapsed="false" customWidth="true" hidden="false" outlineLevel="0" max="16" min="16" style="0" width="16.29"/>
    <col collapsed="false" customWidth="true" hidden="false" outlineLevel="0" max="17" min="17" style="0" width="18"/>
    <col collapsed="false" customWidth="true" hidden="false" outlineLevel="0" max="18" min="18" style="0" width="18.42"/>
    <col collapsed="false" customWidth="true" hidden="false" outlineLevel="0" max="19" min="19" style="0" width="16.29"/>
    <col collapsed="false" customWidth="true" hidden="false" outlineLevel="0" max="27" min="20" style="0" width="18"/>
    <col collapsed="false" customWidth="true" hidden="false" outlineLevel="0" max="28" min="28" style="0" width="29.14"/>
    <col collapsed="false" customWidth="true" hidden="false" outlineLevel="0" max="29" min="29" style="0" width="26.29"/>
    <col collapsed="false" customWidth="true" hidden="false" outlineLevel="0" max="30" min="30" style="0" width="27.12"/>
    <col collapsed="false" customWidth="true" hidden="false" outlineLevel="0" max="31" min="31" style="0" width="27.42"/>
    <col collapsed="false" customWidth="true" hidden="false" outlineLevel="0" max="32" min="32" style="0" width="25.71"/>
    <col collapsed="false" customWidth="true" hidden="false" outlineLevel="0" max="33" min="33" style="0" width="24.57"/>
    <col collapsed="false" customWidth="true" hidden="false" outlineLevel="0" max="34" min="34" style="0" width="27"/>
    <col collapsed="false" customWidth="true" hidden="false" outlineLevel="0" max="35" min="35" style="0" width="19"/>
    <col collapsed="false" customWidth="true" hidden="false" outlineLevel="0" max="36" min="36" style="0" width="84.71"/>
    <col collapsed="false" customWidth="true" hidden="false" outlineLevel="0" max="37" min="37" style="0" width="21.71"/>
    <col collapsed="false" customWidth="true" hidden="false" outlineLevel="0" max="38" min="38" style="0" width="22.01"/>
    <col collapsed="false" customWidth="true" hidden="false" outlineLevel="0" max="39" min="39" style="0" width="24.29"/>
    <col collapsed="false" customWidth="true" hidden="false" outlineLevel="0" max="40" min="40" style="0" width="25.29"/>
    <col collapsed="false" customWidth="true" hidden="false" outlineLevel="0" max="41" min="41" style="0" width="23.01"/>
    <col collapsed="false" customWidth="true" hidden="false" outlineLevel="0" max="42" min="42" style="0" width="20.3"/>
    <col collapsed="false" customWidth="true" hidden="false" outlineLevel="0" max="43" min="43" style="0" width="19.42"/>
    <col collapsed="false" customWidth="true" hidden="false" outlineLevel="0" max="44" min="44" style="0" width="22.57"/>
    <col collapsed="false" customWidth="true" hidden="false" outlineLevel="0" max="47" min="45" style="0" width="22.28"/>
    <col collapsed="false" customWidth="true" hidden="false" outlineLevel="0" max="48" min="48" style="0" width="14.15"/>
    <col collapsed="false" customWidth="true" hidden="false" outlineLevel="0" max="49" min="49" style="0" width="20.33"/>
    <col collapsed="false" customWidth="true" hidden="false" outlineLevel="0" max="50" min="50" style="0" width="14.57"/>
    <col collapsed="false" customWidth="true" hidden="false" outlineLevel="0" max="51" min="51" style="0" width="63.9"/>
    <col collapsed="false" customWidth="true" hidden="false" outlineLevel="0" max="52" min="52" style="0" width="17.29"/>
    <col collapsed="false" customWidth="true" hidden="false" outlineLevel="0" max="55" min="53" style="0" width="13.86"/>
    <col collapsed="false" customWidth="true" hidden="false" outlineLevel="0" max="56" min="56" style="0" width="16.57"/>
    <col collapsed="false" customWidth="true" hidden="false" outlineLevel="0" max="57" min="57" style="0" width="21.71"/>
    <col collapsed="false" customWidth="true" hidden="false" outlineLevel="0" max="58" min="58" style="0" width="16.29"/>
    <col collapsed="false" customWidth="true" hidden="false" outlineLevel="0" max="62" min="62" style="0" width="25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2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2"/>
      <c r="H2" s="3"/>
      <c r="I2" s="3"/>
      <c r="J2" s="3"/>
      <c r="K2" s="1"/>
      <c r="L2" s="1"/>
      <c r="M2" s="1"/>
      <c r="N2" s="3"/>
      <c r="O2" s="3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  <c r="BC2" s="1"/>
      <c r="BD2" s="2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14.9" hidden="false" customHeight="false" outlineLevel="0" collapsed="false">
      <c r="A3" s="0" t="s">
        <v>69</v>
      </c>
      <c r="C3" s="0" t="n">
        <f aca="false">2.5/3600</f>
        <v>0.000694444444444444</v>
      </c>
      <c r="D3" s="0" t="s">
        <v>70</v>
      </c>
      <c r="E3" s="0" t="n">
        <v>0.01</v>
      </c>
      <c r="F3" s="0" t="s">
        <v>71</v>
      </c>
      <c r="G3" s="4" t="s">
        <v>72</v>
      </c>
      <c r="H3" s="0" t="n">
        <v>0.3</v>
      </c>
      <c r="I3" s="0" t="n">
        <v>10</v>
      </c>
      <c r="J3" s="0" t="s">
        <v>73</v>
      </c>
      <c r="K3" s="0" t="n">
        <v>0</v>
      </c>
      <c r="L3" s="0" t="n">
        <v>100</v>
      </c>
      <c r="M3" s="0" t="s">
        <v>74</v>
      </c>
      <c r="N3" s="0" t="n">
        <f aca="false">(I3-H3)/(L3-K3)</f>
        <v>0.097</v>
      </c>
      <c r="O3" s="0" t="n">
        <f aca="false">I3-(N3*L3)</f>
        <v>0.300000000000001</v>
      </c>
      <c r="P3" s="0" t="n">
        <v>0</v>
      </c>
      <c r="Q3" s="0" t="n">
        <v>100</v>
      </c>
      <c r="R3" s="0" t="s">
        <v>74</v>
      </c>
      <c r="T3" s="0" t="n">
        <v>0.3</v>
      </c>
      <c r="U3" s="0" t="n">
        <v>10</v>
      </c>
      <c r="V3" s="0" t="s">
        <v>73</v>
      </c>
      <c r="W3" s="0" t="s">
        <v>75</v>
      </c>
      <c r="X3" s="0" t="s">
        <v>75</v>
      </c>
      <c r="Y3" s="0" t="s">
        <v>75</v>
      </c>
      <c r="Z3" s="0" t="s">
        <v>75</v>
      </c>
      <c r="AA3" s="0" t="s">
        <v>75</v>
      </c>
      <c r="AB3" s="0" t="s">
        <v>75</v>
      </c>
      <c r="AC3" s="0" t="s">
        <v>75</v>
      </c>
      <c r="AD3" s="0" t="n">
        <f aca="false">(Q3-P3)/(U3-T3)</f>
        <v>10.3092783505155</v>
      </c>
      <c r="AE3" s="0" t="n">
        <f aca="false">Q3-(AD3*U3)</f>
        <v>-3.09278350515464</v>
      </c>
      <c r="AF3" s="0" t="s">
        <v>76</v>
      </c>
      <c r="AG3" s="0" t="s">
        <v>76</v>
      </c>
      <c r="AH3" s="0" t="s">
        <v>76</v>
      </c>
      <c r="AI3" s="0" t="s">
        <v>76</v>
      </c>
      <c r="AJ3" s="0" t="n">
        <v>2</v>
      </c>
      <c r="AK3" s="0" t="s">
        <v>74</v>
      </c>
      <c r="AL3" s="5" t="s">
        <v>77</v>
      </c>
      <c r="AM3" s="0" t="s">
        <v>78</v>
      </c>
      <c r="AN3" s="0" t="s">
        <v>76</v>
      </c>
      <c r="AO3" s="0" t="s">
        <v>76</v>
      </c>
      <c r="AP3" s="0" t="s">
        <v>76</v>
      </c>
      <c r="AQ3" s="0" t="s">
        <v>76</v>
      </c>
      <c r="AR3" s="0" t="s">
        <v>76</v>
      </c>
      <c r="AS3" s="0" t="s">
        <v>76</v>
      </c>
      <c r="AT3" s="0" t="s">
        <v>76</v>
      </c>
      <c r="AU3" s="0" t="s">
        <v>76</v>
      </c>
      <c r="AV3" s="0" t="s">
        <v>76</v>
      </c>
      <c r="AW3" s="0" t="s">
        <v>76</v>
      </c>
      <c r="AX3" s="0" t="s">
        <v>76</v>
      </c>
      <c r="AY3" s="0" t="s">
        <v>76</v>
      </c>
      <c r="AZ3" s="0" t="n">
        <f aca="false">0.005*(I3-H3)</f>
        <v>0.0485</v>
      </c>
      <c r="BA3" s="0" t="s">
        <v>73</v>
      </c>
      <c r="BC3" s="0" t="s">
        <v>79</v>
      </c>
      <c r="BE3" s="0" t="str">
        <f aca="false">"3285"</f>
        <v>3285</v>
      </c>
      <c r="BF3" s="0" t="s">
        <v>80</v>
      </c>
      <c r="BH3" s="0" t="n">
        <f aca="false">6*100000</f>
        <v>600000</v>
      </c>
      <c r="BI3" s="0" t="s">
        <v>81</v>
      </c>
      <c r="BJ3" s="0" t="s">
        <v>82</v>
      </c>
      <c r="BK3" s="0" t="s">
        <v>83</v>
      </c>
      <c r="BL3" s="6" t="s">
        <v>84</v>
      </c>
      <c r="BP3" s="0" t="s">
        <v>85</v>
      </c>
    </row>
    <row r="4" customFormat="false" ht="14.9" hidden="false" customHeight="false" outlineLevel="0" collapsed="false">
      <c r="A4" s="0" t="s">
        <v>86</v>
      </c>
      <c r="C4" s="0" t="n">
        <f aca="false">2.5/3600</f>
        <v>0.000694444444444444</v>
      </c>
      <c r="D4" s="0" t="s">
        <v>70</v>
      </c>
      <c r="E4" s="0" t="n">
        <v>0.01</v>
      </c>
      <c r="F4" s="0" t="s">
        <v>71</v>
      </c>
      <c r="G4" s="4" t="s">
        <v>72</v>
      </c>
      <c r="H4" s="0" t="n">
        <v>0.3</v>
      </c>
      <c r="I4" s="0" t="n">
        <v>10</v>
      </c>
      <c r="J4" s="0" t="s">
        <v>73</v>
      </c>
      <c r="K4" s="0" t="n">
        <v>0</v>
      </c>
      <c r="L4" s="0" t="n">
        <v>100</v>
      </c>
      <c r="M4" s="0" t="s">
        <v>74</v>
      </c>
      <c r="N4" s="0" t="n">
        <f aca="false">(I4-H4)/(L4-K4)</f>
        <v>0.097</v>
      </c>
      <c r="O4" s="0" t="n">
        <f aca="false">I4-(N4*L4)</f>
        <v>0.300000000000001</v>
      </c>
      <c r="P4" s="0" t="n">
        <v>0</v>
      </c>
      <c r="Q4" s="0" t="n">
        <v>100</v>
      </c>
      <c r="R4" s="0" t="s">
        <v>74</v>
      </c>
      <c r="T4" s="0" t="n">
        <v>0.3</v>
      </c>
      <c r="U4" s="0" t="n">
        <v>10</v>
      </c>
      <c r="V4" s="0" t="s">
        <v>73</v>
      </c>
      <c r="W4" s="0" t="s">
        <v>75</v>
      </c>
      <c r="X4" s="0" t="s">
        <v>75</v>
      </c>
      <c r="Y4" s="0" t="s">
        <v>75</v>
      </c>
      <c r="Z4" s="0" t="s">
        <v>75</v>
      </c>
      <c r="AA4" s="0" t="s">
        <v>75</v>
      </c>
      <c r="AB4" s="0" t="s">
        <v>75</v>
      </c>
      <c r="AC4" s="0" t="s">
        <v>75</v>
      </c>
      <c r="AD4" s="0" t="n">
        <f aca="false">(Q4-P4)/(U4-T4)</f>
        <v>10.3092783505155</v>
      </c>
      <c r="AE4" s="0" t="n">
        <f aca="false">Q4-(AD4*U4)</f>
        <v>-3.09278350515464</v>
      </c>
      <c r="AF4" s="0" t="s">
        <v>76</v>
      </c>
      <c r="AG4" s="0" t="s">
        <v>76</v>
      </c>
      <c r="AH4" s="0" t="s">
        <v>76</v>
      </c>
      <c r="AI4" s="0" t="s">
        <v>76</v>
      </c>
      <c r="AJ4" s="0" t="n">
        <v>2</v>
      </c>
      <c r="AK4" s="0" t="s">
        <v>74</v>
      </c>
      <c r="AL4" s="5" t="s">
        <v>77</v>
      </c>
      <c r="AM4" s="0" t="s">
        <v>78</v>
      </c>
      <c r="AN4" s="0" t="s">
        <v>76</v>
      </c>
      <c r="AO4" s="0" t="s">
        <v>76</v>
      </c>
      <c r="AP4" s="0" t="s">
        <v>76</v>
      </c>
      <c r="AQ4" s="0" t="s">
        <v>76</v>
      </c>
      <c r="AR4" s="0" t="s">
        <v>76</v>
      </c>
      <c r="AS4" s="0" t="s">
        <v>76</v>
      </c>
      <c r="AT4" s="0" t="s">
        <v>76</v>
      </c>
      <c r="AU4" s="0" t="s">
        <v>76</v>
      </c>
      <c r="AV4" s="0" t="s">
        <v>76</v>
      </c>
      <c r="AW4" s="0" t="s">
        <v>76</v>
      </c>
      <c r="AX4" s="0" t="s">
        <v>76</v>
      </c>
      <c r="AY4" s="0" t="s">
        <v>76</v>
      </c>
      <c r="AZ4" s="0" t="n">
        <f aca="false">0.005*(I4-H4)</f>
        <v>0.0485</v>
      </c>
      <c r="BA4" s="0" t="s">
        <v>73</v>
      </c>
      <c r="BC4" s="0" t="s">
        <v>79</v>
      </c>
      <c r="BE4" s="0" t="str">
        <f aca="false">"3285"</f>
        <v>3285</v>
      </c>
      <c r="BF4" s="0" t="s">
        <v>87</v>
      </c>
      <c r="BH4" s="0" t="n">
        <f aca="false">6*100000</f>
        <v>600000</v>
      </c>
      <c r="BI4" s="0" t="s">
        <v>81</v>
      </c>
      <c r="BJ4" s="0" t="s">
        <v>82</v>
      </c>
      <c r="BK4" s="0" t="s">
        <v>83</v>
      </c>
      <c r="BL4" s="6" t="s">
        <v>84</v>
      </c>
      <c r="BP4" s="0" t="s">
        <v>88</v>
      </c>
    </row>
    <row r="5" customFormat="false" ht="14.9" hidden="false" customHeight="false" outlineLevel="0" collapsed="false">
      <c r="A5" s="0" t="s">
        <v>89</v>
      </c>
      <c r="C5" s="0" t="n">
        <f aca="false">3.9/3600</f>
        <v>0.00108333333333333</v>
      </c>
      <c r="D5" s="0" t="s">
        <v>70</v>
      </c>
      <c r="E5" s="0" t="n">
        <v>0.012</v>
      </c>
      <c r="F5" s="0" t="s">
        <v>71</v>
      </c>
      <c r="G5" s="4" t="s">
        <v>72</v>
      </c>
      <c r="H5" s="0" t="n">
        <v>0.3</v>
      </c>
      <c r="I5" s="0" t="n">
        <v>10</v>
      </c>
      <c r="J5" s="0" t="s">
        <v>73</v>
      </c>
      <c r="K5" s="0" t="n">
        <v>0</v>
      </c>
      <c r="L5" s="0" t="n">
        <v>100</v>
      </c>
      <c r="M5" s="0" t="s">
        <v>74</v>
      </c>
      <c r="N5" s="0" t="n">
        <f aca="false">(I5-H5)/(L5-K5)</f>
        <v>0.097</v>
      </c>
      <c r="O5" s="0" t="n">
        <f aca="false">I5-(N5*L5)</f>
        <v>0.300000000000001</v>
      </c>
      <c r="P5" s="0" t="n">
        <v>0</v>
      </c>
      <c r="Q5" s="0" t="n">
        <v>100</v>
      </c>
      <c r="R5" s="0" t="s">
        <v>74</v>
      </c>
      <c r="T5" s="0" t="n">
        <v>0.3</v>
      </c>
      <c r="U5" s="0" t="n">
        <v>10</v>
      </c>
      <c r="V5" s="0" t="s">
        <v>73</v>
      </c>
      <c r="W5" s="0" t="s">
        <v>75</v>
      </c>
      <c r="X5" s="0" t="s">
        <v>75</v>
      </c>
      <c r="Y5" s="0" t="s">
        <v>75</v>
      </c>
      <c r="Z5" s="0" t="s">
        <v>75</v>
      </c>
      <c r="AA5" s="0" t="s">
        <v>75</v>
      </c>
      <c r="AB5" s="0" t="s">
        <v>75</v>
      </c>
      <c r="AC5" s="0" t="s">
        <v>75</v>
      </c>
      <c r="AD5" s="0" t="n">
        <f aca="false">(Q5-P5)/(U5-T5)</f>
        <v>10.3092783505155</v>
      </c>
      <c r="AE5" s="0" t="n">
        <f aca="false">Q5-(AD5*U5)</f>
        <v>-3.09278350515464</v>
      </c>
      <c r="AF5" s="0" t="s">
        <v>76</v>
      </c>
      <c r="AG5" s="0" t="s">
        <v>76</v>
      </c>
      <c r="AH5" s="0" t="s">
        <v>76</v>
      </c>
      <c r="AI5" s="0" t="s">
        <v>76</v>
      </c>
      <c r="AJ5" s="0" t="n">
        <v>2</v>
      </c>
      <c r="AK5" s="0" t="s">
        <v>74</v>
      </c>
      <c r="AL5" s="5" t="s">
        <v>77</v>
      </c>
      <c r="AM5" s="0" t="s">
        <v>78</v>
      </c>
      <c r="AN5" s="0" t="s">
        <v>76</v>
      </c>
      <c r="AO5" s="0" t="s">
        <v>76</v>
      </c>
      <c r="AP5" s="0" t="s">
        <v>76</v>
      </c>
      <c r="AQ5" s="0" t="s">
        <v>76</v>
      </c>
      <c r="AR5" s="0" t="s">
        <v>76</v>
      </c>
      <c r="AS5" s="0" t="s">
        <v>76</v>
      </c>
      <c r="AT5" s="0" t="s">
        <v>76</v>
      </c>
      <c r="AU5" s="0" t="s">
        <v>76</v>
      </c>
      <c r="AV5" s="0" t="s">
        <v>76</v>
      </c>
      <c r="AW5" s="0" t="s">
        <v>76</v>
      </c>
      <c r="AX5" s="0" t="s">
        <v>76</v>
      </c>
      <c r="AY5" s="0" t="s">
        <v>76</v>
      </c>
      <c r="AZ5" s="0" t="n">
        <f aca="false">0.005*(I5-H5)</f>
        <v>0.0485</v>
      </c>
      <c r="BA5" s="0" t="s">
        <v>73</v>
      </c>
      <c r="BC5" s="0" t="s">
        <v>79</v>
      </c>
      <c r="BE5" s="0" t="str">
        <f aca="false">"3285"</f>
        <v>3285</v>
      </c>
      <c r="BF5" s="0" t="s">
        <v>90</v>
      </c>
      <c r="BH5" s="0" t="n">
        <f aca="false">6*100000</f>
        <v>600000</v>
      </c>
      <c r="BI5" s="0" t="s">
        <v>81</v>
      </c>
      <c r="BJ5" s="0" t="s">
        <v>82</v>
      </c>
      <c r="BK5" s="0" t="s">
        <v>83</v>
      </c>
      <c r="BL5" s="6" t="s">
        <v>84</v>
      </c>
      <c r="BP5" s="0" t="s">
        <v>91</v>
      </c>
    </row>
    <row r="6" customFormat="false" ht="14.9" hidden="false" customHeight="false" outlineLevel="0" collapsed="false">
      <c r="A6" s="0" t="s">
        <v>92</v>
      </c>
      <c r="C6" s="0" t="n">
        <f aca="false">3.9/3600</f>
        <v>0.00108333333333333</v>
      </c>
      <c r="D6" s="0" t="s">
        <v>70</v>
      </c>
      <c r="E6" s="0" t="n">
        <v>0.012</v>
      </c>
      <c r="F6" s="0" t="s">
        <v>71</v>
      </c>
      <c r="G6" s="4" t="s">
        <v>72</v>
      </c>
      <c r="H6" s="0" t="n">
        <v>0.3</v>
      </c>
      <c r="I6" s="0" t="n">
        <v>10</v>
      </c>
      <c r="J6" s="0" t="s">
        <v>73</v>
      </c>
      <c r="K6" s="0" t="n">
        <v>0</v>
      </c>
      <c r="L6" s="0" t="n">
        <v>100</v>
      </c>
      <c r="M6" s="0" t="s">
        <v>74</v>
      </c>
      <c r="N6" s="0" t="n">
        <f aca="false">(I6-H6)/(L6-K6)</f>
        <v>0.097</v>
      </c>
      <c r="O6" s="0" t="n">
        <f aca="false">I6-(N6*L6)</f>
        <v>0.300000000000001</v>
      </c>
      <c r="P6" s="0" t="n">
        <v>0</v>
      </c>
      <c r="Q6" s="0" t="n">
        <v>100</v>
      </c>
      <c r="R6" s="0" t="s">
        <v>74</v>
      </c>
      <c r="T6" s="0" t="n">
        <v>0.3</v>
      </c>
      <c r="U6" s="0" t="n">
        <v>10</v>
      </c>
      <c r="V6" s="0" t="s">
        <v>73</v>
      </c>
      <c r="W6" s="0" t="s">
        <v>75</v>
      </c>
      <c r="X6" s="0" t="s">
        <v>75</v>
      </c>
      <c r="Y6" s="0" t="s">
        <v>75</v>
      </c>
      <c r="Z6" s="0" t="s">
        <v>75</v>
      </c>
      <c r="AA6" s="0" t="s">
        <v>75</v>
      </c>
      <c r="AB6" s="0" t="s">
        <v>75</v>
      </c>
      <c r="AC6" s="0" t="s">
        <v>75</v>
      </c>
      <c r="AD6" s="0" t="n">
        <f aca="false">(Q6-P6)/(U6-T6)</f>
        <v>10.3092783505155</v>
      </c>
      <c r="AE6" s="0" t="n">
        <f aca="false">Q6-(AD6*U6)</f>
        <v>-3.09278350515464</v>
      </c>
      <c r="AF6" s="0" t="s">
        <v>76</v>
      </c>
      <c r="AG6" s="0" t="s">
        <v>76</v>
      </c>
      <c r="AH6" s="0" t="s">
        <v>76</v>
      </c>
      <c r="AI6" s="0" t="s">
        <v>76</v>
      </c>
      <c r="AJ6" s="0" t="n">
        <v>2</v>
      </c>
      <c r="AK6" s="0" t="s">
        <v>74</v>
      </c>
      <c r="AL6" s="5" t="s">
        <v>77</v>
      </c>
      <c r="AM6" s="0" t="s">
        <v>78</v>
      </c>
      <c r="AN6" s="0" t="s">
        <v>76</v>
      </c>
      <c r="AO6" s="0" t="s">
        <v>76</v>
      </c>
      <c r="AP6" s="0" t="s">
        <v>76</v>
      </c>
      <c r="AQ6" s="0" t="s">
        <v>76</v>
      </c>
      <c r="AR6" s="0" t="s">
        <v>76</v>
      </c>
      <c r="AS6" s="0" t="s">
        <v>76</v>
      </c>
      <c r="AT6" s="0" t="s">
        <v>76</v>
      </c>
      <c r="AU6" s="0" t="s">
        <v>76</v>
      </c>
      <c r="AV6" s="0" t="s">
        <v>76</v>
      </c>
      <c r="AW6" s="0" t="s">
        <v>76</v>
      </c>
      <c r="AX6" s="0" t="s">
        <v>76</v>
      </c>
      <c r="AY6" s="0" t="s">
        <v>76</v>
      </c>
      <c r="AZ6" s="0" t="n">
        <f aca="false">0.005*(I6-H6)</f>
        <v>0.0485</v>
      </c>
      <c r="BA6" s="0" t="s">
        <v>73</v>
      </c>
      <c r="BC6" s="0" t="s">
        <v>79</v>
      </c>
      <c r="BE6" s="0" t="str">
        <f aca="false">"3285"</f>
        <v>3285</v>
      </c>
      <c r="BF6" s="0" t="s">
        <v>93</v>
      </c>
      <c r="BH6" s="0" t="n">
        <f aca="false">6*100000</f>
        <v>600000</v>
      </c>
      <c r="BI6" s="0" t="s">
        <v>81</v>
      </c>
      <c r="BJ6" s="0" t="s">
        <v>82</v>
      </c>
      <c r="BK6" s="0" t="s">
        <v>83</v>
      </c>
      <c r="BL6" s="6" t="s">
        <v>84</v>
      </c>
      <c r="BP6" s="0" t="s">
        <v>94</v>
      </c>
    </row>
    <row r="7" customFormat="false" ht="14.9" hidden="false" customHeight="false" outlineLevel="0" collapsed="false">
      <c r="A7" s="0" t="s">
        <v>95</v>
      </c>
      <c r="C7" s="0" t="n">
        <f aca="false">5.4/3600</f>
        <v>0.0015</v>
      </c>
      <c r="D7" s="0" t="s">
        <v>70</v>
      </c>
      <c r="E7" s="0" t="n">
        <v>0.015</v>
      </c>
      <c r="F7" s="0" t="s">
        <v>71</v>
      </c>
      <c r="G7" s="4" t="s">
        <v>72</v>
      </c>
      <c r="H7" s="0" t="n">
        <v>0.3</v>
      </c>
      <c r="I7" s="0" t="n">
        <v>10</v>
      </c>
      <c r="J7" s="0" t="s">
        <v>73</v>
      </c>
      <c r="K7" s="0" t="n">
        <v>0</v>
      </c>
      <c r="L7" s="0" t="n">
        <v>100</v>
      </c>
      <c r="M7" s="0" t="s">
        <v>74</v>
      </c>
      <c r="N7" s="0" t="n">
        <f aca="false">(I7-H7)/(L7-K7)</f>
        <v>0.097</v>
      </c>
      <c r="O7" s="0" t="n">
        <f aca="false">I7-(N7*L7)</f>
        <v>0.300000000000001</v>
      </c>
      <c r="P7" s="0" t="n">
        <v>0</v>
      </c>
      <c r="Q7" s="0" t="n">
        <v>100</v>
      </c>
      <c r="R7" s="0" t="s">
        <v>74</v>
      </c>
      <c r="T7" s="0" t="n">
        <v>0.3</v>
      </c>
      <c r="U7" s="0" t="n">
        <v>10</v>
      </c>
      <c r="V7" s="0" t="s">
        <v>73</v>
      </c>
      <c r="W7" s="0" t="s">
        <v>75</v>
      </c>
      <c r="X7" s="0" t="s">
        <v>75</v>
      </c>
      <c r="Y7" s="0" t="s">
        <v>75</v>
      </c>
      <c r="Z7" s="0" t="s">
        <v>75</v>
      </c>
      <c r="AA7" s="0" t="s">
        <v>75</v>
      </c>
      <c r="AB7" s="0" t="s">
        <v>75</v>
      </c>
      <c r="AC7" s="0" t="s">
        <v>75</v>
      </c>
      <c r="AD7" s="0" t="n">
        <f aca="false">(Q7-P7)/(U7-T7)</f>
        <v>10.3092783505155</v>
      </c>
      <c r="AE7" s="0" t="n">
        <f aca="false">Q7-(AD7*U7)</f>
        <v>-3.09278350515464</v>
      </c>
      <c r="AF7" s="0" t="s">
        <v>76</v>
      </c>
      <c r="AG7" s="0" t="s">
        <v>76</v>
      </c>
      <c r="AH7" s="0" t="s">
        <v>76</v>
      </c>
      <c r="AI7" s="0" t="s">
        <v>76</v>
      </c>
      <c r="AJ7" s="0" t="n">
        <v>2</v>
      </c>
      <c r="AK7" s="0" t="s">
        <v>74</v>
      </c>
      <c r="AL7" s="5" t="s">
        <v>77</v>
      </c>
      <c r="AM7" s="0" t="s">
        <v>78</v>
      </c>
      <c r="AN7" s="0" t="s">
        <v>76</v>
      </c>
      <c r="AO7" s="0" t="s">
        <v>76</v>
      </c>
      <c r="AP7" s="0" t="s">
        <v>76</v>
      </c>
      <c r="AQ7" s="0" t="s">
        <v>76</v>
      </c>
      <c r="AR7" s="0" t="s">
        <v>76</v>
      </c>
      <c r="AS7" s="0" t="s">
        <v>76</v>
      </c>
      <c r="AT7" s="0" t="s">
        <v>76</v>
      </c>
      <c r="AU7" s="0" t="s">
        <v>76</v>
      </c>
      <c r="AV7" s="0" t="s">
        <v>76</v>
      </c>
      <c r="AW7" s="0" t="s">
        <v>76</v>
      </c>
      <c r="AX7" s="0" t="s">
        <v>76</v>
      </c>
      <c r="AY7" s="0" t="s">
        <v>76</v>
      </c>
      <c r="AZ7" s="0" t="n">
        <f aca="false">0.005*(I7-H7)</f>
        <v>0.0485</v>
      </c>
      <c r="BA7" s="0" t="s">
        <v>73</v>
      </c>
      <c r="BC7" s="0" t="s">
        <v>79</v>
      </c>
      <c r="BE7" s="0" t="str">
        <f aca="false">"3285"</f>
        <v>3285</v>
      </c>
      <c r="BF7" s="0" t="s">
        <v>96</v>
      </c>
      <c r="BH7" s="0" t="n">
        <f aca="false">6*100000</f>
        <v>600000</v>
      </c>
      <c r="BI7" s="0" t="s">
        <v>81</v>
      </c>
      <c r="BJ7" s="0" t="s">
        <v>82</v>
      </c>
      <c r="BK7" s="0" t="s">
        <v>83</v>
      </c>
      <c r="BL7" s="6" t="s">
        <v>84</v>
      </c>
      <c r="BP7" s="0" t="s">
        <v>97</v>
      </c>
    </row>
    <row r="8" customFormat="false" ht="14.9" hidden="false" customHeight="false" outlineLevel="0" collapsed="false">
      <c r="A8" s="0" t="s">
        <v>98</v>
      </c>
      <c r="C8" s="0" t="s">
        <v>76</v>
      </c>
      <c r="D8" s="0" t="s">
        <v>70</v>
      </c>
      <c r="E8" s="0" t="n">
        <v>0.015</v>
      </c>
      <c r="F8" s="0" t="s">
        <v>71</v>
      </c>
      <c r="G8" s="4"/>
      <c r="H8" s="0" t="n">
        <v>0</v>
      </c>
      <c r="I8" s="0" t="n">
        <v>10</v>
      </c>
      <c r="J8" s="0" t="s">
        <v>73</v>
      </c>
      <c r="K8" s="0" t="n">
        <v>0</v>
      </c>
      <c r="L8" s="0" t="n">
        <v>100</v>
      </c>
      <c r="M8" s="0" t="s">
        <v>74</v>
      </c>
      <c r="N8" s="0" t="n">
        <f aca="false">(I8-H8)/(L8-K8)</f>
        <v>0.1</v>
      </c>
      <c r="O8" s="0" t="n">
        <f aca="false">I8-(N8*L8)</f>
        <v>0</v>
      </c>
      <c r="P8" s="0" t="n">
        <v>0</v>
      </c>
      <c r="Q8" s="0" t="n">
        <v>100</v>
      </c>
      <c r="R8" s="0" t="s">
        <v>74</v>
      </c>
      <c r="T8" s="0" t="n">
        <f aca="false">AA8*X8</f>
        <v>2.07309465</v>
      </c>
      <c r="U8" s="0" t="n">
        <f aca="false">AB8*X8</f>
        <v>10.008</v>
      </c>
      <c r="V8" s="0" t="s">
        <v>73</v>
      </c>
      <c r="W8" s="0" t="s">
        <v>99</v>
      </c>
      <c r="X8" s="0" t="n">
        <v>500.4</v>
      </c>
      <c r="Y8" s="0" t="s">
        <v>100</v>
      </c>
      <c r="Z8" s="0" t="s">
        <v>76</v>
      </c>
      <c r="AA8" s="0" t="n">
        <v>0.004142875</v>
      </c>
      <c r="AB8" s="0" t="n">
        <v>0.02</v>
      </c>
      <c r="AC8" s="0" t="s">
        <v>101</v>
      </c>
      <c r="AD8" s="0" t="n">
        <f aca="false">(Q8-P8)/(AB8-AA8)</f>
        <v>6306.31340801059</v>
      </c>
      <c r="AE8" s="0" t="n">
        <f aca="false">Q8-(AD8*AB8)</f>
        <v>-26.1262681602119</v>
      </c>
      <c r="AF8" s="0" t="s">
        <v>76</v>
      </c>
      <c r="AG8" s="0" t="s">
        <v>76</v>
      </c>
      <c r="AH8" s="0" t="s">
        <v>76</v>
      </c>
      <c r="AI8" s="0" t="s">
        <v>76</v>
      </c>
      <c r="AJ8" s="0" t="n">
        <f aca="false">1.5</f>
        <v>1.5</v>
      </c>
      <c r="AK8" s="0" t="s">
        <v>74</v>
      </c>
      <c r="AL8" s="0" t="s">
        <v>102</v>
      </c>
      <c r="AM8" s="0" t="s">
        <v>78</v>
      </c>
      <c r="AN8" s="0" t="s">
        <v>76</v>
      </c>
      <c r="AO8" s="0" t="s">
        <v>76</v>
      </c>
      <c r="AP8" s="0" t="s">
        <v>76</v>
      </c>
      <c r="AQ8" s="0" t="s">
        <v>76</v>
      </c>
      <c r="AR8" s="0" t="s">
        <v>76</v>
      </c>
      <c r="AS8" s="0" t="s">
        <v>76</v>
      </c>
      <c r="AT8" s="0" t="s">
        <v>76</v>
      </c>
      <c r="AU8" s="0" t="s">
        <v>76</v>
      </c>
      <c r="AV8" s="0" t="s">
        <v>76</v>
      </c>
      <c r="AW8" s="0" t="s">
        <v>76</v>
      </c>
      <c r="AX8" s="0" t="s">
        <v>76</v>
      </c>
      <c r="AY8" s="0" t="s">
        <v>76</v>
      </c>
      <c r="AZ8" s="0" t="n">
        <f aca="false">0.001*(I8-H8)</f>
        <v>0.01</v>
      </c>
      <c r="BA8" s="0" t="s">
        <v>73</v>
      </c>
      <c r="BC8" s="0" t="s">
        <v>103</v>
      </c>
      <c r="BE8" s="0" t="s">
        <v>104</v>
      </c>
      <c r="BF8" s="0" t="s">
        <v>105</v>
      </c>
      <c r="BH8" s="0" t="n">
        <f aca="false">40*100000</f>
        <v>4000000</v>
      </c>
      <c r="BI8" s="0" t="s">
        <v>81</v>
      </c>
      <c r="BJ8" s="0" t="s">
        <v>82</v>
      </c>
      <c r="BK8" s="0" t="s">
        <v>83</v>
      </c>
      <c r="BL8" s="6" t="s">
        <v>106</v>
      </c>
      <c r="BO8" s="0" t="s">
        <v>107</v>
      </c>
      <c r="BP8" s="0" t="s">
        <v>108</v>
      </c>
    </row>
    <row r="9" customFormat="false" ht="14.9" hidden="false" customHeight="false" outlineLevel="0" collapsed="false">
      <c r="A9" s="0" t="s">
        <v>109</v>
      </c>
      <c r="C9" s="0" t="n">
        <f aca="false">16.3/3600</f>
        <v>0.00452777777777778</v>
      </c>
      <c r="D9" s="0" t="s">
        <v>70</v>
      </c>
      <c r="E9" s="0" t="n">
        <v>0.015</v>
      </c>
      <c r="F9" s="0" t="s">
        <v>71</v>
      </c>
      <c r="G9" s="4" t="s">
        <v>72</v>
      </c>
      <c r="H9" s="0" t="n">
        <v>0</v>
      </c>
      <c r="I9" s="0" t="n">
        <v>10</v>
      </c>
      <c r="J9" s="0" t="s">
        <v>73</v>
      </c>
      <c r="K9" s="0" t="n">
        <v>0</v>
      </c>
      <c r="L9" s="0" t="n">
        <v>100</v>
      </c>
      <c r="M9" s="0" t="s">
        <v>74</v>
      </c>
      <c r="N9" s="0" t="n">
        <f aca="false">(I9-H9)/(L9-K9)</f>
        <v>0.1</v>
      </c>
      <c r="O9" s="0" t="n">
        <f aca="false">I9-(N9*L9)</f>
        <v>0</v>
      </c>
      <c r="P9" s="0" t="n">
        <v>0</v>
      </c>
      <c r="Q9" s="0" t="n">
        <v>100</v>
      </c>
      <c r="R9" s="0" t="s">
        <v>74</v>
      </c>
      <c r="T9" s="0" t="n">
        <v>2</v>
      </c>
      <c r="U9" s="0" t="n">
        <v>10</v>
      </c>
      <c r="V9" s="0" t="s">
        <v>73</v>
      </c>
      <c r="W9" s="0" t="s">
        <v>75</v>
      </c>
      <c r="X9" s="0" t="s">
        <v>75</v>
      </c>
      <c r="Y9" s="0" t="s">
        <v>75</v>
      </c>
      <c r="Z9" s="0" t="s">
        <v>75</v>
      </c>
      <c r="AA9" s="0" t="s">
        <v>75</v>
      </c>
      <c r="AB9" s="0" t="s">
        <v>75</v>
      </c>
      <c r="AC9" s="0" t="s">
        <v>75</v>
      </c>
      <c r="AD9" s="0" t="n">
        <f aca="false">(Q9-P9)/(U9-T9)</f>
        <v>12.5</v>
      </c>
      <c r="AE9" s="0" t="n">
        <f aca="false">Q9-(AD9*U9)</f>
        <v>-25</v>
      </c>
      <c r="AF9" s="0" t="s">
        <v>76</v>
      </c>
      <c r="AG9" s="0" t="s">
        <v>76</v>
      </c>
      <c r="AH9" s="0" t="s">
        <v>76</v>
      </c>
      <c r="AI9" s="0" t="s">
        <v>76</v>
      </c>
      <c r="AJ9" s="0" t="n">
        <v>3</v>
      </c>
      <c r="AK9" s="0" t="s">
        <v>74</v>
      </c>
      <c r="AL9" s="0" t="s">
        <v>110</v>
      </c>
      <c r="AM9" s="0" t="s">
        <v>78</v>
      </c>
      <c r="AN9" s="0" t="s">
        <v>76</v>
      </c>
      <c r="AO9" s="0" t="s">
        <v>76</v>
      </c>
      <c r="AP9" s="0" t="s">
        <v>76</v>
      </c>
      <c r="AQ9" s="0" t="s">
        <v>76</v>
      </c>
      <c r="AR9" s="0" t="s">
        <v>76</v>
      </c>
      <c r="AS9" s="0" t="s">
        <v>76</v>
      </c>
      <c r="AT9" s="0" t="s">
        <v>76</v>
      </c>
      <c r="AU9" s="0" t="s">
        <v>76</v>
      </c>
      <c r="AV9" s="0" t="s">
        <v>76</v>
      </c>
      <c r="AW9" s="0" t="s">
        <v>76</v>
      </c>
      <c r="AX9" s="0" t="s">
        <v>76</v>
      </c>
      <c r="AY9" s="0" t="s">
        <v>76</v>
      </c>
      <c r="AZ9" s="0" t="n">
        <f aca="false">0.02*(I9-H9)</f>
        <v>0.2</v>
      </c>
      <c r="BA9" s="0" t="s">
        <v>73</v>
      </c>
      <c r="BC9" s="0" t="s">
        <v>111</v>
      </c>
      <c r="BE9" s="0" t="s">
        <v>112</v>
      </c>
      <c r="BF9" s="0" t="s">
        <v>76</v>
      </c>
      <c r="BH9" s="0" t="n">
        <f aca="false">16*100000</f>
        <v>1600000</v>
      </c>
      <c r="BI9" s="0" t="s">
        <v>81</v>
      </c>
      <c r="BJ9" s="0" t="s">
        <v>82</v>
      </c>
      <c r="BK9" s="0" t="s">
        <v>83</v>
      </c>
      <c r="BL9" s="6" t="s">
        <v>113</v>
      </c>
      <c r="BP9" s="0" t="s">
        <v>114</v>
      </c>
    </row>
    <row r="10" customFormat="false" ht="14.9" hidden="false" customHeight="false" outlineLevel="0" collapsed="false">
      <c r="A10" s="0" t="s">
        <v>115</v>
      </c>
      <c r="C10" s="0" t="n">
        <f aca="false">16.3/3600</f>
        <v>0.00452777777777778</v>
      </c>
      <c r="D10" s="0" t="s">
        <v>70</v>
      </c>
      <c r="E10" s="0" t="n">
        <v>0.015</v>
      </c>
      <c r="F10" s="0" t="s">
        <v>71</v>
      </c>
      <c r="G10" s="4" t="s">
        <v>72</v>
      </c>
      <c r="H10" s="0" t="n">
        <v>0</v>
      </c>
      <c r="I10" s="0" t="n">
        <v>10</v>
      </c>
      <c r="J10" s="0" t="s">
        <v>73</v>
      </c>
      <c r="K10" s="0" t="n">
        <v>0</v>
      </c>
      <c r="L10" s="0" t="n">
        <v>100</v>
      </c>
      <c r="M10" s="0" t="s">
        <v>74</v>
      </c>
      <c r="N10" s="0" t="n">
        <f aca="false">(I10-H10)/(L10-K10)</f>
        <v>0.1</v>
      </c>
      <c r="O10" s="0" t="n">
        <f aca="false">I10-(N10*L10)</f>
        <v>0</v>
      </c>
      <c r="P10" s="0" t="n">
        <v>0</v>
      </c>
      <c r="Q10" s="0" t="n">
        <v>100</v>
      </c>
      <c r="R10" s="0" t="s">
        <v>74</v>
      </c>
      <c r="T10" s="0" t="n">
        <v>2</v>
      </c>
      <c r="U10" s="0" t="n">
        <v>10</v>
      </c>
      <c r="V10" s="0" t="s">
        <v>73</v>
      </c>
      <c r="W10" s="0" t="s">
        <v>75</v>
      </c>
      <c r="X10" s="0" t="s">
        <v>75</v>
      </c>
      <c r="Y10" s="0" t="s">
        <v>75</v>
      </c>
      <c r="Z10" s="0" t="s">
        <v>75</v>
      </c>
      <c r="AA10" s="0" t="s">
        <v>75</v>
      </c>
      <c r="AB10" s="0" t="s">
        <v>75</v>
      </c>
      <c r="AC10" s="0" t="s">
        <v>75</v>
      </c>
      <c r="AD10" s="0" t="n">
        <f aca="false">(Q10-P10)/(U10-T10)</f>
        <v>12.5</v>
      </c>
      <c r="AE10" s="0" t="n">
        <f aca="false">Q10-(AD10*U10)</f>
        <v>-25</v>
      </c>
      <c r="AF10" s="0" t="s">
        <v>76</v>
      </c>
      <c r="AG10" s="0" t="s">
        <v>76</v>
      </c>
      <c r="AH10" s="0" t="s">
        <v>76</v>
      </c>
      <c r="AI10" s="0" t="s">
        <v>76</v>
      </c>
      <c r="AJ10" s="0" t="n">
        <v>3</v>
      </c>
      <c r="AK10" s="0" t="s">
        <v>74</v>
      </c>
      <c r="AL10" s="0" t="s">
        <v>110</v>
      </c>
      <c r="AM10" s="0" t="s">
        <v>78</v>
      </c>
      <c r="AN10" s="0" t="s">
        <v>76</v>
      </c>
      <c r="AO10" s="0" t="s">
        <v>76</v>
      </c>
      <c r="AP10" s="0" t="s">
        <v>76</v>
      </c>
      <c r="AQ10" s="0" t="s">
        <v>76</v>
      </c>
      <c r="AR10" s="0" t="s">
        <v>76</v>
      </c>
      <c r="AS10" s="0" t="s">
        <v>76</v>
      </c>
      <c r="AT10" s="0" t="s">
        <v>76</v>
      </c>
      <c r="AU10" s="0" t="s">
        <v>76</v>
      </c>
      <c r="AV10" s="0" t="s">
        <v>76</v>
      </c>
      <c r="AW10" s="0" t="s">
        <v>76</v>
      </c>
      <c r="AX10" s="0" t="s">
        <v>76</v>
      </c>
      <c r="AY10" s="0" t="s">
        <v>76</v>
      </c>
      <c r="AZ10" s="0" t="n">
        <f aca="false">0.02*(I10-H10)</f>
        <v>0.2</v>
      </c>
      <c r="BA10" s="0" t="s">
        <v>73</v>
      </c>
      <c r="BC10" s="0" t="s">
        <v>111</v>
      </c>
      <c r="BE10" s="0" t="s">
        <v>112</v>
      </c>
      <c r="BF10" s="0" t="s">
        <v>76</v>
      </c>
      <c r="BH10" s="0" t="n">
        <f aca="false">16*100000</f>
        <v>1600000</v>
      </c>
      <c r="BI10" s="0" t="s">
        <v>81</v>
      </c>
      <c r="BJ10" s="0" t="s">
        <v>82</v>
      </c>
      <c r="BK10" s="0" t="s">
        <v>83</v>
      </c>
      <c r="BL10" s="6" t="s">
        <v>113</v>
      </c>
      <c r="BP10" s="0" t="s">
        <v>116</v>
      </c>
    </row>
    <row r="11" customFormat="false" ht="14.9" hidden="false" customHeight="false" outlineLevel="0" collapsed="false">
      <c r="A11" s="7" t="s">
        <v>117</v>
      </c>
      <c r="C11" s="0" t="n">
        <f aca="false">12*1.6667*0.00001</f>
        <v>0.000200004</v>
      </c>
      <c r="D11" s="0" t="s">
        <v>70</v>
      </c>
      <c r="E11" s="0" t="s">
        <v>76</v>
      </c>
      <c r="F11" s="0" t="s">
        <v>76</v>
      </c>
      <c r="G11" s="4" t="s">
        <v>118</v>
      </c>
      <c r="H11" s="0" t="n">
        <v>0</v>
      </c>
      <c r="I11" s="0" t="n">
        <v>10</v>
      </c>
      <c r="J11" s="0" t="s">
        <v>73</v>
      </c>
      <c r="K11" s="0" t="n">
        <v>-100</v>
      </c>
      <c r="L11" s="0" t="n">
        <v>100</v>
      </c>
      <c r="M11" s="0" t="s">
        <v>74</v>
      </c>
      <c r="N11" s="0" t="n">
        <f aca="false">(I11-H11)/(L11-K11)</f>
        <v>0.05</v>
      </c>
      <c r="O11" s="0" t="n">
        <f aca="false">I11-(N11*L11)</f>
        <v>5</v>
      </c>
      <c r="P11" s="0" t="n">
        <v>-100</v>
      </c>
      <c r="Q11" s="0" t="n">
        <v>100</v>
      </c>
      <c r="R11" s="0" t="s">
        <v>74</v>
      </c>
      <c r="T11" s="0" t="n">
        <v>-10</v>
      </c>
      <c r="U11" s="0" t="n">
        <v>10</v>
      </c>
      <c r="V11" s="0" t="s">
        <v>73</v>
      </c>
      <c r="W11" s="0" t="s">
        <v>76</v>
      </c>
      <c r="X11" s="0" t="s">
        <v>76</v>
      </c>
      <c r="Y11" s="0" t="s">
        <v>76</v>
      </c>
      <c r="Z11" s="0" t="s">
        <v>76</v>
      </c>
      <c r="AA11" s="0" t="s">
        <v>76</v>
      </c>
      <c r="AB11" s="0" t="s">
        <v>76</v>
      </c>
      <c r="AC11" s="0" t="s">
        <v>76</v>
      </c>
      <c r="AD11" s="0" t="n">
        <f aca="false">(Q11-P11)/(U11-T11)</f>
        <v>10</v>
      </c>
      <c r="AE11" s="0" t="n">
        <f aca="false">Q11-(AD11*U11)</f>
        <v>0</v>
      </c>
      <c r="AF11" s="0" t="s">
        <v>76</v>
      </c>
      <c r="AG11" s="0" t="s">
        <v>76</v>
      </c>
      <c r="AH11" s="0" t="s">
        <v>76</v>
      </c>
      <c r="AI11" s="0" t="s">
        <v>76</v>
      </c>
      <c r="AJ11" s="0" t="s">
        <v>76</v>
      </c>
      <c r="AK11" s="0" t="s">
        <v>76</v>
      </c>
      <c r="AL11" s="0" t="s">
        <v>76</v>
      </c>
      <c r="AM11" s="0" t="s">
        <v>76</v>
      </c>
      <c r="AN11" s="0" t="s">
        <v>76</v>
      </c>
      <c r="AO11" s="0" t="s">
        <v>76</v>
      </c>
      <c r="AP11" s="0" t="s">
        <v>76</v>
      </c>
      <c r="AQ11" s="0" t="s">
        <v>76</v>
      </c>
      <c r="AR11" s="0" t="s">
        <v>76</v>
      </c>
      <c r="AS11" s="0" t="s">
        <v>76</v>
      </c>
      <c r="AT11" s="0" t="s">
        <v>76</v>
      </c>
      <c r="AU11" s="0" t="s">
        <v>76</v>
      </c>
      <c r="AV11" s="0" t="s">
        <v>76</v>
      </c>
      <c r="AW11" s="0" t="s">
        <v>76</v>
      </c>
      <c r="AX11" s="0" t="s">
        <v>76</v>
      </c>
      <c r="AY11" s="0" t="s">
        <v>76</v>
      </c>
      <c r="AZ11" s="0" t="s">
        <v>76</v>
      </c>
      <c r="BA11" s="0" t="s">
        <v>76</v>
      </c>
      <c r="BC11" s="8" t="s">
        <v>119</v>
      </c>
      <c r="BE11" s="8" t="s">
        <v>120</v>
      </c>
      <c r="BF11" s="8" t="s">
        <v>121</v>
      </c>
      <c r="BH11" s="0" t="n">
        <f aca="false">315*100000</f>
        <v>31500000</v>
      </c>
      <c r="BI11" s="0" t="s">
        <v>81</v>
      </c>
      <c r="BJ11" s="0" t="s">
        <v>122</v>
      </c>
      <c r="BK11" s="0" t="s">
        <v>123</v>
      </c>
      <c r="BP11" s="8" t="n">
        <v>811404601</v>
      </c>
    </row>
  </sheetData>
  <mergeCells count="6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P1:BP2"/>
    <mergeCell ref="BQ1:BQ2"/>
  </mergeCells>
  <hyperlinks>
    <hyperlink ref="BL3" r:id="rId1" display="..\3_Konzipieren und Konstruieren\Datenblaetter\info_221021_Datenblatt_Ventil_Buerkert_Typ_3285.pdf"/>
    <hyperlink ref="BL4" r:id="rId2" display="..\3_Konzipieren und Konstruieren\Datenblaetter\info_221021_Datenblatt_Ventil_Buerkert_Typ_3285.pdf"/>
    <hyperlink ref="BL5" r:id="rId3" display="..\3_Konzipieren und Konstruieren\Datenblaetter\info_221021_Datenblatt_Ventil_Buerkert_Typ_3285.pdf"/>
    <hyperlink ref="BL6" r:id="rId4" display="..\3_Konzipieren und Konstruieren\Datenblaetter\info_221021_Datenblatt_Ventil_Buerkert_Typ_3285.pdf"/>
    <hyperlink ref="BL7" r:id="rId5" display="..\3_Konzipieren und Konstruieren\Datenblaetter\info_221021_Datenblatt_Ventil_Buerkert_Typ_3285.pdf"/>
    <hyperlink ref="BL8" r:id="rId6" display="..\3_Konzipieren und Konstruieren\Datenblaetter\info_241024_Datenblatt_Ventil_Samson_3241-7_DN15.pdf"/>
    <hyperlink ref="BL9" r:id="rId7" display="..\3_Konzipieren und Konstruieren\Datenblaetter\info_181112_Datenblatt_Ventil_Sintesi_Smart.pdf"/>
    <hyperlink ref="BL10" r:id="rId8" display="..\3_Konzipieren und Konstruieren\Datenblaetter\info_181112_Datenblatt_Ventil_Sintesi_Smart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2024-11-27T20:51:44Z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