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activeTab="1"/>
  </bookViews>
  <sheets>
    <sheet name="附件1部门" sheetId="1" r:id="rId1"/>
    <sheet name="附件2计划" sheetId="2" r:id="rId2"/>
    <sheet name="附件3计划调整" sheetId="3" r:id="rId3"/>
  </sheets>
  <externalReferences>
    <externalReference r:id="rId4"/>
    <externalReference r:id="rId5"/>
    <externalReference r:id="rId6"/>
  </externalReferences>
  <definedNames>
    <definedName name="_xlnm._FilterDatabase" localSheetId="1" hidden="1">附件2计划!$A$20:$Y$76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author>
    <author>迪</author>
  </authors>
  <commentList>
    <comment ref="O22" authorId="0">
      <text>
        <r>
          <rPr>
            <b/>
            <sz val="9"/>
            <rFont val="宋体"/>
            <charset val="134"/>
          </rPr>
          <t xml:space="preserve">admin:装订费+保证保险费+资料装订费+专户刻章费
</t>
        </r>
      </text>
    </comment>
    <comment ref="E46" authorId="1">
      <text>
        <r>
          <rPr>
            <b/>
            <sz val="9"/>
            <rFont val="宋体"/>
            <charset val="134"/>
          </rPr>
          <t>迪:</t>
        </r>
        <r>
          <rPr>
            <sz val="9"/>
            <rFont val="宋体"/>
            <charset val="134"/>
          </rPr>
          <t xml:space="preserve">
税金调整为9%</t>
        </r>
      </text>
    </comment>
  </commentList>
</comments>
</file>

<file path=xl/sharedStrings.xml><?xml version="1.0" encoding="utf-8"?>
<sst xmlns="http://schemas.openxmlformats.org/spreadsheetml/2006/main" count="464" uniqueCount="297">
  <si>
    <t>附件1：</t>
  </si>
  <si>
    <t>资金计划审批表（部门）</t>
  </si>
  <si>
    <t>序号</t>
  </si>
  <si>
    <t>项  目</t>
  </si>
  <si>
    <t>分类</t>
  </si>
  <si>
    <t>责任单位</t>
  </si>
  <si>
    <t>财务部</t>
  </si>
  <si>
    <t>备注</t>
  </si>
  <si>
    <t>一、月初现金流余额</t>
  </si>
  <si>
    <t>二、现金流入</t>
  </si>
  <si>
    <t>各项目部、统建事业部</t>
  </si>
  <si>
    <t xml:space="preserve">    其中：（1）XX工程款收入预计</t>
  </si>
  <si>
    <t xml:space="preserve">          （2）XX工程款收入预计</t>
  </si>
  <si>
    <t xml:space="preserve">          （3）其他收入</t>
  </si>
  <si>
    <t>各部门</t>
  </si>
  <si>
    <t>三、现金流出</t>
  </si>
  <si>
    <t>（一）固定费用支出</t>
  </si>
  <si>
    <t>1.薪酬支出</t>
  </si>
  <si>
    <t>综合部</t>
  </si>
  <si>
    <t xml:space="preserve">    其中：（1）工资支出</t>
  </si>
  <si>
    <t>刚性保障类</t>
  </si>
  <si>
    <t xml:space="preserve">          （2）社会保险费支出</t>
  </si>
  <si>
    <t xml:space="preserve">          （3）住房公积金支出</t>
  </si>
  <si>
    <t xml:space="preserve">          （4）福利费支出</t>
  </si>
  <si>
    <t xml:space="preserve">          （5）工资附加支出</t>
  </si>
  <si>
    <t xml:space="preserve">          （6）劳务派遣费支出</t>
  </si>
  <si>
    <t>2.业务外委费支出</t>
  </si>
  <si>
    <t>重点保障类</t>
  </si>
  <si>
    <t>3.税金支出</t>
  </si>
  <si>
    <t xml:space="preserve">    其中：（1）增值税</t>
  </si>
  <si>
    <t xml:space="preserve">          （2）所得税</t>
  </si>
  <si>
    <t xml:space="preserve">          （3）城建税及附加</t>
  </si>
  <si>
    <t xml:space="preserve">          （4）其他税费</t>
  </si>
  <si>
    <t>（二）变动费用支出</t>
  </si>
  <si>
    <t>1.工程费用支出</t>
  </si>
  <si>
    <t xml:space="preserve">    其中：（1）劳务分包费</t>
  </si>
  <si>
    <t xml:space="preserve">          （2）人工费</t>
  </si>
  <si>
    <t xml:space="preserve">          （3）材料费</t>
  </si>
  <si>
    <t xml:space="preserve">          （4）机械使用费</t>
  </si>
  <si>
    <t xml:space="preserve">          （5）质保金</t>
  </si>
  <si>
    <t xml:space="preserve">          （6）管理人员工资</t>
  </si>
  <si>
    <t>2.市场费用支出</t>
  </si>
  <si>
    <t xml:space="preserve">    其中：（1）投标保证金支出</t>
  </si>
  <si>
    <t>经营部、统建事业部</t>
  </si>
  <si>
    <t xml:space="preserve">          （2）代理服务费支出</t>
  </si>
  <si>
    <t xml:space="preserve">          （3）标书及技术协作费支出</t>
  </si>
  <si>
    <t xml:space="preserve">          （4）竞争性谈判资料费支出</t>
  </si>
  <si>
    <r>
      <rPr>
        <sz val="14"/>
        <rFont val="宋体"/>
        <charset val="134"/>
      </rPr>
      <t xml:space="preserve">          （</t>
    </r>
    <r>
      <rPr>
        <sz val="14"/>
        <rFont val="宋体"/>
        <charset val="134"/>
      </rPr>
      <t>5</t>
    </r>
    <r>
      <rPr>
        <sz val="14"/>
        <rFont val="宋体"/>
        <charset val="134"/>
      </rPr>
      <t>）项目咨询费</t>
    </r>
  </si>
  <si>
    <t>3.固定资产投资支出</t>
  </si>
  <si>
    <t>一般保障类</t>
  </si>
  <si>
    <t>综合部、市场部</t>
  </si>
  <si>
    <t>4.营业外支出</t>
  </si>
  <si>
    <t>（三）混合费用支出</t>
  </si>
  <si>
    <t>1.办公费</t>
  </si>
  <si>
    <t>2.差旅费</t>
  </si>
  <si>
    <t>3.车辆使用费</t>
  </si>
  <si>
    <t>4.劳动保护费</t>
  </si>
  <si>
    <t>5.低值易耗品</t>
  </si>
  <si>
    <t>6.中介、咨询费</t>
  </si>
  <si>
    <t>综合部、财务部、成本部、工程部</t>
  </si>
  <si>
    <t>7.房屋租赁费</t>
  </si>
  <si>
    <t>8.绿化费</t>
  </si>
  <si>
    <t>9.物业管理费</t>
  </si>
  <si>
    <r>
      <rPr>
        <sz val="14"/>
        <rFont val="宋体"/>
        <charset val="134"/>
      </rPr>
      <t>1</t>
    </r>
    <r>
      <rPr>
        <sz val="14"/>
        <rFont val="宋体"/>
        <charset val="134"/>
      </rPr>
      <t>1.培训费</t>
    </r>
  </si>
  <si>
    <t>12.广告费</t>
  </si>
  <si>
    <t>综合部、各项目部</t>
  </si>
  <si>
    <t>13.业务招待费</t>
  </si>
  <si>
    <t>14.其他运营支出</t>
  </si>
  <si>
    <t>四、月末现金流余额</t>
  </si>
  <si>
    <t xml:space="preserve">       分管领导：                          部门负责人：                        </t>
  </si>
  <si>
    <t xml:space="preserve">  编制人：</t>
  </si>
  <si>
    <t>附件2：</t>
  </si>
  <si>
    <t>九洲工业园新建综合性厂房项目部2024年4月资金计划审批表（填报日期：2024年4月1日）</t>
  </si>
  <si>
    <t>项目情况</t>
  </si>
  <si>
    <t>建设单位名称：</t>
  </si>
  <si>
    <t>四川九洲投资控股集团有限公司</t>
  </si>
  <si>
    <t>项目名称：</t>
  </si>
  <si>
    <t>九洲工业园新建综合性厂房项目</t>
  </si>
  <si>
    <t>合同造价：</t>
  </si>
  <si>
    <t>工程形象进度：</t>
  </si>
  <si>
    <t>土建装饰装修，安装穿线，室外附属工程</t>
  </si>
  <si>
    <t>累计产值
（不含本月）：</t>
  </si>
  <si>
    <t>业主审定产值：</t>
  </si>
  <si>
    <t xml:space="preserve">时 间/事 项 </t>
  </si>
  <si>
    <t>完成量（产值）</t>
  </si>
  <si>
    <t>合同约定收款比例</t>
  </si>
  <si>
    <t>应收款
（截止到本月）</t>
  </si>
  <si>
    <t>实际收款额</t>
  </si>
  <si>
    <t>欠收款额</t>
  </si>
  <si>
    <t>欠收原因</t>
  </si>
  <si>
    <t>本月（次）</t>
  </si>
  <si>
    <t>两次报送安全文明施工费金额差额，已按第二次报送金额付款，发票未冲抵，在次月收款时冲抵发票</t>
  </si>
  <si>
    <t>累计（含本月）</t>
  </si>
  <si>
    <t>累计向业主出具票据：</t>
  </si>
  <si>
    <t>项目总体收支情况</t>
  </si>
  <si>
    <t>资金收入</t>
  </si>
  <si>
    <t>资金支出</t>
  </si>
  <si>
    <t>情况说明</t>
  </si>
  <si>
    <t>内容</t>
  </si>
  <si>
    <t>下月(N)预计金额</t>
  </si>
  <si>
    <t>N+1月预计金额</t>
  </si>
  <si>
    <t>N+2月预计金额</t>
  </si>
  <si>
    <t>N+3月预计金额</t>
  </si>
  <si>
    <t>累计金额</t>
  </si>
  <si>
    <t>累计实际支出金额</t>
  </si>
  <si>
    <t>应扣金额</t>
  </si>
  <si>
    <t>应扣未扣金额</t>
  </si>
  <si>
    <t>收工程款(预计)</t>
  </si>
  <si>
    <t>付工程款</t>
  </si>
  <si>
    <t>/</t>
  </si>
  <si>
    <t>收工程款(可用资金)</t>
  </si>
  <si>
    <t>6-1</t>
  </si>
  <si>
    <t xml:space="preserve">   另：进项税额</t>
  </si>
  <si>
    <t>1-1</t>
  </si>
  <si>
    <t xml:space="preserve">   另：销项税额</t>
  </si>
  <si>
    <t>扣预计目标利润</t>
  </si>
  <si>
    <t>收安全文明标化费用</t>
  </si>
  <si>
    <t>扣配资资金占用费</t>
  </si>
  <si>
    <t>收保证金</t>
  </si>
  <si>
    <t>扣税金</t>
  </si>
  <si>
    <t>银行现金</t>
  </si>
  <si>
    <t>公司配资</t>
  </si>
  <si>
    <t>归还公司配资款</t>
  </si>
  <si>
    <t>银行承兑</t>
  </si>
  <si>
    <t>其他收款</t>
  </si>
  <si>
    <t>其他扣款</t>
  </si>
  <si>
    <t>专户支付</t>
  </si>
  <si>
    <t>收入小计</t>
  </si>
  <si>
    <t>支出小计</t>
  </si>
  <si>
    <t>本期本项目可用资金额度：</t>
  </si>
  <si>
    <t>（其中专户：</t>
  </si>
  <si>
    <t>基本户</t>
  </si>
  <si>
    <t>配资额度：0）</t>
  </si>
  <si>
    <t>已付款信息</t>
  </si>
  <si>
    <t>供应商名称</t>
  </si>
  <si>
    <t>合同编号</t>
  </si>
  <si>
    <t>合同金额</t>
  </si>
  <si>
    <t>合同分类</t>
  </si>
  <si>
    <t>合同内容</t>
  </si>
  <si>
    <t>合同付款条件</t>
  </si>
  <si>
    <t>累计开票金额</t>
  </si>
  <si>
    <t>累计结算金额</t>
  </si>
  <si>
    <t>累计挂账金额</t>
  </si>
  <si>
    <t>付款比例</t>
  </si>
  <si>
    <t>累计结算应支付金额</t>
  </si>
  <si>
    <t>累计已付款</t>
  </si>
  <si>
    <t>累计未付款</t>
  </si>
  <si>
    <t>24年第一季度累计已付款（承兑）</t>
  </si>
  <si>
    <t>25年第一季度累计已付款（现金）</t>
  </si>
  <si>
    <t>下月（N）计划支付</t>
  </si>
  <si>
    <t>N+1月计划支付</t>
  </si>
  <si>
    <t>N+2月计划支付</t>
  </si>
  <si>
    <t>N+3月计划支付</t>
  </si>
  <si>
    <t>本月计划付款方式（银行转账、承兑、专户）</t>
  </si>
  <si>
    <t>中国太平洋财产保险股份有限公司绵阳中心支公司</t>
  </si>
  <si>
    <t>履约保函</t>
  </si>
  <si>
    <t>其他费用</t>
  </si>
  <si>
    <t>安全生产责任险</t>
  </si>
  <si>
    <t>绵阳婧新军机械租赁有限公司</t>
  </si>
  <si>
    <t>分包</t>
  </si>
  <si>
    <t>土方</t>
  </si>
  <si>
    <t>绵阳名销新材料有限公司</t>
  </si>
  <si>
    <t>采购</t>
  </si>
  <si>
    <t>综合性材料</t>
  </si>
  <si>
    <t>中国建筑西南勘察设计研究院有限公司</t>
  </si>
  <si>
    <t>桩基补充协议</t>
  </si>
  <si>
    <t>四川九洲汉地绿色建材有限责任公司（钢材）</t>
  </si>
  <si>
    <t>JZJG-GYY（113/114）-2022-CG-01(N)</t>
  </si>
  <si>
    <t>钢材</t>
  </si>
  <si>
    <t>JZJG-GYY（113/114）-2022-CG-01(N)补01</t>
  </si>
  <si>
    <t>钢材补充协议</t>
  </si>
  <si>
    <t>绵阳科技城中科人才服务有限公司</t>
  </si>
  <si>
    <t>劳务</t>
  </si>
  <si>
    <t>劳务费</t>
  </si>
  <si>
    <t>服务管理费</t>
  </si>
  <si>
    <t>绵阳市弘顺建筑设备租赁有限公司</t>
  </si>
  <si>
    <t>租赁</t>
  </si>
  <si>
    <t>塔吊</t>
  </si>
  <si>
    <t>100%/60%</t>
  </si>
  <si>
    <t>绵阳市自强地基有限责任公司</t>
  </si>
  <si>
    <t>旋挖桩</t>
  </si>
  <si>
    <t>四川畅潇广告装饰有限公司</t>
  </si>
  <si>
    <t>广告</t>
  </si>
  <si>
    <t>四川九洲汉地绿色建材有限责任公司(商砼）</t>
  </si>
  <si>
    <t>商砼</t>
  </si>
  <si>
    <t>四川九洲汉地绿色建材有限责任公司（商砼）</t>
  </si>
  <si>
    <t>JZJG-GYY（113/114）-2022-CG-01(N)（补）01</t>
  </si>
  <si>
    <t>商砼补充协议</t>
  </si>
  <si>
    <t>四川朋茂供应链管理有限公司</t>
  </si>
  <si>
    <t>JZJG-GYY（113/114）-2023-CG-03(N)</t>
  </si>
  <si>
    <t>模板</t>
  </si>
  <si>
    <t>四川德业电子科技有限公司</t>
  </si>
  <si>
    <t>JZJG-GYY（113/114）-2022-ZL-02(N)</t>
  </si>
  <si>
    <t>安全预警监测</t>
  </si>
  <si>
    <t>100%/97%</t>
  </si>
  <si>
    <t>四川九洲后勤服务有限责任公司</t>
  </si>
  <si>
    <t>JZJG-GYY（113/114）-2023-CGF-02(N)</t>
  </si>
  <si>
    <t>安保服务</t>
  </si>
  <si>
    <t>四川创享创筑商贸有限公司</t>
  </si>
  <si>
    <t>砂石水泥砖</t>
  </si>
  <si>
    <t>四川裕腾佳润建筑工程机械租赁有限公司</t>
  </si>
  <si>
    <t>零星机械租赁</t>
  </si>
  <si>
    <t>四川武申市政工程有限公司</t>
  </si>
  <si>
    <t>车行道（匠心路）</t>
  </si>
  <si>
    <t>绵阳市金原建筑设备租赁有限公司</t>
  </si>
  <si>
    <t>周材租赁</t>
  </si>
  <si>
    <t>四川恩普源防水保温工程有限公司</t>
  </si>
  <si>
    <t>防水</t>
  </si>
  <si>
    <t>四川煜祥利安建设工程有限公司</t>
  </si>
  <si>
    <t>5#-112#厂房连廊</t>
  </si>
  <si>
    <t xml:space="preserve">四川虹玖机电工程有限公司 </t>
  </si>
  <si>
    <t>JZJG-GYY（113/114）-ZYF-2023-12(N)</t>
  </si>
  <si>
    <t>空调</t>
  </si>
  <si>
    <t>四川省威正建筑工程有限公司</t>
  </si>
  <si>
    <t>113#-114#钢结构连廊</t>
  </si>
  <si>
    <t>四川省江油市新华建筑工程有限公司</t>
  </si>
  <si>
    <t>114#安装</t>
  </si>
  <si>
    <t>四川普力诺建设工程有限公司</t>
  </si>
  <si>
    <t>金属一体板</t>
  </si>
  <si>
    <t>四川沃克斯电梯有限公司</t>
  </si>
  <si>
    <t>电梯</t>
  </si>
  <si>
    <t>绵阳承林建筑材料有限公司</t>
  </si>
  <si>
    <t>零星材料（采购）</t>
  </si>
  <si>
    <t>四川玖鑫中安防火门窗有限公司</t>
  </si>
  <si>
    <t>JZJG-GYY(113/114)-CG-2023-07(N)</t>
  </si>
  <si>
    <t>卷帘门及防火门（采购）</t>
  </si>
  <si>
    <t>四川吉钦建材销售有限公司</t>
  </si>
  <si>
    <t>JZJG-GYY（113/114）-CG-2023-08(N)</t>
  </si>
  <si>
    <t>墙地砖（采购）</t>
  </si>
  <si>
    <t>四川宸铭华翔建筑工程有限公司</t>
  </si>
  <si>
    <t>屋面加固（分包）</t>
  </si>
  <si>
    <t>四川正宝实业有限公司</t>
  </si>
  <si>
    <t>天棚吊顶工程（分包）</t>
  </si>
  <si>
    <t>涂料、外墙保温（分包）</t>
  </si>
  <si>
    <t>四川耀格建设工程质量检测有限公司</t>
  </si>
  <si>
    <t>质量检测</t>
  </si>
  <si>
    <t>四川丰安建业建设工程有限公司</t>
  </si>
  <si>
    <t>JZJG-GYY（113/114）-ZYF-2023-08(N)</t>
  </si>
  <si>
    <t>113消防</t>
  </si>
  <si>
    <t>四川精诚鑫山建筑工程有限公司</t>
  </si>
  <si>
    <t>113水电</t>
  </si>
  <si>
    <t>园林绿化（分包）</t>
  </si>
  <si>
    <t>四川帝顺建筑工程有限公司</t>
  </si>
  <si>
    <t>JZJG-GYY（113/114）-2022-ZYF-03(N)</t>
  </si>
  <si>
    <t>匠心路人行道施工（分包）</t>
  </si>
  <si>
    <t>绵阳力森新材料有限公司</t>
  </si>
  <si>
    <t>JZJG-GYY（113/114）-2022-CG-04(N)</t>
  </si>
  <si>
    <t>预拌砂浆（采购）</t>
  </si>
  <si>
    <t>四川富强装饰工程有限公司</t>
  </si>
  <si>
    <t>JZJG-GYY（113/114）-ZYF-2023-20(N)</t>
  </si>
  <si>
    <t>防火玻璃隔断及厕所隔断（分包）</t>
  </si>
  <si>
    <t>四川九洲电器集团有限责任公司</t>
  </si>
  <si>
    <t>JZJG-GYY（113/114）-ZYF-2023-21(N)</t>
  </si>
  <si>
    <t>登车桥（分包）</t>
  </si>
  <si>
    <t>四川宝利通智能科技有限责任公司</t>
  </si>
  <si>
    <t>JZJG-GYY（113/114）-CG-2023-09(N)</t>
  </si>
  <si>
    <t>抗震支架（采购）</t>
  </si>
  <si>
    <t>四川顺安通建筑设备有限责任公司</t>
  </si>
  <si>
    <t>施工电梯（租赁）</t>
  </si>
  <si>
    <t>四川华核送变电工程有限公司</t>
  </si>
  <si>
    <t>JZJG-GYY（113/114）-ZYF-2023-14(N)</t>
  </si>
  <si>
    <t>室内外高压（分包）</t>
  </si>
  <si>
    <t>四川泊联建设工程有限公司</t>
  </si>
  <si>
    <t>JZJG-GYY（113/114）-ZYF-2023-19(N)</t>
  </si>
  <si>
    <t>地坪施工（分包）</t>
  </si>
  <si>
    <t>四川九洲视讯科技有限责任公司</t>
  </si>
  <si>
    <t xml:space="preserve"> JZJG-GYY（113/114）-ZYF-2023-18(N)</t>
  </si>
  <si>
    <t>弱电（分包）</t>
  </si>
  <si>
    <t>四川众圣建设工程有限公司</t>
  </si>
  <si>
    <t>沥青道路（分包）</t>
  </si>
  <si>
    <t>四川九洲线缆有限责任公司</t>
  </si>
  <si>
    <t xml:space="preserve"> JZJG-GYY（113/114）-CG-2024-02(N)</t>
  </si>
  <si>
    <t>线缆（采购）</t>
  </si>
  <si>
    <t>四川九洲光电科技股份有限公司</t>
  </si>
  <si>
    <t xml:space="preserve"> JZJG-GYY（113/114）-CG-2024-01(N)</t>
  </si>
  <si>
    <t>灯具（采购）</t>
  </si>
  <si>
    <t>JZJG-GYY（113/114）-ZL-2024-01(N)</t>
  </si>
  <si>
    <t>房屋租赁</t>
  </si>
  <si>
    <t>JZJG-GYY（113/114）-CGF-2024-01(N)</t>
  </si>
  <si>
    <t>租房物业</t>
  </si>
  <si>
    <t>合     计</t>
  </si>
  <si>
    <t>本次资金计划节余额（本次实际可用资金-本次支付金额）：</t>
  </si>
  <si>
    <t>基本户：</t>
  </si>
  <si>
    <t>可用配资余额：0）</t>
  </si>
  <si>
    <t xml:space="preserve">填表说明：1、此表于每月30日（遇节假日提前）完成填写；
        2、“已付款信息”为项目开工至填报月已实际支付的合同情况（未签订合同但有实际支付的需按大类汇总报）；
        3、项目可用资金额度=计划内垫资金额+累计收款金额-累计付款金额（含供应商付款、各项保证金、税金（预缴）、费用、资金占用费等）-累计向公司上交的目标利润-按计划归还公司垫资金额
        4、名词解释：①收工程款(预计)：项目下月收到工程款金额（数据可靠性≥50%）；②收工程款(可用资金)：项目下月收到的工程款金额中，符合规定的民工工资、钢材的可当月收款当月支付的工程款金额；
                   ③付工程款：项目上月可用于支付的资金，以及符合规定的民工工资、钢材的可当月收款当月支付的工程款金额。④累计开票金额：供应商已开发票送达公司财务挂账和已开票未送达公司财务挂账的合计金额
</t>
  </si>
  <si>
    <t>附件3：</t>
  </si>
  <si>
    <t>资金计划调整审批表</t>
  </si>
  <si>
    <t>单位：元</t>
  </si>
  <si>
    <t>申请项目</t>
  </si>
  <si>
    <t>上马·观花湖畔项目</t>
  </si>
  <si>
    <t>月度计划核定金额</t>
  </si>
  <si>
    <t>计划调整金额</t>
  </si>
  <si>
    <t>.</t>
  </si>
  <si>
    <t>项目/部门负责人意见</t>
  </si>
  <si>
    <t>财务部审核意见</t>
  </si>
  <si>
    <t>副总经理审核意见</t>
  </si>
  <si>
    <t>总经理审批意见</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</si>
</sst>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_);[Red]\(0.00\)"/>
    <numFmt numFmtId="178" formatCode="#,##0.00_ "/>
  </numFmts>
  <fonts count="44">
    <font>
      <sz val="11"/>
      <color theme="1"/>
      <name val="宋体"/>
      <charset val="134"/>
      <scheme val="minor"/>
    </font>
    <font>
      <b/>
      <sz val="20"/>
      <color theme="1"/>
      <name val="黑体"/>
      <charset val="134"/>
    </font>
    <font>
      <sz val="14"/>
      <color theme="1"/>
      <name val="宋体"/>
      <charset val="134"/>
      <scheme val="minor"/>
    </font>
    <font>
      <sz val="14"/>
      <color theme="1"/>
      <name val="仿宋"/>
      <charset val="134"/>
    </font>
    <font>
      <sz val="14"/>
      <name val="仿宋"/>
      <charset val="134"/>
    </font>
    <font>
      <sz val="11"/>
      <name val="宋体"/>
      <charset val="134"/>
      <scheme val="minor"/>
    </font>
    <font>
      <b/>
      <sz val="11"/>
      <name val="宋体"/>
      <charset val="134"/>
    </font>
    <font>
      <sz val="11"/>
      <name val="宋体"/>
      <charset val="134"/>
    </font>
    <font>
      <b/>
      <i/>
      <sz val="11"/>
      <name val="宋体"/>
      <charset val="134"/>
    </font>
    <font>
      <b/>
      <sz val="14"/>
      <name val="宋体"/>
      <charset val="134"/>
    </font>
    <font>
      <b/>
      <sz val="12"/>
      <name val="宋体"/>
      <charset val="134"/>
    </font>
    <font>
      <b/>
      <sz val="10"/>
      <name val="宋体"/>
      <charset val="134"/>
    </font>
    <font>
      <b/>
      <sz val="14"/>
      <name val="宋体"/>
      <charset val="134"/>
      <scheme val="minor"/>
    </font>
    <font>
      <sz val="14"/>
      <name val="宋体"/>
      <charset val="134"/>
      <scheme val="minor"/>
    </font>
    <font>
      <sz val="12"/>
      <name val="宋体"/>
      <charset val="134"/>
    </font>
    <font>
      <sz val="18"/>
      <name val="宋体"/>
      <charset val="134"/>
    </font>
    <font>
      <sz val="14"/>
      <name val="宋体"/>
      <charset val="134"/>
    </font>
    <font>
      <b/>
      <sz val="20"/>
      <name val="方正小标宋简体"/>
      <charset val="134"/>
    </font>
    <font>
      <b/>
      <sz val="18"/>
      <name val="宋体"/>
      <charset val="134"/>
    </font>
    <font>
      <b/>
      <sz val="16"/>
      <color indexed="8"/>
      <name val="宋体"/>
      <charset val="134"/>
    </font>
    <font>
      <sz val="14"/>
      <color rgb="FFFF0000"/>
      <name val="宋体"/>
      <charset val="134"/>
    </font>
    <font>
      <b/>
      <sz val="16"/>
      <name val="宋体"/>
      <charset val="134"/>
    </font>
    <font>
      <sz val="16"/>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2" borderId="24"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5" applyNumberFormat="0" applyFill="0" applyAlignment="0" applyProtection="0">
      <alignment vertical="center"/>
    </xf>
    <xf numFmtId="0" fontId="29" fillId="0" borderId="25" applyNumberFormat="0" applyFill="0" applyAlignment="0" applyProtection="0">
      <alignment vertical="center"/>
    </xf>
    <xf numFmtId="0" fontId="30" fillId="0" borderId="26" applyNumberFormat="0" applyFill="0" applyAlignment="0" applyProtection="0">
      <alignment vertical="center"/>
    </xf>
    <xf numFmtId="0" fontId="30" fillId="0" borderId="0" applyNumberFormat="0" applyFill="0" applyBorder="0" applyAlignment="0" applyProtection="0">
      <alignment vertical="center"/>
    </xf>
    <xf numFmtId="0" fontId="31" fillId="3" borderId="27" applyNumberFormat="0" applyAlignment="0" applyProtection="0">
      <alignment vertical="center"/>
    </xf>
    <xf numFmtId="0" fontId="32" fillId="4" borderId="28" applyNumberFormat="0" applyAlignment="0" applyProtection="0">
      <alignment vertical="center"/>
    </xf>
    <xf numFmtId="0" fontId="33" fillId="4" borderId="27" applyNumberFormat="0" applyAlignment="0" applyProtection="0">
      <alignment vertical="center"/>
    </xf>
    <xf numFmtId="0" fontId="34" fillId="5" borderId="29" applyNumberFormat="0" applyAlignment="0" applyProtection="0">
      <alignment vertical="center"/>
    </xf>
    <xf numFmtId="0" fontId="35" fillId="0" borderId="30" applyNumberFormat="0" applyFill="0" applyAlignment="0" applyProtection="0">
      <alignment vertical="center"/>
    </xf>
    <xf numFmtId="0" fontId="36" fillId="0" borderId="31" applyNumberFormat="0" applyFill="0" applyAlignment="0" applyProtection="0">
      <alignment vertical="center"/>
    </xf>
    <xf numFmtId="0" fontId="37" fillId="6" borderId="0" applyNumberFormat="0" applyBorder="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1"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0" fillId="0" borderId="0">
      <alignment vertical="center"/>
    </xf>
  </cellStyleXfs>
  <cellXfs count="169">
    <xf numFmtId="0" fontId="0" fillId="0" borderId="0" xfId="0">
      <alignment vertical="center"/>
    </xf>
    <xf numFmtId="0" fontId="0" fillId="0" borderId="0" xfId="0" applyFill="1" applyBorder="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3" fillId="0" borderId="0" xfId="0" applyFont="1" applyFill="1" applyBorder="1" applyAlignment="1">
      <alignment horizontal="justify" vertical="center"/>
    </xf>
    <xf numFmtId="0" fontId="3" fillId="0" borderId="0" xfId="0" applyFont="1" applyFill="1" applyBorder="1" applyAlignment="1">
      <alignment horizontal="center" vertical="center"/>
    </xf>
    <xf numFmtId="0" fontId="3" fillId="0" borderId="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4" fillId="0" borderId="4"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5" fillId="0" borderId="0" xfId="0" applyFont="1" applyFill="1" applyBorder="1" applyAlignment="1"/>
    <xf numFmtId="0" fontId="6" fillId="0" borderId="0" xfId="0" applyFont="1" applyFill="1" applyBorder="1" applyAlignment="1">
      <alignment horizontal="center" vertical="center" wrapText="1"/>
    </xf>
    <xf numFmtId="0" fontId="7" fillId="0" borderId="0" xfId="0" applyFont="1" applyFill="1" applyBorder="1" applyAlignment="1">
      <alignment horizontal="center"/>
    </xf>
    <xf numFmtId="0" fontId="6" fillId="0" borderId="0" xfId="0" applyFont="1" applyFill="1" applyBorder="1" applyAlignment="1">
      <alignment horizontal="center"/>
    </xf>
    <xf numFmtId="9" fontId="6" fillId="0" borderId="0" xfId="3" applyFont="1" applyFill="1" applyAlignment="1">
      <alignment horizontal="center" vertical="center"/>
    </xf>
    <xf numFmtId="0" fontId="6" fillId="0" borderId="0" xfId="0" applyFont="1" applyFill="1" applyAlignment="1">
      <alignment horizontal="center"/>
    </xf>
    <xf numFmtId="0" fontId="6" fillId="0" borderId="0" xfId="0" applyFont="1" applyFill="1" applyBorder="1" applyAlignment="1">
      <alignment horizontal="center" vertical="center"/>
    </xf>
    <xf numFmtId="0" fontId="6" fillId="0" borderId="13" xfId="0" applyFont="1" applyFill="1" applyBorder="1" applyAlignment="1">
      <alignment horizontal="center" vertical="center" wrapText="1"/>
    </xf>
    <xf numFmtId="0" fontId="6" fillId="0" borderId="4" xfId="0" applyFont="1" applyFill="1" applyBorder="1" applyAlignment="1">
      <alignment horizontal="center" vertical="center"/>
    </xf>
    <xf numFmtId="0" fontId="7" fillId="0" borderId="4"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4" xfId="0" applyFont="1" applyFill="1" applyBorder="1" applyAlignment="1">
      <alignment horizontal="center" vertical="center" wrapText="1"/>
    </xf>
    <xf numFmtId="0" fontId="6" fillId="0" borderId="4"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176" fontId="6" fillId="0" borderId="3" xfId="0" applyNumberFormat="1" applyFont="1" applyFill="1" applyBorder="1" applyAlignment="1">
      <alignment horizontal="center" vertical="center" wrapText="1"/>
    </xf>
    <xf numFmtId="176" fontId="6" fillId="0" borderId="2" xfId="0" applyNumberFormat="1" applyFont="1" applyFill="1" applyBorder="1" applyAlignment="1">
      <alignment horizontal="center" vertical="center" wrapText="1"/>
    </xf>
    <xf numFmtId="0" fontId="6" fillId="0" borderId="13" xfId="0" applyFont="1" applyFill="1" applyBorder="1" applyAlignment="1">
      <alignment horizontal="center" vertical="center"/>
    </xf>
    <xf numFmtId="49" fontId="6" fillId="0" borderId="5" xfId="0" applyNumberFormat="1" applyFont="1" applyFill="1" applyBorder="1" applyAlignment="1">
      <alignment horizontal="center" vertical="center" wrapText="1"/>
    </xf>
    <xf numFmtId="49" fontId="6" fillId="0" borderId="6"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43" fontId="6" fillId="0" borderId="6" xfId="0" applyNumberFormat="1" applyFont="1" applyFill="1" applyBorder="1" applyAlignment="1">
      <alignment horizontal="center" vertical="center" wrapText="1"/>
    </xf>
    <xf numFmtId="0" fontId="6" fillId="0" borderId="15" xfId="0" applyFont="1" applyFill="1" applyBorder="1" applyAlignment="1">
      <alignment horizontal="center" vertical="center"/>
    </xf>
    <xf numFmtId="49" fontId="6" fillId="0" borderId="9" xfId="0" applyNumberFormat="1" applyFont="1" applyFill="1" applyBorder="1" applyAlignment="1">
      <alignment horizontal="center" vertical="center" wrapText="1"/>
    </xf>
    <xf numFmtId="49" fontId="6" fillId="0" borderId="10"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43" fontId="6" fillId="0" borderId="10" xfId="0" applyNumberFormat="1" applyFont="1" applyFill="1" applyBorder="1" applyAlignment="1">
      <alignment horizontal="center" vertical="center" wrapText="1"/>
    </xf>
    <xf numFmtId="0" fontId="6" fillId="0" borderId="15" xfId="0" applyFont="1" applyFill="1" applyBorder="1" applyAlignment="1">
      <alignment horizontal="center" vertical="center" wrapText="1"/>
    </xf>
    <xf numFmtId="176" fontId="7" fillId="0" borderId="1" xfId="0" applyNumberFormat="1" applyFont="1" applyFill="1" applyBorder="1" applyAlignment="1">
      <alignment horizontal="center" vertical="center"/>
    </xf>
    <xf numFmtId="176" fontId="7" fillId="0" borderId="2" xfId="0" applyNumberFormat="1" applyFont="1" applyFill="1" applyBorder="1" applyAlignment="1">
      <alignment horizontal="center" vertical="center"/>
    </xf>
    <xf numFmtId="9" fontId="6" fillId="0" borderId="1" xfId="0" applyNumberFormat="1" applyFont="1" applyFill="1" applyBorder="1" applyAlignment="1">
      <alignment horizontal="center" vertical="center"/>
    </xf>
    <xf numFmtId="9" fontId="6" fillId="0" borderId="2" xfId="0" applyNumberFormat="1" applyFont="1" applyFill="1" applyBorder="1" applyAlignment="1">
      <alignment horizontal="center" vertical="center"/>
    </xf>
    <xf numFmtId="177" fontId="6" fillId="0" borderId="4" xfId="0" applyNumberFormat="1" applyFont="1" applyFill="1" applyBorder="1" applyAlignment="1">
      <alignment horizontal="center" vertical="center" wrapText="1"/>
    </xf>
    <xf numFmtId="4" fontId="7" fillId="0" borderId="1"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177" fontId="6" fillId="0" borderId="4" xfId="0" applyNumberFormat="1" applyFont="1" applyFill="1" applyBorder="1" applyAlignment="1">
      <alignment horizontal="center" vertical="center"/>
    </xf>
    <xf numFmtId="178" fontId="6" fillId="0" borderId="4" xfId="0" applyNumberFormat="1" applyFont="1" applyFill="1" applyBorder="1" applyAlignment="1">
      <alignment horizontal="center" vertical="center" wrapText="1"/>
    </xf>
    <xf numFmtId="176" fontId="6" fillId="0" borderId="4"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0" fontId="7" fillId="0" borderId="4"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6" xfId="0" applyNumberFormat="1" applyFont="1" applyFill="1" applyBorder="1" applyAlignment="1">
      <alignment horizontal="center" vertical="center"/>
    </xf>
    <xf numFmtId="43" fontId="6" fillId="0" borderId="17" xfId="0" applyNumberFormat="1" applyFont="1" applyFill="1" applyBorder="1" applyAlignment="1">
      <alignment horizontal="center" vertical="center"/>
    </xf>
    <xf numFmtId="43" fontId="6" fillId="0" borderId="16"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wrapText="1"/>
    </xf>
    <xf numFmtId="43" fontId="6" fillId="0" borderId="16" xfId="0" applyNumberFormat="1" applyFont="1" applyFill="1" applyBorder="1" applyAlignment="1">
      <alignment vertical="center"/>
    </xf>
    <xf numFmtId="0" fontId="6" fillId="0" borderId="1" xfId="0" applyFont="1" applyFill="1" applyBorder="1" applyAlignment="1">
      <alignment horizontal="center" vertical="center" wrapText="1"/>
    </xf>
    <xf numFmtId="9" fontId="6" fillId="0" borderId="4" xfId="0" applyNumberFormat="1" applyFont="1" applyFill="1" applyBorder="1" applyAlignment="1">
      <alignment horizontal="center" vertical="center" wrapText="1"/>
    </xf>
    <xf numFmtId="176" fontId="6" fillId="0" borderId="4" xfId="0" applyNumberFormat="1" applyFont="1" applyFill="1" applyBorder="1" applyAlignment="1">
      <alignment horizontal="center" vertical="center"/>
    </xf>
    <xf numFmtId="9" fontId="6" fillId="0" borderId="4" xfId="0" applyNumberFormat="1" applyFont="1" applyFill="1" applyBorder="1" applyAlignment="1">
      <alignment horizontal="center" vertical="center"/>
    </xf>
    <xf numFmtId="0" fontId="6" fillId="0" borderId="4" xfId="49" applyFont="1" applyFill="1" applyBorder="1" applyAlignment="1">
      <alignment horizontal="center" vertical="center" wrapText="1"/>
    </xf>
    <xf numFmtId="176" fontId="6" fillId="0" borderId="13" xfId="0" applyNumberFormat="1" applyFont="1" applyFill="1" applyBorder="1" applyAlignment="1">
      <alignment horizontal="center" vertical="center"/>
    </xf>
    <xf numFmtId="176" fontId="6" fillId="0" borderId="15" xfId="0" applyNumberFormat="1" applyFont="1" applyFill="1" applyBorder="1" applyAlignment="1">
      <alignment horizontal="center" vertical="center"/>
    </xf>
    <xf numFmtId="0" fontId="8" fillId="0" borderId="4" xfId="0" applyFont="1" applyFill="1" applyBorder="1" applyAlignment="1">
      <alignment horizontal="center" vertical="center" wrapText="1"/>
    </xf>
    <xf numFmtId="176" fontId="6" fillId="0" borderId="9" xfId="0" applyNumberFormat="1" applyFont="1" applyFill="1" applyBorder="1" applyAlignment="1">
      <alignment horizontal="center" vertical="center"/>
    </xf>
    <xf numFmtId="176" fontId="6" fillId="0" borderId="4" xfId="0" applyNumberFormat="1" applyFont="1" applyFill="1" applyBorder="1" applyAlignment="1">
      <alignment vertical="center"/>
    </xf>
    <xf numFmtId="9" fontId="6" fillId="0" borderId="4" xfId="0" applyNumberFormat="1" applyFont="1" applyFill="1" applyBorder="1" applyAlignment="1" applyProtection="1">
      <alignment horizontal="center" vertical="center"/>
    </xf>
    <xf numFmtId="0" fontId="6" fillId="0" borderId="0" xfId="0" applyFont="1" applyFill="1" applyAlignment="1">
      <alignment horizontal="center" vertical="center"/>
    </xf>
    <xf numFmtId="9" fontId="6" fillId="0" borderId="4" xfId="3" applyFont="1" applyFill="1" applyBorder="1" applyAlignment="1">
      <alignment horizontal="center" vertical="center"/>
    </xf>
    <xf numFmtId="43" fontId="6" fillId="0" borderId="4" xfId="0" applyNumberFormat="1" applyFont="1" applyFill="1" applyBorder="1" applyAlignment="1">
      <alignment horizontal="center" vertical="center" wrapText="1"/>
    </xf>
    <xf numFmtId="9" fontId="6" fillId="0" borderId="4" xfId="3" applyFont="1" applyFill="1" applyBorder="1" applyAlignment="1">
      <alignment horizontal="center" vertical="center" wrapText="1"/>
    </xf>
    <xf numFmtId="178" fontId="7" fillId="0" borderId="4" xfId="0" applyNumberFormat="1" applyFont="1" applyFill="1" applyBorder="1" applyAlignment="1">
      <alignment horizontal="center" vertical="center" wrapText="1"/>
    </xf>
    <xf numFmtId="43" fontId="6" fillId="0" borderId="5" xfId="0" applyNumberFormat="1" applyFont="1" applyFill="1" applyBorder="1" applyAlignment="1">
      <alignment horizontal="center" vertical="center" wrapText="1"/>
    </xf>
    <xf numFmtId="9" fontId="6" fillId="0" borderId="11" xfId="3" applyFont="1" applyFill="1" applyBorder="1" applyAlignment="1">
      <alignment horizontal="center" vertical="center" wrapText="1"/>
    </xf>
    <xf numFmtId="43" fontId="6" fillId="0" borderId="11" xfId="0" applyNumberFormat="1" applyFont="1" applyFill="1" applyBorder="1" applyAlignment="1">
      <alignment horizontal="center" vertical="center" wrapText="1"/>
    </xf>
    <xf numFmtId="43" fontId="6" fillId="0" borderId="9" xfId="0" applyNumberFormat="1" applyFont="1" applyFill="1" applyBorder="1" applyAlignment="1">
      <alignment horizontal="center" vertical="center" wrapText="1"/>
    </xf>
    <xf numFmtId="9" fontId="6" fillId="0" borderId="12" xfId="3" applyFont="1" applyFill="1" applyBorder="1" applyAlignment="1">
      <alignment horizontal="center" vertical="center" wrapText="1"/>
    </xf>
    <xf numFmtId="43" fontId="6" fillId="0" borderId="12" xfId="0" applyNumberFormat="1" applyFont="1" applyFill="1" applyBorder="1" applyAlignment="1">
      <alignment horizontal="center" vertical="center" wrapText="1"/>
    </xf>
    <xf numFmtId="9" fontId="6" fillId="0" borderId="5" xfId="0" applyNumberFormat="1" applyFont="1" applyFill="1" applyBorder="1" applyAlignment="1">
      <alignment horizontal="center" vertical="center"/>
    </xf>
    <xf numFmtId="9" fontId="6" fillId="0" borderId="11" xfId="3" applyFont="1" applyFill="1" applyBorder="1" applyAlignment="1">
      <alignment horizontal="center" vertical="center"/>
    </xf>
    <xf numFmtId="9" fontId="6" fillId="0" borderId="11" xfId="0" applyNumberFormat="1" applyFont="1" applyFill="1" applyBorder="1" applyAlignment="1">
      <alignment horizontal="center" vertical="center"/>
    </xf>
    <xf numFmtId="0" fontId="6" fillId="0" borderId="4" xfId="0" applyFont="1" applyFill="1" applyBorder="1" applyAlignment="1">
      <alignment horizontal="center"/>
    </xf>
    <xf numFmtId="43" fontId="6" fillId="0" borderId="18" xfId="0" applyNumberFormat="1" applyFont="1" applyFill="1" applyBorder="1" applyAlignment="1">
      <alignment horizontal="center" vertical="center"/>
    </xf>
    <xf numFmtId="9" fontId="6" fillId="0" borderId="12" xfId="3" applyFont="1" applyFill="1" applyBorder="1" applyAlignment="1">
      <alignment horizontal="center" vertical="center"/>
    </xf>
    <xf numFmtId="0" fontId="6" fillId="0" borderId="12" xfId="0" applyFont="1" applyFill="1" applyBorder="1" applyAlignment="1">
      <alignment horizontal="center" vertical="center"/>
    </xf>
    <xf numFmtId="176" fontId="6" fillId="0" borderId="10" xfId="1" applyNumberFormat="1" applyFont="1" applyFill="1" applyBorder="1" applyAlignment="1">
      <alignment vertical="center" wrapText="1"/>
    </xf>
    <xf numFmtId="176" fontId="6" fillId="0" borderId="4" xfId="0" applyNumberFormat="1" applyFont="1" applyFill="1" applyBorder="1" applyAlignment="1">
      <alignment vertical="center" wrapText="1"/>
    </xf>
    <xf numFmtId="176" fontId="6" fillId="0" borderId="4" xfId="1" applyNumberFormat="1" applyFont="1" applyFill="1" applyBorder="1" applyAlignment="1">
      <alignment vertical="center" wrapText="1"/>
    </xf>
    <xf numFmtId="176" fontId="6" fillId="0" borderId="13" xfId="0" applyNumberFormat="1" applyFont="1" applyFill="1" applyBorder="1" applyAlignment="1">
      <alignment vertical="center"/>
    </xf>
    <xf numFmtId="176" fontId="6" fillId="0" borderId="15" xfId="0" applyNumberFormat="1" applyFont="1" applyFill="1" applyBorder="1" applyAlignment="1">
      <alignment vertical="center"/>
    </xf>
    <xf numFmtId="176" fontId="6" fillId="0" borderId="4" xfId="1" applyNumberFormat="1" applyFont="1" applyFill="1" applyBorder="1" applyAlignment="1">
      <alignment horizontal="center" vertical="center" wrapText="1"/>
    </xf>
    <xf numFmtId="9" fontId="6" fillId="0" borderId="4" xfId="3" applyFont="1" applyFill="1" applyBorder="1" applyAlignment="1" applyProtection="1">
      <alignment horizontal="center" vertical="center"/>
    </xf>
    <xf numFmtId="9" fontId="6" fillId="0" borderId="3" xfId="0" applyNumberFormat="1" applyFont="1" applyFill="1" applyBorder="1" applyAlignment="1">
      <alignment horizontal="center" vertical="center"/>
    </xf>
    <xf numFmtId="0" fontId="6" fillId="0" borderId="5"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1" xfId="0" applyFont="1" applyFill="1" applyBorder="1" applyAlignment="1">
      <alignment horizontal="center"/>
    </xf>
    <xf numFmtId="0" fontId="6" fillId="0" borderId="12" xfId="0" applyFont="1" applyFill="1" applyBorder="1" applyAlignment="1">
      <alignment horizontal="center"/>
    </xf>
    <xf numFmtId="176" fontId="6" fillId="0" borderId="1" xfId="0" applyNumberFormat="1" applyFont="1" applyFill="1" applyBorder="1" applyAlignment="1">
      <alignment vertical="center"/>
    </xf>
    <xf numFmtId="176" fontId="6" fillId="0" borderId="2" xfId="1" applyNumberFormat="1" applyFont="1" applyFill="1" applyBorder="1" applyAlignment="1">
      <alignment vertical="center" wrapText="1"/>
    </xf>
    <xf numFmtId="43" fontId="6" fillId="0" borderId="4" xfId="1" applyNumberFormat="1" applyFont="1" applyFill="1" applyBorder="1" applyAlignment="1">
      <alignment horizontal="center" vertical="center" wrapText="1"/>
    </xf>
    <xf numFmtId="176" fontId="6" fillId="0" borderId="4" xfId="1" applyNumberFormat="1" applyFont="1" applyFill="1" applyBorder="1" applyAlignment="1">
      <alignment horizontal="right" vertical="center" wrapText="1"/>
    </xf>
    <xf numFmtId="176" fontId="6" fillId="0" borderId="2" xfId="1" applyNumberFormat="1" applyFont="1" applyFill="1" applyBorder="1" applyAlignment="1">
      <alignment horizontal="right" vertical="center" wrapText="1"/>
    </xf>
    <xf numFmtId="176" fontId="6" fillId="0" borderId="19" xfId="0" applyNumberFormat="1" applyFont="1" applyFill="1" applyBorder="1" applyAlignment="1">
      <alignment vertical="center"/>
    </xf>
    <xf numFmtId="0" fontId="9" fillId="0" borderId="0" xfId="0" applyFont="1" applyFill="1" applyBorder="1" applyAlignment="1">
      <alignment horizontal="center" vertical="center"/>
    </xf>
    <xf numFmtId="0" fontId="10" fillId="0" borderId="4" xfId="0" applyFont="1" applyFill="1" applyBorder="1" applyAlignment="1">
      <alignment horizontal="center" vertical="center"/>
    </xf>
    <xf numFmtId="43" fontId="10" fillId="0" borderId="4" xfId="0" applyNumberFormat="1" applyFont="1" applyFill="1" applyBorder="1" applyAlignment="1">
      <alignment horizontal="center" vertical="center" wrapText="1"/>
    </xf>
    <xf numFmtId="43" fontId="10" fillId="0" borderId="11" xfId="0" applyNumberFormat="1" applyFont="1" applyFill="1" applyBorder="1" applyAlignment="1">
      <alignment horizontal="center" vertical="center" wrapText="1"/>
    </xf>
    <xf numFmtId="43" fontId="10" fillId="0" borderId="12" xfId="0" applyNumberFormat="1" applyFont="1" applyFill="1" applyBorder="1" applyAlignment="1">
      <alignment horizontal="center" vertical="center" wrapText="1"/>
    </xf>
    <xf numFmtId="9" fontId="10" fillId="0" borderId="3" xfId="0" applyNumberFormat="1" applyFont="1" applyFill="1" applyBorder="1" applyAlignment="1">
      <alignment horizontal="center" vertical="center"/>
    </xf>
    <xf numFmtId="0" fontId="11" fillId="0" borderId="11" xfId="0" applyFont="1" applyFill="1" applyBorder="1" applyAlignment="1">
      <alignment vertical="center"/>
    </xf>
    <xf numFmtId="0" fontId="11" fillId="0" borderId="12" xfId="0" applyFont="1" applyFill="1" applyBorder="1" applyAlignment="1">
      <alignment vertical="center"/>
    </xf>
    <xf numFmtId="0" fontId="5" fillId="0" borderId="11" xfId="0" applyFont="1" applyFill="1" applyBorder="1" applyAlignment="1"/>
    <xf numFmtId="0" fontId="5" fillId="0" borderId="12" xfId="0" applyFont="1" applyFill="1" applyBorder="1" applyAlignment="1"/>
    <xf numFmtId="0" fontId="11" fillId="0" borderId="12" xfId="0" applyFont="1" applyFill="1" applyBorder="1" applyAlignment="1">
      <alignment horizontal="center" vertical="center"/>
    </xf>
    <xf numFmtId="43" fontId="11" fillId="0" borderId="2" xfId="0" applyNumberFormat="1" applyFont="1" applyFill="1" applyBorder="1" applyAlignment="1">
      <alignment horizontal="center" vertical="center" wrapText="1"/>
    </xf>
    <xf numFmtId="43" fontId="9" fillId="0" borderId="19" xfId="0" applyNumberFormat="1" applyFont="1" applyFill="1" applyBorder="1" applyAlignment="1">
      <alignment horizontal="center" vertical="center"/>
    </xf>
    <xf numFmtId="0" fontId="6" fillId="0" borderId="11" xfId="0" applyFont="1" applyFill="1" applyBorder="1" applyAlignment="1">
      <alignment horizontal="center" vertical="center" wrapText="1"/>
    </xf>
    <xf numFmtId="0" fontId="7" fillId="0" borderId="0" xfId="0" applyFont="1" applyFill="1" applyBorder="1" applyAlignment="1">
      <alignment horizontal="center" vertical="center"/>
    </xf>
    <xf numFmtId="9" fontId="6" fillId="0" borderId="4" xfId="3" applyNumberFormat="1" applyFont="1" applyFill="1" applyBorder="1" applyAlignment="1" applyProtection="1">
      <alignment horizontal="center" vertical="center"/>
    </xf>
    <xf numFmtId="17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43" fontId="9" fillId="0" borderId="20" xfId="0" applyNumberFormat="1" applyFont="1" applyFill="1" applyBorder="1" applyAlignment="1">
      <alignment horizontal="center" vertical="center"/>
    </xf>
    <xf numFmtId="43" fontId="9" fillId="0" borderId="21" xfId="0" applyNumberFormat="1" applyFont="1" applyFill="1" applyBorder="1" applyAlignment="1">
      <alignment horizontal="center" vertical="center"/>
    </xf>
    <xf numFmtId="0" fontId="13" fillId="0" borderId="0" xfId="0" applyFont="1" applyFill="1" applyBorder="1" applyAlignment="1">
      <alignment horizontal="center" vertical="center"/>
    </xf>
    <xf numFmtId="9" fontId="6" fillId="0" borderId="0" xfId="3" applyFont="1" applyFill="1" applyBorder="1" applyAlignment="1">
      <alignment horizontal="center" vertical="center" wrapText="1"/>
    </xf>
    <xf numFmtId="43" fontId="6" fillId="0" borderId="4" xfId="0" applyNumberFormat="1" applyFont="1" applyFill="1" applyBorder="1" applyAlignment="1">
      <alignment horizontal="center" vertical="center"/>
    </xf>
    <xf numFmtId="43" fontId="6" fillId="0" borderId="22" xfId="0" applyNumberFormat="1" applyFont="1" applyFill="1" applyBorder="1" applyAlignment="1">
      <alignment horizontal="center" vertical="center"/>
    </xf>
    <xf numFmtId="43" fontId="11" fillId="0" borderId="2" xfId="1" applyNumberFormat="1" applyFont="1" applyFill="1" applyBorder="1" applyAlignment="1">
      <alignment horizontal="center" vertical="center" wrapText="1"/>
    </xf>
    <xf numFmtId="43" fontId="11" fillId="0" borderId="23" xfId="0" applyNumberFormat="1" applyFont="1" applyFill="1" applyBorder="1" applyAlignment="1">
      <alignment horizontal="left" vertical="center"/>
    </xf>
    <xf numFmtId="0" fontId="11" fillId="0" borderId="11" xfId="0" applyFont="1" applyFill="1" applyBorder="1" applyAlignment="1">
      <alignment horizontal="left" vertical="center" wrapText="1"/>
    </xf>
    <xf numFmtId="0" fontId="11" fillId="0" borderId="0" xfId="0" applyFont="1" applyFill="1" applyBorder="1" applyAlignment="1">
      <alignment vertical="center" wrapText="1"/>
    </xf>
    <xf numFmtId="0" fontId="11" fillId="0" borderId="0" xfId="0" applyFont="1" applyFill="1" applyBorder="1" applyAlignment="1"/>
    <xf numFmtId="0" fontId="14" fillId="0" borderId="0" xfId="0" applyFont="1" applyFill="1" applyBorder="1" applyAlignment="1">
      <alignment vertical="center"/>
    </xf>
    <xf numFmtId="0" fontId="15" fillId="0" borderId="0" xfId="0" applyFont="1" applyFill="1" applyBorder="1" applyAlignment="1">
      <alignment vertical="center"/>
    </xf>
    <xf numFmtId="0" fontId="9" fillId="0" borderId="0" xfId="0" applyFont="1" applyFill="1" applyBorder="1" applyAlignment="1">
      <alignment vertical="center"/>
    </xf>
    <xf numFmtId="178" fontId="14" fillId="0" borderId="0" xfId="1" applyNumberFormat="1" applyFont="1" applyFill="1" applyAlignment="1">
      <alignment horizontal="center" vertical="center"/>
    </xf>
    <xf numFmtId="0" fontId="16" fillId="0" borderId="0" xfId="0" applyFont="1" applyFill="1" applyBorder="1" applyAlignment="1">
      <alignment vertical="center"/>
    </xf>
    <xf numFmtId="178" fontId="14" fillId="0" borderId="0" xfId="1" applyNumberFormat="1" applyFont="1" applyFill="1" applyBorder="1" applyAlignment="1">
      <alignment horizontal="center" vertical="center"/>
    </xf>
    <xf numFmtId="0" fontId="17" fillId="0" borderId="0" xfId="0" applyFont="1" applyFill="1" applyBorder="1" applyAlignment="1">
      <alignment horizontal="center" vertical="center"/>
    </xf>
    <xf numFmtId="0" fontId="18" fillId="0" borderId="4" xfId="0" applyFont="1" applyFill="1" applyBorder="1" applyAlignment="1">
      <alignment horizontal="center" vertical="center"/>
    </xf>
    <xf numFmtId="49" fontId="19" fillId="0" borderId="4"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9" fillId="0" borderId="4" xfId="0" applyFont="1" applyFill="1" applyBorder="1" applyAlignment="1">
      <alignment vertical="center"/>
    </xf>
    <xf numFmtId="178" fontId="16" fillId="0" borderId="4" xfId="1" applyNumberFormat="1" applyFont="1" applyFill="1" applyBorder="1" applyAlignment="1">
      <alignment horizontal="center" vertical="center"/>
    </xf>
    <xf numFmtId="0" fontId="14" fillId="0" borderId="4" xfId="0" applyFont="1" applyFill="1" applyBorder="1" applyAlignment="1">
      <alignment vertical="center"/>
    </xf>
    <xf numFmtId="0" fontId="16" fillId="0" borderId="4" xfId="0" applyFont="1" applyFill="1" applyBorder="1" applyAlignment="1">
      <alignment vertical="center"/>
    </xf>
    <xf numFmtId="4" fontId="16" fillId="0" borderId="4" xfId="1" applyNumberFormat="1" applyFont="1" applyFill="1" applyBorder="1" applyAlignment="1">
      <alignment horizontal="center" vertical="center"/>
    </xf>
    <xf numFmtId="178" fontId="20" fillId="0" borderId="4" xfId="1" applyNumberFormat="1" applyFont="1" applyFill="1" applyBorder="1" applyAlignment="1">
      <alignment horizontal="center" vertical="center"/>
    </xf>
    <xf numFmtId="0" fontId="16" fillId="0" borderId="4" xfId="0" applyFont="1" applyFill="1" applyBorder="1" applyAlignment="1">
      <alignment vertical="center" wrapText="1"/>
    </xf>
    <xf numFmtId="0" fontId="14" fillId="0" borderId="4" xfId="0" applyFont="1" applyFill="1" applyBorder="1" applyAlignment="1">
      <alignment vertical="center" wrapText="1"/>
    </xf>
    <xf numFmtId="0" fontId="21" fillId="0" borderId="0" xfId="0" applyFont="1" applyFill="1" applyBorder="1" applyAlignment="1">
      <alignment horizontal="center" vertical="center"/>
    </xf>
    <xf numFmtId="178" fontId="21" fillId="0" borderId="0" xfId="1" applyNumberFormat="1" applyFont="1" applyFill="1" applyAlignment="1">
      <alignment horizontal="center" vertical="center"/>
    </xf>
    <xf numFmtId="0" fontId="22" fillId="0" borderId="0" xfId="0" applyFont="1" applyFill="1" applyBorder="1" applyAlignment="1">
      <alignment vertical="center"/>
    </xf>
    <xf numFmtId="0" fontId="18" fillId="0" borderId="0" xfId="0"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cuments\&#24037;&#20316;&#31807;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esktop\&#21512;&#21516;&#21488;&#36134;\&#21512;&#21516;&#21488;&#36134;-113#114#&#21378;&#2515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113114\&#36164;&#37329;&#26126;&#32454;\&#32508;&#21512;&#24615;&#21378;&#25151;&#39033;&#30446;&#36164;&#37329;&#38543;&#26102;&#26356;&#26032;&#349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B1" t="str">
            <v>供应商名称</v>
          </cell>
          <cell r="C1" t="str">
            <v>合同名称</v>
          </cell>
          <cell r="D1" t="str">
            <v>合同编号</v>
          </cell>
        </row>
        <row r="2">
          <cell r="B2" t="str">
            <v>中国建筑西南勘察设计研究院有限公司</v>
          </cell>
          <cell r="C2" t="str">
            <v>九洲工业园新建综合性工业厂房项目113#、114#桩基础工程专业分包合同</v>
          </cell>
          <cell r="D2" t="str">
            <v>JZJG-GYY（113/114）-2022-ZYF-01(N)</v>
          </cell>
        </row>
        <row r="3">
          <cell r="B3" t="str">
            <v>中国建筑西南勘察设计研究院有限公司</v>
          </cell>
          <cell r="C3" t="str">
            <v>九洲工业园新建综合性工业厂房项目113#、114#桩基础工程专业分包补充协议</v>
          </cell>
          <cell r="D3" t="str">
            <v>JZJG-GYY（113/114）-2022-ZYF-01(N)（补）01</v>
          </cell>
        </row>
        <row r="4">
          <cell r="B4" t="str">
            <v>绵阳婧新军机械租赁有限公司</v>
          </cell>
          <cell r="C4" t="str">
            <v>九洲工业园新建综合性工业厂房项目113#、114#土石方工程专业分包合同</v>
          </cell>
          <cell r="D4" t="str">
            <v>JZJG-GYY（113/114）-2022-ZYF-02(N)</v>
          </cell>
        </row>
        <row r="5">
          <cell r="B5" t="str">
            <v>中国太平洋财产保险股份有限公司绵阳中心支公司</v>
          </cell>
          <cell r="C5" t="str">
            <v>安全生产责任险、履约保险</v>
          </cell>
          <cell r="D5" t="str">
            <v>JZJG-GYY（113/114）-2022-CGF-01(N)</v>
          </cell>
        </row>
        <row r="6">
          <cell r="B6" t="str">
            <v>绵阳市弘顺建筑设备租赁有限公司</v>
          </cell>
          <cell r="C6" t="str">
            <v>九洲工业园新建综合性工业厂房项目113#、114#塔吊设备租赁</v>
          </cell>
          <cell r="D6" t="str">
            <v>JZJG-GYY（113/114）-2022-ZL-01(N)</v>
          </cell>
        </row>
        <row r="7">
          <cell r="B7" t="str">
            <v>四川德业电子科技有限公司</v>
          </cell>
          <cell r="C7" t="str">
            <v>九洲工业园新建综合性工业厂房项目113#、114#建筑起重机械安全预警系统及扬尘监测建筑工地服务使用合同</v>
          </cell>
          <cell r="D7" t="str">
            <v>JZJG-GYY（113/114）-2022-ZL-02(N)</v>
          </cell>
        </row>
        <row r="8">
          <cell r="B8" t="str">
            <v>绵阳名销新材料有限公司</v>
          </cell>
          <cell r="C8" t="str">
            <v>九洲工业园新建综合性工业厂房项目113#、114#综合性材料采购</v>
          </cell>
          <cell r="D8" t="str">
            <v>JZJG-GYY（113/114）-2023-CG-01(N)</v>
          </cell>
        </row>
        <row r="9">
          <cell r="B9" t="str">
            <v>四川九洲汉地绿色建材有限责任公司（商砼） </v>
          </cell>
          <cell r="C9" t="str">
            <v>九洲工业园新建综合性工业厂房项目113#、114#商品混凝土采购合同</v>
          </cell>
          <cell r="D9" t="str">
            <v>JZJG-GYY（113/114）-2022-CG-01(N)</v>
          </cell>
        </row>
        <row r="10">
          <cell r="B10" t="str">
            <v>四川九洲汉地绿色建材有限责任公司（商砼） </v>
          </cell>
          <cell r="C10" t="str">
            <v>九洲工业园新建综合性工业厂房项目113#、114#商品混凝土采购合同（补充协议）</v>
          </cell>
          <cell r="D10" t="str">
            <v>JZJG-GYY（113/114）-2022-CG-01(N)补01</v>
          </cell>
        </row>
        <row r="11">
          <cell r="B11" t="str">
            <v>四川九洲汉地绿色建材有限责任公司 </v>
          </cell>
          <cell r="C11" t="str">
            <v>九洲工业园新建综合性工业厂房项目113#、114#建筑钢材采购合同</v>
          </cell>
          <cell r="D11" t="str">
            <v>JZJG-GYY（113/114）-2022-CG-02(N)</v>
          </cell>
        </row>
        <row r="12">
          <cell r="B12" t="str">
            <v>四川九洲汉地绿色建材有限责任公司 </v>
          </cell>
          <cell r="C12" t="str">
            <v>九洲工业园新建综合性工业厂房项目113#114#建筑钢材采购合同补充协议</v>
          </cell>
          <cell r="D12" t="str">
            <v>JZJG-GYY(113/114)-2022-CG-02(N)补01</v>
          </cell>
        </row>
        <row r="13">
          <cell r="B13" t="str">
            <v>四川畅潇广告装饰有限公司</v>
          </cell>
          <cell r="C13" t="str">
            <v>九洲工业园新建综合性工业厂房项目113#、114#现场广告制作安装和办公室迁移及增加板房工程合同</v>
          </cell>
          <cell r="D13" t="str">
            <v>JZJG-GYY（113/114）-2022-QT-01(N)</v>
          </cell>
        </row>
        <row r="14">
          <cell r="B14" t="str">
            <v>绵阳科技城中科人才服务有限公司</v>
          </cell>
          <cell r="C14" t="str">
            <v>九洲工业园新建综合性工业厂房项目113#、114#建设工程施工劳务分包合同</v>
          </cell>
          <cell r="D14" t="str">
            <v>JZJG-GYY（113/114）-2023-LWF-01(N)</v>
          </cell>
        </row>
        <row r="15">
          <cell r="B15" t="str">
            <v>绵阳市自强地基有限责任公司</v>
          </cell>
          <cell r="C15" t="str">
            <v>九洲工业园新建综合性工业厂房项目廊桥旋挖桩工程专业分包合同</v>
          </cell>
          <cell r="D15" t="str">
            <v>JZJG-GYY（113/114）-2023-ZYF-01(N)</v>
          </cell>
        </row>
        <row r="16">
          <cell r="B16" t="str">
            <v>四川耀格建设工程质量检测有限公司</v>
          </cell>
          <cell r="C16" t="str">
            <v>九洲工业园新建综合性工业厂房项目113#、114# 建设工程质量委托检测合同</v>
          </cell>
          <cell r="D16" t="str">
            <v>JZJG-GYY（113/114）-2023-CGF-01(N)</v>
          </cell>
        </row>
        <row r="17">
          <cell r="B17" t="str">
            <v>四川九洲后勤服务有限责任公司</v>
          </cell>
          <cell r="C17" t="str">
            <v>九洲工业园新建综合性工业厂房项目113#、114#园区安保服务合同</v>
          </cell>
          <cell r="D17" t="str">
            <v>JZJG-GYY（113/114）-2023-CGF-02(N)</v>
          </cell>
        </row>
        <row r="18">
          <cell r="B18" t="str">
            <v>四川恩普源防水保温工程有限公司</v>
          </cell>
          <cell r="C18" t="str">
            <v>九洲工业园新建综合性工业厂房项目113#、114#防水工程专业分包合同</v>
          </cell>
          <cell r="D18" t="str">
            <v>JZJG-GYY（113/114）-2023-ZYF-02(N)</v>
          </cell>
        </row>
        <row r="19">
          <cell r="B19" t="str">
            <v>四川武申市政工程有限公司</v>
          </cell>
          <cell r="C19" t="str">
            <v>九洲工业园新建综合性工业厂房项目113#、114#匠心路车行道工程专业分包</v>
          </cell>
          <cell r="D19" t="str">
            <v>JZJG-GYY（113/114）-2023-ZYF-03(N)</v>
          </cell>
        </row>
        <row r="20">
          <cell r="B20" t="str">
            <v>四川创享创筑商贸有限公司</v>
          </cell>
          <cell r="C20" t="str">
            <v>九洲工业园新建综合性工业厂房项目113#、114#水泥、砂石、砖材料采购</v>
          </cell>
          <cell r="D20" t="str">
            <v>JZJG-GYY（113/114）-2023-CG-02(N)</v>
          </cell>
        </row>
        <row r="21">
          <cell r="B21" t="str">
            <v>项目还未提供单位</v>
          </cell>
          <cell r="C21" t="str">
            <v>绿化</v>
          </cell>
        </row>
        <row r="22">
          <cell r="C22" t="str">
            <v>周材租赁</v>
          </cell>
          <cell r="D22" t="str">
            <v>JZJG-GYY（113/114）-2023-ZL-01(N)</v>
          </cell>
        </row>
        <row r="23">
          <cell r="B23" t="str">
            <v>四川裕腾佳润建筑工程机械租赁有限公司</v>
          </cell>
          <cell r="C23" t="str">
            <v>机械租赁</v>
          </cell>
          <cell r="D23" t="str">
            <v>JZJG-GYY（113/114）-2023-ZL-02(N)</v>
          </cell>
        </row>
        <row r="24">
          <cell r="B24" t="str">
            <v>四川朋茂供应链管理有限公司</v>
          </cell>
          <cell r="C24" t="str">
            <v>九洲工业园新建综合性工业厂房项目113#、114#模版、木枋采购合同</v>
          </cell>
          <cell r="D24" t="str">
            <v>JZJG-GYY（113/114）-2023-CG-03(N)</v>
          </cell>
        </row>
        <row r="25">
          <cell r="B25" t="str">
            <v>绵阳市金原建筑设备租赁有限公司</v>
          </cell>
          <cell r="C25" t="str">
            <v>九洲工业园新建综合厂房</v>
          </cell>
          <cell r="D25" t="str">
            <v>JZJG-GYY（113/114）-2023-ZL-01(N)</v>
          </cell>
        </row>
        <row r="26">
          <cell r="B26" t="str">
            <v>四川煜祥利安建设工程有限公司</v>
          </cell>
        </row>
        <row r="26">
          <cell r="D26" t="str">
            <v>JZJG-GYY(113/114)-2023-ZYF-03(N)</v>
          </cell>
        </row>
        <row r="27">
          <cell r="B27" t="str">
            <v>四川沃克斯电梯有限公司</v>
          </cell>
          <cell r="C27" t="str">
            <v>电梯采购及安装专业分包合同</v>
          </cell>
          <cell r="D27" t="str">
            <v>JZJG-GYY(113/114)-2023-ZYF-07(N)</v>
          </cell>
        </row>
        <row r="28">
          <cell r="B28" t="str">
            <v>四川省威正建筑工程有限公司</v>
          </cell>
          <cell r="C28" t="str">
            <v>113-114钢结构连廊工程</v>
          </cell>
          <cell r="D28" t="str">
            <v>JZJG-GYY（113/114）-ZYF-2023-11(N)</v>
          </cell>
        </row>
        <row r="29">
          <cell r="B29" t="str">
            <v>四川虹玖机电工程有限公司</v>
          </cell>
        </row>
        <row r="29">
          <cell r="D29" t="str">
            <v>JZJG-GYY（113/114）-ZYF-2023-12(N)</v>
          </cell>
        </row>
        <row r="30">
          <cell r="B30" t="str">
            <v>四川省江油市新华建筑工程有限公司</v>
          </cell>
          <cell r="C30" t="str">
            <v>114安装及室外附属工程</v>
          </cell>
          <cell r="D30" t="str">
            <v>JZJG-GYY(113/114)-ZYF-2023-09(N)</v>
          </cell>
        </row>
        <row r="31">
          <cell r="B31" t="str">
            <v>四川正宝实业有限公司</v>
          </cell>
          <cell r="C31" t="str">
            <v>涂料、外墙保温工程专业分包合同</v>
          </cell>
          <cell r="D31" t="str">
            <v>JZJG-GYY(113/114)-ZYF-2023-10(N)</v>
          </cell>
        </row>
        <row r="32">
          <cell r="B32" t="str">
            <v>四川普力诺建设工程有限公司</v>
          </cell>
          <cell r="C32" t="str">
            <v>金属一体保温板慕墙及铝合金门窗、栏杆工程</v>
          </cell>
          <cell r="D32" t="str">
            <v>JZJG-GYY(113/114)-ZYF-2023-13(N)</v>
          </cell>
        </row>
        <row r="33">
          <cell r="B33" t="str">
            <v>四川宸铭华翔建筑工程有限公司</v>
          </cell>
          <cell r="C33" t="str">
            <v>屋面加固专业分包合同</v>
          </cell>
          <cell r="D33" t="str">
            <v>JZJG-GYY(113/114)-ZYF-2023-15(N)</v>
          </cell>
        </row>
        <row r="34">
          <cell r="B34" t="str">
            <v>四川顺安通建筑设备有限责任公司</v>
          </cell>
          <cell r="C34" t="str">
            <v>施工电梯（物料提升机）机械设备租赁1合同</v>
          </cell>
          <cell r="D34" t="str">
            <v>JZJG-GYY(113/114)-ZL-2023-03(N)</v>
          </cell>
        </row>
        <row r="35">
          <cell r="B35" t="str">
            <v>绵阳承林建筑材料有限公司</v>
          </cell>
          <cell r="C35" t="str">
            <v>零星材料采购合同</v>
          </cell>
          <cell r="D35" t="str">
            <v>JZJG-GYY(113/114)-CG-2023-06(N)</v>
          </cell>
        </row>
        <row r="36">
          <cell r="B36" t="str">
            <v>绵阳市金原建筑设备租赁有限公司</v>
          </cell>
          <cell r="C36" t="str">
            <v>周材租赁合同补充协议</v>
          </cell>
          <cell r="D36" t="str">
            <v>JZJG-GYY（113/114）-2023-ZL-01(N)（补）01</v>
          </cell>
        </row>
        <row r="37">
          <cell r="B37" t="str">
            <v>绵阳科技城中科人才服务有限公司</v>
          </cell>
          <cell r="C37" t="str">
            <v>劳务分包补充协议</v>
          </cell>
          <cell r="D37" t="str">
            <v>JZJG-GYY（113/114）-2023-LWF-01(N)（补）01</v>
          </cell>
        </row>
        <row r="38">
          <cell r="B38" t="str">
            <v>四川众圣建设工程有限公司</v>
          </cell>
          <cell r="C38" t="str">
            <v>113#114#车行道、人行道面层施工工程专业分包合同</v>
          </cell>
          <cell r="D38" t="str">
            <v>JZJG-GYY（113/114）-ZYF-2023-22(N)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汇总表"/>
      <sheetName val="收款明细"/>
      <sheetName val="付款明细"/>
      <sheetName val="增值税台账"/>
      <sheetName val="环保税"/>
      <sheetName val="人工费"/>
    </sheetNames>
    <sheetDataSet>
      <sheetData sheetId="0">
        <row r="27">
          <cell r="D27">
            <v>121029163.15</v>
          </cell>
        </row>
        <row r="38">
          <cell r="D38">
            <v>12064480.595746</v>
          </cell>
        </row>
      </sheetData>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汇总表"/>
      <sheetName val="收款明细"/>
      <sheetName val="付款明细"/>
      <sheetName val="税金 "/>
      <sheetName val="环保税"/>
      <sheetName val="9月挂账付款"/>
      <sheetName val="10月挂账付款"/>
      <sheetName val="11月挂账付款"/>
      <sheetName val="12月挂账付款"/>
      <sheetName val="1月挂账付款"/>
    </sheetNames>
    <sheetDataSet>
      <sheetData sheetId="0"/>
      <sheetData sheetId="1"/>
      <sheetData sheetId="2">
        <row r="14">
          <cell r="U14">
            <v>1023299.69</v>
          </cell>
        </row>
        <row r="15">
          <cell r="U15">
            <v>594798.15</v>
          </cell>
        </row>
        <row r="16">
          <cell r="U16">
            <v>306434.97</v>
          </cell>
        </row>
        <row r="17">
          <cell r="U17">
            <v>62066.57</v>
          </cell>
        </row>
        <row r="18">
          <cell r="U18">
            <v>60000</v>
          </cell>
        </row>
        <row r="21">
          <cell r="U21">
            <v>3046374.11</v>
          </cell>
        </row>
        <row r="22">
          <cell r="U22">
            <v>900000</v>
          </cell>
        </row>
        <row r="23">
          <cell r="U23">
            <v>400000</v>
          </cell>
        </row>
        <row r="24">
          <cell r="U24">
            <v>300000</v>
          </cell>
        </row>
        <row r="25">
          <cell r="U25">
            <v>157407.72</v>
          </cell>
        </row>
        <row r="26">
          <cell r="U26">
            <v>455929.49</v>
          </cell>
        </row>
        <row r="27">
          <cell r="U27">
            <v>357124.28</v>
          </cell>
        </row>
        <row r="28">
          <cell r="U28">
            <v>475912.62</v>
          </cell>
        </row>
        <row r="32">
          <cell r="U32">
            <v>4143128</v>
          </cell>
        </row>
        <row r="33">
          <cell r="U33">
            <v>4143128</v>
          </cell>
        </row>
        <row r="39">
          <cell r="U39">
            <v>18288984.08</v>
          </cell>
        </row>
        <row r="40">
          <cell r="U40">
            <v>838995.66</v>
          </cell>
        </row>
        <row r="41">
          <cell r="U41">
            <v>688427.67</v>
          </cell>
        </row>
        <row r="42">
          <cell r="U42">
            <v>2582052.25</v>
          </cell>
        </row>
        <row r="43">
          <cell r="U43">
            <v>1649393.65</v>
          </cell>
        </row>
        <row r="44">
          <cell r="U44">
            <v>907066.67</v>
          </cell>
        </row>
        <row r="45">
          <cell r="U45">
            <v>1806901.83</v>
          </cell>
        </row>
        <row r="46">
          <cell r="U46">
            <v>1617700.92</v>
          </cell>
        </row>
        <row r="47">
          <cell r="U47">
            <v>2143901.23</v>
          </cell>
        </row>
        <row r="48">
          <cell r="U48">
            <v>377904.22</v>
          </cell>
        </row>
        <row r="49">
          <cell r="U49">
            <v>379769.04</v>
          </cell>
        </row>
        <row r="50">
          <cell r="U50">
            <v>977845.53</v>
          </cell>
        </row>
        <row r="51">
          <cell r="U51">
            <v>490575</v>
          </cell>
        </row>
        <row r="52">
          <cell r="U52">
            <v>260534.56</v>
          </cell>
        </row>
        <row r="53">
          <cell r="U53">
            <v>501475.95</v>
          </cell>
        </row>
        <row r="54">
          <cell r="U54">
            <v>733602.16</v>
          </cell>
        </row>
        <row r="55">
          <cell r="U55">
            <v>278334.92</v>
          </cell>
        </row>
        <row r="56">
          <cell r="U56">
            <v>417370.27</v>
          </cell>
        </row>
        <row r="57">
          <cell r="U57">
            <v>274412.66</v>
          </cell>
        </row>
        <row r="58">
          <cell r="U58">
            <v>593567.18</v>
          </cell>
        </row>
        <row r="59">
          <cell r="U59">
            <v>98110.1</v>
          </cell>
        </row>
        <row r="60">
          <cell r="U60">
            <v>113527.37</v>
          </cell>
        </row>
        <row r="61">
          <cell r="U61">
            <v>58955.94</v>
          </cell>
        </row>
        <row r="62">
          <cell r="U62">
            <v>208250.43</v>
          </cell>
        </row>
        <row r="63">
          <cell r="U63">
            <v>226157.34</v>
          </cell>
        </row>
        <row r="64">
          <cell r="U64">
            <v>55470.4</v>
          </cell>
        </row>
        <row r="65">
          <cell r="U65">
            <v>5413.22</v>
          </cell>
        </row>
        <row r="66">
          <cell r="U66">
            <v>3267.91</v>
          </cell>
        </row>
        <row r="73">
          <cell r="U73">
            <v>29116338.02</v>
          </cell>
        </row>
        <row r="74">
          <cell r="U74">
            <v>400960.51</v>
          </cell>
        </row>
        <row r="75">
          <cell r="U75">
            <v>1929383</v>
          </cell>
        </row>
        <row r="76">
          <cell r="U76">
            <v>1495685</v>
          </cell>
        </row>
        <row r="77">
          <cell r="U77">
            <v>4529528.5</v>
          </cell>
        </row>
        <row r="78">
          <cell r="U78">
            <v>376510.23</v>
          </cell>
        </row>
        <row r="79">
          <cell r="U79">
            <v>4621336.1</v>
          </cell>
        </row>
        <row r="80">
          <cell r="U80">
            <v>4214457</v>
          </cell>
        </row>
        <row r="81">
          <cell r="U81">
            <v>2535260</v>
          </cell>
        </row>
        <row r="82">
          <cell r="U82">
            <v>2327742</v>
          </cell>
        </row>
        <row r="83">
          <cell r="U83">
            <v>500459.68</v>
          </cell>
        </row>
        <row r="84">
          <cell r="U84">
            <v>2482292</v>
          </cell>
        </row>
        <row r="85">
          <cell r="U85">
            <v>3702724</v>
          </cell>
        </row>
        <row r="87">
          <cell r="U87">
            <v>567142.53</v>
          </cell>
        </row>
        <row r="88">
          <cell r="U88">
            <v>77250</v>
          </cell>
        </row>
        <row r="89">
          <cell r="U89">
            <v>15450</v>
          </cell>
        </row>
        <row r="90">
          <cell r="U90">
            <v>94442.53</v>
          </cell>
        </row>
        <row r="91">
          <cell r="U91">
            <v>380000</v>
          </cell>
        </row>
        <row r="93">
          <cell r="U93">
            <v>111703.2</v>
          </cell>
        </row>
        <row r="94">
          <cell r="U94">
            <v>57708.96</v>
          </cell>
        </row>
        <row r="95">
          <cell r="U95">
            <v>53994.24</v>
          </cell>
        </row>
        <row r="99">
          <cell r="U99">
            <v>142509.44</v>
          </cell>
        </row>
        <row r="100">
          <cell r="U100">
            <v>110000</v>
          </cell>
        </row>
        <row r="101">
          <cell r="U101">
            <v>6140</v>
          </cell>
        </row>
        <row r="102">
          <cell r="U102">
            <v>26369.44</v>
          </cell>
        </row>
        <row r="105">
          <cell r="U105">
            <v>13882574.12</v>
          </cell>
        </row>
        <row r="106">
          <cell r="U106">
            <v>2666547.95</v>
          </cell>
        </row>
        <row r="107">
          <cell r="U107">
            <v>2490198.24</v>
          </cell>
        </row>
        <row r="108">
          <cell r="U108">
            <v>1799083.7</v>
          </cell>
        </row>
        <row r="109">
          <cell r="U109">
            <v>1143006.3</v>
          </cell>
        </row>
        <row r="110">
          <cell r="U110">
            <v>1728540</v>
          </cell>
        </row>
        <row r="111">
          <cell r="U111">
            <v>2165569.96</v>
          </cell>
        </row>
        <row r="112">
          <cell r="U112">
            <v>126935.8</v>
          </cell>
        </row>
        <row r="113">
          <cell r="U113">
            <v>1515627.09</v>
          </cell>
        </row>
        <row r="114">
          <cell r="U114">
            <v>247065.08</v>
          </cell>
        </row>
        <row r="122">
          <cell r="U122">
            <v>3926289.96</v>
          </cell>
        </row>
        <row r="123">
          <cell r="U123">
            <v>2467744.81</v>
          </cell>
        </row>
        <row r="124">
          <cell r="U124">
            <v>1458545.15</v>
          </cell>
        </row>
        <row r="128">
          <cell r="U128">
            <v>40350</v>
          </cell>
        </row>
        <row r="129">
          <cell r="U129">
            <v>40350</v>
          </cell>
        </row>
        <row r="134">
          <cell r="U134">
            <v>125504</v>
          </cell>
        </row>
        <row r="135">
          <cell r="U135">
            <v>15688</v>
          </cell>
        </row>
        <row r="136">
          <cell r="U136">
            <v>15688</v>
          </cell>
        </row>
        <row r="137">
          <cell r="U137">
            <v>15688</v>
          </cell>
        </row>
        <row r="138">
          <cell r="U138">
            <v>31376</v>
          </cell>
        </row>
        <row r="139">
          <cell r="U139">
            <v>47064</v>
          </cell>
        </row>
        <row r="144">
          <cell r="U144">
            <v>1661240.48</v>
          </cell>
        </row>
        <row r="145">
          <cell r="U145">
            <v>171012.34</v>
          </cell>
        </row>
        <row r="146">
          <cell r="U146">
            <v>116427.26</v>
          </cell>
        </row>
        <row r="147">
          <cell r="U147">
            <v>218446</v>
          </cell>
        </row>
        <row r="148">
          <cell r="U148">
            <v>153331.11</v>
          </cell>
        </row>
        <row r="149">
          <cell r="U149">
            <v>353723.43</v>
          </cell>
        </row>
        <row r="150">
          <cell r="U150">
            <v>324300.34</v>
          </cell>
        </row>
        <row r="151">
          <cell r="U151">
            <v>324000</v>
          </cell>
        </row>
        <row r="155">
          <cell r="U155">
            <v>1100249.55</v>
          </cell>
        </row>
        <row r="156">
          <cell r="U156">
            <v>465392.4</v>
          </cell>
        </row>
        <row r="157">
          <cell r="U157">
            <v>302914</v>
          </cell>
        </row>
        <row r="158">
          <cell r="U158">
            <v>171943.15</v>
          </cell>
        </row>
        <row r="159">
          <cell r="U159">
            <v>160000</v>
          </cell>
        </row>
        <row r="161">
          <cell r="U161">
            <v>336090</v>
          </cell>
        </row>
        <row r="162">
          <cell r="U162">
            <v>336090</v>
          </cell>
        </row>
        <row r="166">
          <cell r="U166">
            <v>2497764.78</v>
          </cell>
        </row>
        <row r="167">
          <cell r="U167">
            <v>369200</v>
          </cell>
        </row>
        <row r="168">
          <cell r="U168">
            <v>1602564.78</v>
          </cell>
        </row>
        <row r="169">
          <cell r="U169">
            <v>526000</v>
          </cell>
        </row>
        <row r="174">
          <cell r="U174">
            <v>480236.96</v>
          </cell>
        </row>
        <row r="175">
          <cell r="U175">
            <v>176329.24</v>
          </cell>
        </row>
        <row r="176">
          <cell r="U176">
            <v>58907.72</v>
          </cell>
        </row>
        <row r="177">
          <cell r="U177">
            <v>245000</v>
          </cell>
        </row>
        <row r="180">
          <cell r="U180">
            <v>864094.92</v>
          </cell>
        </row>
        <row r="181">
          <cell r="U181">
            <v>864094.92</v>
          </cell>
        </row>
        <row r="186">
          <cell r="U186">
            <v>4518744.66</v>
          </cell>
        </row>
        <row r="187">
          <cell r="U187">
            <v>645534.95</v>
          </cell>
        </row>
        <row r="188">
          <cell r="U188">
            <v>1273209.71</v>
          </cell>
        </row>
        <row r="189">
          <cell r="U189">
            <v>2600000</v>
          </cell>
        </row>
        <row r="192">
          <cell r="U192">
            <v>4273110.3</v>
          </cell>
        </row>
        <row r="193">
          <cell r="U193">
            <v>2125500</v>
          </cell>
        </row>
        <row r="194">
          <cell r="U194">
            <v>637610.3</v>
          </cell>
        </row>
        <row r="195">
          <cell r="U195">
            <v>1510000</v>
          </cell>
        </row>
        <row r="198">
          <cell r="U198">
            <v>6857833.4</v>
          </cell>
        </row>
        <row r="199">
          <cell r="U199">
            <v>1240963.91</v>
          </cell>
        </row>
        <row r="200">
          <cell r="U200">
            <v>1900000</v>
          </cell>
        </row>
        <row r="201">
          <cell r="U201">
            <v>2444656.88</v>
          </cell>
        </row>
        <row r="202">
          <cell r="U202">
            <v>1272212.61</v>
          </cell>
        </row>
        <row r="204">
          <cell r="U204">
            <v>6416203.5</v>
          </cell>
        </row>
        <row r="205">
          <cell r="U205">
            <v>916685.5</v>
          </cell>
        </row>
        <row r="206">
          <cell r="U206">
            <v>868005</v>
          </cell>
        </row>
        <row r="207">
          <cell r="U207">
            <v>1131995</v>
          </cell>
        </row>
        <row r="208">
          <cell r="U208">
            <v>1249518</v>
          </cell>
        </row>
        <row r="209">
          <cell r="U209">
            <v>1190000</v>
          </cell>
        </row>
        <row r="210">
          <cell r="U210">
            <v>1060000</v>
          </cell>
        </row>
        <row r="213">
          <cell r="U213">
            <v>820544.98</v>
          </cell>
        </row>
        <row r="214">
          <cell r="U214">
            <v>820544.98</v>
          </cell>
        </row>
        <row r="219">
          <cell r="U219">
            <v>1077028.01</v>
          </cell>
        </row>
        <row r="220">
          <cell r="U220">
            <v>1077028.01</v>
          </cell>
        </row>
        <row r="227">
          <cell r="U227">
            <v>356279.22</v>
          </cell>
        </row>
        <row r="228">
          <cell r="U228">
            <v>176279.22</v>
          </cell>
        </row>
        <row r="229">
          <cell r="U229">
            <v>180000</v>
          </cell>
        </row>
        <row r="233">
          <cell r="U233">
            <v>322030.91</v>
          </cell>
        </row>
        <row r="234">
          <cell r="U234">
            <v>322030.91</v>
          </cell>
        </row>
        <row r="236">
          <cell r="U236">
            <v>41021.32</v>
          </cell>
        </row>
        <row r="237">
          <cell r="U237">
            <v>41021.32</v>
          </cell>
        </row>
        <row r="242">
          <cell r="U242">
            <v>829077.11</v>
          </cell>
        </row>
        <row r="243">
          <cell r="U243">
            <v>429077.11</v>
          </cell>
        </row>
        <row r="244">
          <cell r="U244">
            <v>400000</v>
          </cell>
        </row>
        <row r="248">
          <cell r="U248">
            <v>831264.66</v>
          </cell>
        </row>
        <row r="249">
          <cell r="U249">
            <v>421264.66</v>
          </cell>
        </row>
        <row r="250">
          <cell r="U250">
            <v>410000</v>
          </cell>
        </row>
        <row r="260">
          <cell r="U260">
            <v>5956584.89</v>
          </cell>
        </row>
        <row r="261">
          <cell r="U261">
            <v>1456584.89</v>
          </cell>
        </row>
        <row r="262">
          <cell r="U262">
            <v>900000</v>
          </cell>
        </row>
        <row r="263">
          <cell r="U263">
            <v>3600000</v>
          </cell>
        </row>
        <row r="267">
          <cell r="U267">
            <v>2403980.3</v>
          </cell>
        </row>
        <row r="268">
          <cell r="U268">
            <v>633980.3</v>
          </cell>
        </row>
        <row r="269">
          <cell r="U269">
            <v>1770000</v>
          </cell>
        </row>
        <row r="271">
          <cell r="U271">
            <v>495393.53</v>
          </cell>
        </row>
        <row r="272">
          <cell r="U272">
            <v>495393.53</v>
          </cell>
        </row>
        <row r="277">
          <cell r="U277">
            <v>309641</v>
          </cell>
        </row>
        <row r="278">
          <cell r="U278">
            <v>184641</v>
          </cell>
        </row>
        <row r="279">
          <cell r="U279">
            <v>125000</v>
          </cell>
        </row>
        <row r="283">
          <cell r="U283">
            <v>554653.51</v>
          </cell>
        </row>
        <row r="284">
          <cell r="U284">
            <v>554653.51</v>
          </cell>
        </row>
        <row r="289">
          <cell r="U289">
            <v>367307.19</v>
          </cell>
        </row>
        <row r="290">
          <cell r="U290">
            <v>77307.19</v>
          </cell>
        </row>
        <row r="291">
          <cell r="U291">
            <v>290000</v>
          </cell>
        </row>
        <row r="295">
          <cell r="U295">
            <v>84161.95</v>
          </cell>
        </row>
        <row r="296">
          <cell r="U296">
            <v>84161.95</v>
          </cell>
        </row>
        <row r="299">
          <cell r="U299">
            <v>169794.07</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
  <sheetViews>
    <sheetView workbookViewId="0">
      <selection activeCell="A1" sqref="$A1:$XFD1048576"/>
    </sheetView>
  </sheetViews>
  <sheetFormatPr defaultColWidth="9" defaultRowHeight="14.25"/>
  <cols>
    <col min="1" max="1" width="7" style="147" customWidth="1"/>
    <col min="2" max="2" width="45.3833333333333" style="147"/>
    <col min="3" max="3" width="15.6333333333333" style="147" customWidth="1"/>
    <col min="4" max="4" width="27.1333333333333" style="147" customWidth="1"/>
    <col min="5" max="5" width="19.1333333333333" style="150" customWidth="1"/>
    <col min="6" max="6" width="28.6333333333333" style="147" customWidth="1"/>
    <col min="7" max="9" width="9" style="147"/>
    <col min="10" max="10" width="23.8833333333333" style="147" customWidth="1"/>
    <col min="11" max="16384" width="9" style="147"/>
  </cols>
  <sheetData>
    <row r="1" s="147" customFormat="1" ht="35.1" customHeight="1" spans="1:5">
      <c r="A1" s="151" t="s">
        <v>0</v>
      </c>
      <c r="E1" s="152"/>
    </row>
    <row r="2" s="147" customFormat="1" ht="32" customHeight="1" spans="1:6">
      <c r="A2" s="153" t="s">
        <v>1</v>
      </c>
      <c r="B2" s="153"/>
      <c r="C2" s="153"/>
      <c r="D2" s="153"/>
      <c r="E2" s="153"/>
      <c r="F2" s="153"/>
    </row>
    <row r="3" s="148" customFormat="1" ht="27" customHeight="1" spans="1:6">
      <c r="A3" s="154" t="s">
        <v>2</v>
      </c>
      <c r="B3" s="154" t="s">
        <v>3</v>
      </c>
      <c r="C3" s="154" t="s">
        <v>4</v>
      </c>
      <c r="D3" s="154" t="s">
        <v>5</v>
      </c>
      <c r="E3" s="155" t="s">
        <v>6</v>
      </c>
      <c r="F3" s="155" t="s">
        <v>7</v>
      </c>
    </row>
    <row r="4" s="147" customFormat="1" ht="27" customHeight="1" spans="1:6">
      <c r="A4" s="156">
        <v>1</v>
      </c>
      <c r="B4" s="157" t="s">
        <v>8</v>
      </c>
      <c r="C4" s="157"/>
      <c r="D4" s="157"/>
      <c r="E4" s="158"/>
      <c r="F4" s="159"/>
    </row>
    <row r="5" s="147" customFormat="1" ht="27" customHeight="1" spans="1:6">
      <c r="A5" s="156">
        <v>2</v>
      </c>
      <c r="B5" s="157" t="s">
        <v>9</v>
      </c>
      <c r="C5" s="157"/>
      <c r="D5" s="160" t="s">
        <v>10</v>
      </c>
      <c r="E5" s="158"/>
      <c r="F5" s="159"/>
    </row>
    <row r="6" s="147" customFormat="1" ht="27" customHeight="1" spans="1:6">
      <c r="A6" s="156">
        <v>3</v>
      </c>
      <c r="B6" s="160" t="s">
        <v>11</v>
      </c>
      <c r="C6" s="160"/>
      <c r="D6" s="160" t="s">
        <v>10</v>
      </c>
      <c r="E6" s="158"/>
      <c r="F6" s="159"/>
    </row>
    <row r="7" s="147" customFormat="1" ht="27" customHeight="1" spans="1:6">
      <c r="A7" s="156">
        <v>4</v>
      </c>
      <c r="B7" s="160" t="s">
        <v>12</v>
      </c>
      <c r="C7" s="160"/>
      <c r="D7" s="160" t="s">
        <v>10</v>
      </c>
      <c r="E7" s="158"/>
      <c r="F7" s="159"/>
    </row>
    <row r="8" s="147" customFormat="1" ht="27" customHeight="1" spans="1:6">
      <c r="A8" s="156">
        <v>5</v>
      </c>
      <c r="B8" s="160" t="s">
        <v>13</v>
      </c>
      <c r="C8" s="160"/>
      <c r="D8" s="160" t="s">
        <v>14</v>
      </c>
      <c r="E8" s="158"/>
      <c r="F8" s="159"/>
    </row>
    <row r="9" s="147" customFormat="1" ht="27" customHeight="1" spans="1:6">
      <c r="A9" s="156">
        <v>6</v>
      </c>
      <c r="B9" s="157" t="s">
        <v>15</v>
      </c>
      <c r="C9" s="157"/>
      <c r="D9" s="157"/>
      <c r="E9" s="158"/>
      <c r="F9" s="159"/>
    </row>
    <row r="10" s="147" customFormat="1" ht="27" customHeight="1" spans="1:6">
      <c r="A10" s="156">
        <v>7</v>
      </c>
      <c r="B10" s="157" t="s">
        <v>16</v>
      </c>
      <c r="C10" s="157"/>
      <c r="D10" s="157"/>
      <c r="E10" s="158"/>
      <c r="F10" s="159"/>
    </row>
    <row r="11" s="147" customFormat="1" ht="27" customHeight="1" spans="1:6">
      <c r="A11" s="156">
        <v>8</v>
      </c>
      <c r="B11" s="160" t="s">
        <v>17</v>
      </c>
      <c r="C11" s="160"/>
      <c r="D11" s="160" t="s">
        <v>18</v>
      </c>
      <c r="E11" s="158"/>
      <c r="F11" s="159"/>
    </row>
    <row r="12" s="147" customFormat="1" ht="27" customHeight="1" spans="1:6">
      <c r="A12" s="156">
        <v>9</v>
      </c>
      <c r="B12" s="160" t="s">
        <v>19</v>
      </c>
      <c r="C12" s="160" t="s">
        <v>20</v>
      </c>
      <c r="D12" s="160" t="s">
        <v>18</v>
      </c>
      <c r="E12" s="158"/>
      <c r="F12" s="159"/>
    </row>
    <row r="13" s="147" customFormat="1" ht="27" customHeight="1" spans="1:6">
      <c r="A13" s="156">
        <v>10</v>
      </c>
      <c r="B13" s="160" t="s">
        <v>21</v>
      </c>
      <c r="C13" s="160" t="s">
        <v>20</v>
      </c>
      <c r="D13" s="160" t="s">
        <v>18</v>
      </c>
      <c r="E13" s="158"/>
      <c r="F13" s="159"/>
    </row>
    <row r="14" s="147" customFormat="1" ht="27" customHeight="1" spans="1:6">
      <c r="A14" s="156">
        <v>11</v>
      </c>
      <c r="B14" s="160" t="s">
        <v>22</v>
      </c>
      <c r="C14" s="160" t="s">
        <v>20</v>
      </c>
      <c r="D14" s="160" t="s">
        <v>18</v>
      </c>
      <c r="E14" s="158"/>
      <c r="F14" s="159"/>
    </row>
    <row r="15" s="147" customFormat="1" ht="27" customHeight="1" spans="1:6">
      <c r="A15" s="156">
        <v>12</v>
      </c>
      <c r="B15" s="160" t="s">
        <v>23</v>
      </c>
      <c r="C15" s="160" t="s">
        <v>20</v>
      </c>
      <c r="D15" s="160" t="s">
        <v>18</v>
      </c>
      <c r="E15" s="158"/>
      <c r="F15" s="159"/>
    </row>
    <row r="16" s="147" customFormat="1" ht="27" customHeight="1" spans="1:6">
      <c r="A16" s="156">
        <v>13</v>
      </c>
      <c r="B16" s="160" t="s">
        <v>24</v>
      </c>
      <c r="C16" s="160" t="s">
        <v>20</v>
      </c>
      <c r="D16" s="160" t="s">
        <v>18</v>
      </c>
      <c r="E16" s="158"/>
      <c r="F16" s="159"/>
    </row>
    <row r="17" s="147" customFormat="1" ht="27" customHeight="1" spans="1:6">
      <c r="A17" s="156">
        <v>14</v>
      </c>
      <c r="B17" s="160" t="s">
        <v>25</v>
      </c>
      <c r="C17" s="160" t="s">
        <v>20</v>
      </c>
      <c r="D17" s="160" t="s">
        <v>18</v>
      </c>
      <c r="E17" s="158"/>
      <c r="F17" s="159"/>
    </row>
    <row r="18" s="147" customFormat="1" ht="42" customHeight="1" spans="1:6">
      <c r="A18" s="156">
        <v>15</v>
      </c>
      <c r="B18" s="160" t="s">
        <v>26</v>
      </c>
      <c r="C18" s="160" t="s">
        <v>27</v>
      </c>
      <c r="D18" s="160" t="s">
        <v>10</v>
      </c>
      <c r="E18" s="158"/>
      <c r="F18" s="159"/>
    </row>
    <row r="19" s="147" customFormat="1" ht="27" customHeight="1" spans="1:6">
      <c r="A19" s="156">
        <v>16</v>
      </c>
      <c r="B19" s="160" t="s">
        <v>28</v>
      </c>
      <c r="C19" s="160"/>
      <c r="D19" s="160" t="s">
        <v>6</v>
      </c>
      <c r="E19" s="158"/>
      <c r="F19" s="159"/>
    </row>
    <row r="20" s="147" customFormat="1" ht="27" customHeight="1" spans="1:6">
      <c r="A20" s="156">
        <v>17</v>
      </c>
      <c r="B20" s="160" t="s">
        <v>29</v>
      </c>
      <c r="C20" s="160" t="s">
        <v>20</v>
      </c>
      <c r="D20" s="160" t="s">
        <v>6</v>
      </c>
      <c r="E20" s="161"/>
      <c r="F20" s="159"/>
    </row>
    <row r="21" s="147" customFormat="1" ht="27" customHeight="1" spans="1:6">
      <c r="A21" s="156">
        <v>18</v>
      </c>
      <c r="B21" s="160" t="s">
        <v>30</v>
      </c>
      <c r="C21" s="160" t="s">
        <v>20</v>
      </c>
      <c r="D21" s="160" t="s">
        <v>6</v>
      </c>
      <c r="E21" s="158"/>
      <c r="F21" s="159"/>
    </row>
    <row r="22" s="147" customFormat="1" ht="27" customHeight="1" spans="1:6">
      <c r="A22" s="156">
        <v>19</v>
      </c>
      <c r="B22" s="160" t="s">
        <v>31</v>
      </c>
      <c r="C22" s="160" t="s">
        <v>20</v>
      </c>
      <c r="D22" s="160" t="s">
        <v>6</v>
      </c>
      <c r="E22" s="158"/>
      <c r="F22" s="159"/>
    </row>
    <row r="23" s="147" customFormat="1" ht="27" customHeight="1" spans="1:6">
      <c r="A23" s="156">
        <v>20</v>
      </c>
      <c r="B23" s="160" t="s">
        <v>32</v>
      </c>
      <c r="C23" s="160" t="s">
        <v>20</v>
      </c>
      <c r="D23" s="160" t="s">
        <v>6</v>
      </c>
      <c r="E23" s="158"/>
      <c r="F23" s="159"/>
    </row>
    <row r="24" s="147" customFormat="1" ht="27" customHeight="1" spans="1:6">
      <c r="A24" s="156">
        <v>21</v>
      </c>
      <c r="B24" s="157" t="s">
        <v>33</v>
      </c>
      <c r="C24" s="157"/>
      <c r="D24" s="157"/>
      <c r="E24" s="158"/>
      <c r="F24" s="159"/>
    </row>
    <row r="25" s="147" customFormat="1" ht="27" customHeight="1" spans="1:6">
      <c r="A25" s="156">
        <v>22</v>
      </c>
      <c r="B25" s="160" t="s">
        <v>34</v>
      </c>
      <c r="C25" s="160"/>
      <c r="D25" s="160"/>
      <c r="E25" s="158"/>
      <c r="F25" s="159"/>
    </row>
    <row r="26" s="147" customFormat="1" ht="27" customHeight="1" spans="1:6">
      <c r="A26" s="156">
        <v>23</v>
      </c>
      <c r="B26" s="160" t="s">
        <v>35</v>
      </c>
      <c r="C26" s="160" t="s">
        <v>27</v>
      </c>
      <c r="D26" s="160" t="s">
        <v>10</v>
      </c>
      <c r="E26" s="158"/>
      <c r="F26" s="159"/>
    </row>
    <row r="27" s="147" customFormat="1" ht="27" customHeight="1" spans="1:6">
      <c r="A27" s="156">
        <v>24</v>
      </c>
      <c r="B27" s="160" t="s">
        <v>36</v>
      </c>
      <c r="C27" s="160" t="s">
        <v>20</v>
      </c>
      <c r="D27" s="160" t="s">
        <v>10</v>
      </c>
      <c r="E27" s="158"/>
      <c r="F27" s="159"/>
    </row>
    <row r="28" s="147" customFormat="1" ht="27" customHeight="1" spans="1:6">
      <c r="A28" s="156">
        <v>25</v>
      </c>
      <c r="B28" s="160" t="s">
        <v>37</v>
      </c>
      <c r="C28" s="160" t="s">
        <v>27</v>
      </c>
      <c r="D28" s="160" t="s">
        <v>10</v>
      </c>
      <c r="E28" s="158"/>
      <c r="F28" s="159"/>
    </row>
    <row r="29" s="147" customFormat="1" ht="27" customHeight="1" spans="1:6">
      <c r="A29" s="156">
        <v>26</v>
      </c>
      <c r="B29" s="160" t="s">
        <v>38</v>
      </c>
      <c r="C29" s="160" t="s">
        <v>27</v>
      </c>
      <c r="D29" s="160" t="s">
        <v>10</v>
      </c>
      <c r="E29" s="158"/>
      <c r="F29" s="159"/>
    </row>
    <row r="30" s="147" customFormat="1" ht="27" customHeight="1" spans="1:6">
      <c r="A30" s="156">
        <v>27</v>
      </c>
      <c r="B30" s="160" t="s">
        <v>39</v>
      </c>
      <c r="C30" s="160" t="s">
        <v>27</v>
      </c>
      <c r="D30" s="160" t="s">
        <v>10</v>
      </c>
      <c r="E30" s="158"/>
      <c r="F30" s="159"/>
    </row>
    <row r="31" s="147" customFormat="1" ht="27" customHeight="1" spans="1:6">
      <c r="A31" s="156"/>
      <c r="B31" s="160" t="s">
        <v>40</v>
      </c>
      <c r="C31" s="160" t="s">
        <v>20</v>
      </c>
      <c r="D31" s="160" t="s">
        <v>10</v>
      </c>
      <c r="E31" s="158"/>
      <c r="F31" s="159"/>
    </row>
    <row r="32" s="147" customFormat="1" ht="27" customHeight="1" spans="1:6">
      <c r="A32" s="156">
        <v>28</v>
      </c>
      <c r="B32" s="160" t="s">
        <v>41</v>
      </c>
      <c r="C32" s="160"/>
      <c r="D32" s="160"/>
      <c r="E32" s="158"/>
      <c r="F32" s="159"/>
    </row>
    <row r="33" s="147" customFormat="1" ht="27" customHeight="1" spans="1:6">
      <c r="A33" s="156">
        <v>29</v>
      </c>
      <c r="B33" s="160" t="s">
        <v>42</v>
      </c>
      <c r="C33" s="160" t="s">
        <v>27</v>
      </c>
      <c r="D33" s="160" t="s">
        <v>43</v>
      </c>
      <c r="E33" s="158"/>
      <c r="F33" s="159"/>
    </row>
    <row r="34" s="147" customFormat="1" ht="27" customHeight="1" spans="1:6">
      <c r="A34" s="156">
        <v>30</v>
      </c>
      <c r="B34" s="160" t="s">
        <v>44</v>
      </c>
      <c r="C34" s="160" t="s">
        <v>27</v>
      </c>
      <c r="D34" s="160" t="s">
        <v>43</v>
      </c>
      <c r="E34" s="158"/>
      <c r="F34" s="159"/>
    </row>
    <row r="35" s="147" customFormat="1" ht="27" customHeight="1" spans="1:6">
      <c r="A35" s="156">
        <v>31</v>
      </c>
      <c r="B35" s="160" t="s">
        <v>45</v>
      </c>
      <c r="C35" s="160" t="s">
        <v>27</v>
      </c>
      <c r="D35" s="160" t="s">
        <v>43</v>
      </c>
      <c r="E35" s="158"/>
      <c r="F35" s="159"/>
    </row>
    <row r="36" s="147" customFormat="1" ht="27" customHeight="1" spans="1:6">
      <c r="A36" s="156">
        <v>32</v>
      </c>
      <c r="B36" s="160" t="s">
        <v>46</v>
      </c>
      <c r="C36" s="160" t="s">
        <v>27</v>
      </c>
      <c r="D36" s="160" t="s">
        <v>43</v>
      </c>
      <c r="E36" s="158"/>
      <c r="F36" s="159"/>
    </row>
    <row r="37" s="147" customFormat="1" ht="27" customHeight="1" spans="1:6">
      <c r="A37" s="156"/>
      <c r="B37" s="160" t="s">
        <v>47</v>
      </c>
      <c r="C37" s="160" t="s">
        <v>27</v>
      </c>
      <c r="D37" s="160" t="s">
        <v>43</v>
      </c>
      <c r="E37" s="158"/>
      <c r="F37" s="159"/>
    </row>
    <row r="38" s="147" customFormat="1" ht="27" customHeight="1" spans="1:6">
      <c r="A38" s="156">
        <v>34</v>
      </c>
      <c r="B38" s="160" t="s">
        <v>48</v>
      </c>
      <c r="C38" s="160" t="s">
        <v>49</v>
      </c>
      <c r="D38" s="160" t="s">
        <v>50</v>
      </c>
      <c r="E38" s="158"/>
      <c r="F38" s="159"/>
    </row>
    <row r="39" s="147" customFormat="1" ht="27" customHeight="1" spans="1:6">
      <c r="A39" s="156">
        <v>35</v>
      </c>
      <c r="B39" s="160" t="s">
        <v>51</v>
      </c>
      <c r="C39" s="160" t="s">
        <v>49</v>
      </c>
      <c r="D39" s="160" t="s">
        <v>18</v>
      </c>
      <c r="E39" s="158"/>
      <c r="F39" s="159"/>
    </row>
    <row r="40" s="147" customFormat="1" ht="27" customHeight="1" spans="1:6">
      <c r="A40" s="156">
        <v>36</v>
      </c>
      <c r="B40" s="157" t="s">
        <v>52</v>
      </c>
      <c r="C40" s="160" t="s">
        <v>49</v>
      </c>
      <c r="D40" s="160" t="s">
        <v>18</v>
      </c>
      <c r="E40" s="158"/>
      <c r="F40" s="159"/>
    </row>
    <row r="41" s="147" customFormat="1" ht="27" customHeight="1" spans="1:6">
      <c r="A41" s="156">
        <v>37</v>
      </c>
      <c r="B41" s="160" t="s">
        <v>53</v>
      </c>
      <c r="C41" s="160" t="s">
        <v>49</v>
      </c>
      <c r="D41" s="160" t="s">
        <v>18</v>
      </c>
      <c r="E41" s="158"/>
      <c r="F41" s="159"/>
    </row>
    <row r="42" s="147" customFormat="1" ht="27" customHeight="1" spans="1:6">
      <c r="A42" s="156">
        <v>38</v>
      </c>
      <c r="B42" s="160" t="s">
        <v>54</v>
      </c>
      <c r="C42" s="160" t="s">
        <v>49</v>
      </c>
      <c r="D42" s="160" t="s">
        <v>14</v>
      </c>
      <c r="E42" s="158"/>
      <c r="F42" s="159"/>
    </row>
    <row r="43" s="147" customFormat="1" ht="27" customHeight="1" spans="1:6">
      <c r="A43" s="156">
        <v>40</v>
      </c>
      <c r="B43" s="160" t="s">
        <v>55</v>
      </c>
      <c r="C43" s="160" t="s">
        <v>49</v>
      </c>
      <c r="D43" s="160" t="s">
        <v>18</v>
      </c>
      <c r="E43" s="162"/>
      <c r="F43" s="159"/>
    </row>
    <row r="44" s="147" customFormat="1" ht="27" customHeight="1" spans="1:6">
      <c r="A44" s="156">
        <v>41</v>
      </c>
      <c r="B44" s="160" t="s">
        <v>56</v>
      </c>
      <c r="C44" s="160" t="s">
        <v>49</v>
      </c>
      <c r="D44" s="160" t="s">
        <v>18</v>
      </c>
      <c r="E44" s="158"/>
      <c r="F44" s="159"/>
    </row>
    <row r="45" s="147" customFormat="1" ht="27" customHeight="1" spans="1:6">
      <c r="A45" s="156">
        <v>42</v>
      </c>
      <c r="B45" s="160" t="s">
        <v>57</v>
      </c>
      <c r="C45" s="160" t="s">
        <v>49</v>
      </c>
      <c r="D45" s="160" t="s">
        <v>18</v>
      </c>
      <c r="E45" s="158"/>
      <c r="F45" s="159"/>
    </row>
    <row r="46" s="147" customFormat="1" ht="62.1" customHeight="1" spans="1:6">
      <c r="A46" s="156">
        <v>43</v>
      </c>
      <c r="B46" s="160" t="s">
        <v>58</v>
      </c>
      <c r="C46" s="160" t="s">
        <v>49</v>
      </c>
      <c r="D46" s="163" t="s">
        <v>59</v>
      </c>
      <c r="E46" s="158"/>
      <c r="F46" s="164"/>
    </row>
    <row r="47" s="147" customFormat="1" ht="27" customHeight="1" spans="1:6">
      <c r="A47" s="156">
        <v>44</v>
      </c>
      <c r="B47" s="160" t="s">
        <v>60</v>
      </c>
      <c r="C47" s="160" t="s">
        <v>49</v>
      </c>
      <c r="D47" s="160" t="s">
        <v>18</v>
      </c>
      <c r="E47" s="158"/>
      <c r="F47" s="159"/>
    </row>
    <row r="48" s="147" customFormat="1" ht="27" customHeight="1" spans="1:6">
      <c r="A48" s="156">
        <v>45</v>
      </c>
      <c r="B48" s="160" t="s">
        <v>61</v>
      </c>
      <c r="C48" s="160" t="s">
        <v>49</v>
      </c>
      <c r="D48" s="160" t="s">
        <v>18</v>
      </c>
      <c r="E48" s="158"/>
      <c r="F48" s="159"/>
    </row>
    <row r="49" s="147" customFormat="1" ht="27" customHeight="1" spans="1:6">
      <c r="A49" s="156">
        <v>46</v>
      </c>
      <c r="B49" s="160" t="s">
        <v>62</v>
      </c>
      <c r="C49" s="160" t="s">
        <v>49</v>
      </c>
      <c r="D49" s="160" t="s">
        <v>18</v>
      </c>
      <c r="E49" s="158"/>
      <c r="F49" s="159"/>
    </row>
    <row r="50" s="147" customFormat="1" ht="27" customHeight="1" spans="1:6">
      <c r="A50" s="156">
        <v>47</v>
      </c>
      <c r="B50" s="160" t="s">
        <v>63</v>
      </c>
      <c r="C50" s="160" t="s">
        <v>49</v>
      </c>
      <c r="D50" s="160" t="s">
        <v>6</v>
      </c>
      <c r="E50" s="158"/>
      <c r="F50" s="159"/>
    </row>
    <row r="51" s="147" customFormat="1" ht="27" customHeight="1" spans="1:6">
      <c r="A51" s="156">
        <v>48</v>
      </c>
      <c r="B51" s="160" t="s">
        <v>64</v>
      </c>
      <c r="C51" s="160" t="s">
        <v>49</v>
      </c>
      <c r="D51" s="160" t="s">
        <v>65</v>
      </c>
      <c r="E51" s="158"/>
      <c r="F51" s="159"/>
    </row>
    <row r="52" s="147" customFormat="1" ht="27" customHeight="1" spans="1:6">
      <c r="A52" s="156">
        <v>49</v>
      </c>
      <c r="B52" s="160" t="s">
        <v>66</v>
      </c>
      <c r="C52" s="160" t="s">
        <v>49</v>
      </c>
      <c r="D52" s="160" t="s">
        <v>14</v>
      </c>
      <c r="E52" s="158"/>
      <c r="F52" s="159"/>
    </row>
    <row r="53" s="147" customFormat="1" ht="27" customHeight="1" spans="1:6">
      <c r="A53" s="156">
        <v>50</v>
      </c>
      <c r="B53" s="160" t="s">
        <v>67</v>
      </c>
      <c r="C53" s="160" t="s">
        <v>49</v>
      </c>
      <c r="D53" s="160" t="s">
        <v>14</v>
      </c>
      <c r="E53" s="158"/>
      <c r="F53" s="159"/>
    </row>
    <row r="54" s="147" customFormat="1" ht="27" customHeight="1" spans="1:6">
      <c r="A54" s="156">
        <v>51</v>
      </c>
      <c r="B54" s="157" t="s">
        <v>68</v>
      </c>
      <c r="C54" s="157"/>
      <c r="D54" s="157"/>
      <c r="E54" s="158"/>
      <c r="F54" s="159"/>
    </row>
    <row r="55" s="149" customFormat="1" ht="64.15" customHeight="1" spans="1:10">
      <c r="A55" s="165" t="s">
        <v>69</v>
      </c>
      <c r="B55" s="165"/>
      <c r="C55" s="165"/>
      <c r="D55" s="165"/>
      <c r="E55" s="166"/>
      <c r="F55" s="149" t="s">
        <v>70</v>
      </c>
      <c r="J55" s="168"/>
    </row>
    <row r="56" s="147" customFormat="1" spans="5:5">
      <c r="E56" s="150"/>
    </row>
    <row r="57" s="147" customFormat="1" spans="5:5">
      <c r="E57" s="150"/>
    </row>
    <row r="58" s="147" customFormat="1" ht="20.25" spans="2:5">
      <c r="B58" s="167"/>
      <c r="C58" s="167"/>
      <c r="D58" s="167"/>
      <c r="E58" s="150"/>
    </row>
  </sheetData>
  <mergeCells count="2">
    <mergeCell ref="A2:F2"/>
    <mergeCell ref="A55:E5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Y80"/>
  <sheetViews>
    <sheetView tabSelected="1" zoomScale="60" zoomScaleNormal="60" topLeftCell="C11" workbookViewId="0">
      <selection activeCell="T77" sqref="T77"/>
    </sheetView>
  </sheetViews>
  <sheetFormatPr defaultColWidth="9" defaultRowHeight="13.5"/>
  <cols>
    <col min="1" max="1" width="8.88333333333333" style="23" customWidth="1"/>
    <col min="2" max="2" width="5" style="24" customWidth="1"/>
    <col min="3" max="3" width="52.8916666666667" style="25" customWidth="1"/>
    <col min="4" max="4" width="45.775" style="25" customWidth="1"/>
    <col min="5" max="5" width="17.4416666666667" style="25" customWidth="1"/>
    <col min="6" max="6" width="14.6666666666667" style="25" hidden="1" customWidth="1"/>
    <col min="7" max="7" width="32.4416666666667" style="25" customWidth="1"/>
    <col min="8" max="8" width="22.1083333333333" style="25" customWidth="1"/>
    <col min="9" max="9" width="18.6666666666667" style="25" customWidth="1"/>
    <col min="10" max="10" width="16.8916666666667" style="25" customWidth="1"/>
    <col min="11" max="11" width="23.6666666666667" style="26" hidden="1" customWidth="1"/>
    <col min="12" max="12" width="14.4416666666667" style="27" hidden="1" customWidth="1"/>
    <col min="13" max="13" width="19.6666666666667" style="25" hidden="1" customWidth="1"/>
    <col min="14" max="14" width="18.775" style="25" customWidth="1"/>
    <col min="15" max="15" width="16.8916666666667" style="25" customWidth="1"/>
    <col min="16" max="16" width="15.6666666666667" style="25" hidden="1" customWidth="1"/>
    <col min="17" max="17" width="19.4416666666667" style="25" customWidth="1"/>
    <col min="18" max="19" width="18.8916666666667" style="25" hidden="1" customWidth="1"/>
    <col min="20" max="20" width="19.8916666666667" style="25" customWidth="1"/>
    <col min="21" max="23" width="14.4416666666667" style="25" customWidth="1"/>
    <col min="24" max="24" width="16.6666666666667" style="28" customWidth="1"/>
    <col min="25" max="25" width="9.66666666666667" style="22" customWidth="1"/>
    <col min="26" max="26" width="12.6333333333333" style="22"/>
    <col min="27" max="16384" width="9" style="22"/>
  </cols>
  <sheetData>
    <row r="1" s="22" customFormat="1" ht="40" customHeight="1" spans="1:25">
      <c r="A1" s="23" t="s">
        <v>71</v>
      </c>
      <c r="B1" s="28" t="s">
        <v>72</v>
      </c>
      <c r="C1" s="28"/>
      <c r="D1" s="28"/>
      <c r="E1" s="28"/>
      <c r="F1" s="28"/>
      <c r="G1" s="28"/>
      <c r="H1" s="28"/>
      <c r="I1" s="28"/>
      <c r="J1" s="28"/>
      <c r="K1" s="26"/>
      <c r="L1" s="82"/>
      <c r="M1" s="28"/>
      <c r="N1" s="28"/>
      <c r="O1" s="28"/>
      <c r="P1" s="28"/>
      <c r="Q1" s="28"/>
      <c r="R1" s="28"/>
      <c r="S1" s="28"/>
      <c r="T1" s="28"/>
      <c r="U1" s="28"/>
      <c r="V1" s="28"/>
      <c r="W1" s="28"/>
      <c r="X1" s="28"/>
      <c r="Y1" s="118"/>
    </row>
    <row r="2" s="22" customFormat="1" ht="22" customHeight="1" spans="1:25">
      <c r="A2" s="29" t="s">
        <v>73</v>
      </c>
      <c r="B2" s="29" t="s">
        <v>2</v>
      </c>
      <c r="C2" s="30" t="s">
        <v>74</v>
      </c>
      <c r="D2" s="31" t="s">
        <v>75</v>
      </c>
      <c r="E2" s="30" t="s">
        <v>76</v>
      </c>
      <c r="F2" s="32" t="s">
        <v>77</v>
      </c>
      <c r="G2" s="33"/>
      <c r="H2" s="33"/>
      <c r="I2" s="30" t="s">
        <v>78</v>
      </c>
      <c r="J2" s="30">
        <v>223670744</v>
      </c>
      <c r="K2" s="30"/>
      <c r="L2" s="83"/>
      <c r="M2" s="83"/>
      <c r="N2" s="30"/>
      <c r="O2" s="30"/>
      <c r="P2" s="30"/>
      <c r="Q2" s="30"/>
      <c r="R2" s="30"/>
      <c r="S2" s="30"/>
      <c r="T2" s="30"/>
      <c r="U2" s="30"/>
      <c r="V2" s="30"/>
      <c r="W2" s="30"/>
      <c r="X2" s="30"/>
      <c r="Y2" s="119"/>
    </row>
    <row r="3" s="22" customFormat="1" ht="27" spans="1:25">
      <c r="A3" s="34"/>
      <c r="B3" s="34"/>
      <c r="C3" s="30" t="s">
        <v>79</v>
      </c>
      <c r="D3" s="35" t="s">
        <v>80</v>
      </c>
      <c r="E3" s="35" t="s">
        <v>81</v>
      </c>
      <c r="F3" s="36">
        <v>148231380.15</v>
      </c>
      <c r="G3" s="37"/>
      <c r="H3" s="38"/>
      <c r="I3" s="30" t="s">
        <v>82</v>
      </c>
      <c r="J3" s="73">
        <v>148231380.15</v>
      </c>
      <c r="K3" s="73"/>
      <c r="L3" s="73"/>
      <c r="M3" s="73"/>
      <c r="N3" s="73"/>
      <c r="O3" s="30"/>
      <c r="P3" s="30"/>
      <c r="Q3" s="30"/>
      <c r="R3" s="30"/>
      <c r="S3" s="30"/>
      <c r="T3" s="30"/>
      <c r="U3" s="30"/>
      <c r="V3" s="30"/>
      <c r="W3" s="30"/>
      <c r="X3" s="30"/>
      <c r="Y3" s="119"/>
    </row>
    <row r="4" s="22" customFormat="1" ht="22" customHeight="1" spans="1:25">
      <c r="A4" s="34"/>
      <c r="B4" s="34"/>
      <c r="C4" s="39" t="s">
        <v>83</v>
      </c>
      <c r="D4" s="40" t="s">
        <v>84</v>
      </c>
      <c r="E4" s="41"/>
      <c r="F4" s="42" t="s">
        <v>85</v>
      </c>
      <c r="G4" s="43"/>
      <c r="H4" s="44" t="s">
        <v>86</v>
      </c>
      <c r="I4" s="44" t="s">
        <v>87</v>
      </c>
      <c r="J4" s="84" t="s">
        <v>88</v>
      </c>
      <c r="K4" s="84" t="s">
        <v>89</v>
      </c>
      <c r="L4" s="85"/>
      <c r="M4" s="85"/>
      <c r="N4" s="84"/>
      <c r="O4" s="84"/>
      <c r="P4" s="84"/>
      <c r="Q4" s="84"/>
      <c r="R4" s="84"/>
      <c r="S4" s="84"/>
      <c r="T4" s="84"/>
      <c r="U4" s="84"/>
      <c r="V4" s="84"/>
      <c r="W4" s="84"/>
      <c r="X4" s="84"/>
      <c r="Y4" s="120"/>
    </row>
    <row r="5" s="22" customFormat="1" ht="22" customHeight="1" spans="1:25">
      <c r="A5" s="34"/>
      <c r="B5" s="34"/>
      <c r="C5" s="45"/>
      <c r="D5" s="46"/>
      <c r="E5" s="47"/>
      <c r="F5" s="48"/>
      <c r="G5" s="49"/>
      <c r="H5" s="50"/>
      <c r="I5" s="50"/>
      <c r="J5" s="84"/>
      <c r="K5" s="84"/>
      <c r="L5" s="85"/>
      <c r="M5" s="85"/>
      <c r="N5" s="84"/>
      <c r="O5" s="84"/>
      <c r="P5" s="84"/>
      <c r="Q5" s="84"/>
      <c r="R5" s="84"/>
      <c r="S5" s="84"/>
      <c r="T5" s="84"/>
      <c r="U5" s="84"/>
      <c r="V5" s="84"/>
      <c r="W5" s="84"/>
      <c r="X5" s="84"/>
      <c r="Y5" s="120"/>
    </row>
    <row r="6" s="22" customFormat="1" ht="22" customHeight="1" spans="1:25">
      <c r="A6" s="34"/>
      <c r="B6" s="34"/>
      <c r="C6" s="51" t="s">
        <v>90</v>
      </c>
      <c r="D6" s="52">
        <v>20000000</v>
      </c>
      <c r="E6" s="53"/>
      <c r="F6" s="54">
        <v>0.8</v>
      </c>
      <c r="G6" s="55"/>
      <c r="H6" s="56">
        <v>6080000</v>
      </c>
      <c r="I6" s="86">
        <v>0</v>
      </c>
      <c r="J6" s="86">
        <v>501630.670000017</v>
      </c>
      <c r="K6" s="87" t="s">
        <v>91</v>
      </c>
      <c r="L6" s="88"/>
      <c r="M6" s="88"/>
      <c r="N6" s="89"/>
      <c r="O6" s="89"/>
      <c r="P6" s="89"/>
      <c r="Q6" s="89"/>
      <c r="R6" s="89"/>
      <c r="S6" s="89"/>
      <c r="T6" s="89"/>
      <c r="U6" s="89"/>
      <c r="V6" s="89"/>
      <c r="W6" s="89"/>
      <c r="X6" s="89"/>
      <c r="Y6" s="121"/>
    </row>
    <row r="7" s="22" customFormat="1" ht="22" customHeight="1" spans="1:25">
      <c r="A7" s="34"/>
      <c r="B7" s="34"/>
      <c r="C7" s="30" t="s">
        <v>92</v>
      </c>
      <c r="D7" s="57">
        <f>+F3+D6</f>
        <v>168231380.15</v>
      </c>
      <c r="E7" s="58"/>
      <c r="F7" s="54">
        <v>0.8</v>
      </c>
      <c r="G7" s="55"/>
      <c r="H7" s="59">
        <v>135460560.86</v>
      </c>
      <c r="I7" s="59">
        <v>134958930.19</v>
      </c>
      <c r="J7" s="86">
        <v>501630.670000017</v>
      </c>
      <c r="K7" s="90"/>
      <c r="L7" s="91"/>
      <c r="M7" s="91"/>
      <c r="N7" s="92"/>
      <c r="O7" s="92"/>
      <c r="P7" s="92"/>
      <c r="Q7" s="92"/>
      <c r="R7" s="92"/>
      <c r="S7" s="92"/>
      <c r="T7" s="92"/>
      <c r="U7" s="92"/>
      <c r="V7" s="92"/>
      <c r="W7" s="92"/>
      <c r="X7" s="92"/>
      <c r="Y7" s="122"/>
    </row>
    <row r="8" s="22" customFormat="1" ht="22" customHeight="1" spans="1:25">
      <c r="A8" s="34"/>
      <c r="B8" s="34"/>
      <c r="C8" s="30" t="s">
        <v>93</v>
      </c>
      <c r="D8" s="60">
        <v>135460560.86</v>
      </c>
      <c r="E8" s="60"/>
      <c r="F8" s="60"/>
      <c r="G8" s="60"/>
      <c r="H8" s="60"/>
      <c r="I8" s="60"/>
      <c r="J8" s="60"/>
      <c r="K8" s="93"/>
      <c r="L8" s="94"/>
      <c r="M8" s="94"/>
      <c r="N8" s="95"/>
      <c r="O8" s="95"/>
      <c r="P8" s="95"/>
      <c r="Q8" s="95"/>
      <c r="R8" s="95"/>
      <c r="S8" s="95"/>
      <c r="T8" s="107"/>
      <c r="U8" s="107"/>
      <c r="V8" s="107"/>
      <c r="W8" s="107"/>
      <c r="X8" s="107"/>
      <c r="Y8" s="123"/>
    </row>
    <row r="9" s="22" customFormat="1" ht="22" customHeight="1" spans="1:25">
      <c r="A9" s="35" t="s">
        <v>94</v>
      </c>
      <c r="B9" s="35" t="s">
        <v>95</v>
      </c>
      <c r="C9" s="35"/>
      <c r="D9" s="35"/>
      <c r="E9" s="35"/>
      <c r="F9" s="35"/>
      <c r="G9" s="35"/>
      <c r="H9" s="35"/>
      <c r="I9" s="35"/>
      <c r="J9" s="30" t="s">
        <v>96</v>
      </c>
      <c r="K9" s="30"/>
      <c r="L9" s="30"/>
      <c r="M9" s="30"/>
      <c r="N9" s="30"/>
      <c r="O9" s="30"/>
      <c r="P9" s="30"/>
      <c r="Q9" s="30"/>
      <c r="R9" s="30"/>
      <c r="S9" s="30"/>
      <c r="T9" s="108" t="s">
        <v>97</v>
      </c>
      <c r="U9" s="109"/>
      <c r="V9" s="109"/>
      <c r="W9" s="109"/>
      <c r="X9" s="109"/>
      <c r="Y9" s="124"/>
    </row>
    <row r="10" s="22" customFormat="1" ht="22" customHeight="1" spans="1:25">
      <c r="A10" s="35"/>
      <c r="B10" s="51" t="s">
        <v>2</v>
      </c>
      <c r="C10" s="45" t="s">
        <v>98</v>
      </c>
      <c r="D10" s="51" t="s">
        <v>99</v>
      </c>
      <c r="E10" s="35" t="s">
        <v>100</v>
      </c>
      <c r="F10" s="35" t="s">
        <v>101</v>
      </c>
      <c r="G10" s="35" t="s">
        <v>102</v>
      </c>
      <c r="H10" s="51" t="s">
        <v>103</v>
      </c>
      <c r="I10" s="45" t="s">
        <v>7</v>
      </c>
      <c r="J10" s="45" t="s">
        <v>2</v>
      </c>
      <c r="K10" s="45" t="s">
        <v>98</v>
      </c>
      <c r="L10" s="45"/>
      <c r="M10" s="45" t="s">
        <v>104</v>
      </c>
      <c r="N10" s="45" t="s">
        <v>105</v>
      </c>
      <c r="O10" s="45" t="s">
        <v>106</v>
      </c>
      <c r="P10" s="45"/>
      <c r="Q10" s="45"/>
      <c r="R10" s="45"/>
      <c r="S10" s="45" t="s">
        <v>7</v>
      </c>
      <c r="T10" s="99"/>
      <c r="U10" s="99"/>
      <c r="V10" s="99"/>
      <c r="W10" s="99"/>
      <c r="X10" s="99"/>
      <c r="Y10" s="125"/>
    </row>
    <row r="11" s="22" customFormat="1" ht="22" customHeight="1" spans="1:25">
      <c r="A11" s="35"/>
      <c r="B11" s="30"/>
      <c r="C11" s="30" t="s">
        <v>107</v>
      </c>
      <c r="D11" s="61">
        <v>0</v>
      </c>
      <c r="E11" s="61">
        <v>6000000</v>
      </c>
      <c r="F11" s="61">
        <v>7000000</v>
      </c>
      <c r="G11" s="61">
        <v>5000000</v>
      </c>
      <c r="H11" s="62">
        <f>I7+D11+E11+F11+G11</f>
        <v>152958930.19</v>
      </c>
      <c r="I11" s="96"/>
      <c r="J11" s="30">
        <v>6</v>
      </c>
      <c r="K11" s="30" t="s">
        <v>108</v>
      </c>
      <c r="L11" s="60"/>
      <c r="M11" s="60">
        <f>O74</f>
        <v>121029163.15</v>
      </c>
      <c r="N11" s="60" t="s">
        <v>109</v>
      </c>
      <c r="O11" s="60" t="s">
        <v>109</v>
      </c>
      <c r="P11" s="60"/>
      <c r="Q11" s="60">
        <f>[2]汇总表!$D$27-M11</f>
        <v>0</v>
      </c>
      <c r="R11" s="30"/>
      <c r="S11" s="30"/>
      <c r="T11" s="110"/>
      <c r="U11" s="110"/>
      <c r="V11" s="110"/>
      <c r="W11" s="110"/>
      <c r="X11" s="109"/>
      <c r="Y11" s="126"/>
    </row>
    <row r="12" s="22" customFormat="1" ht="22" customHeight="1" spans="1:24">
      <c r="A12" s="35"/>
      <c r="B12" s="35">
        <v>1</v>
      </c>
      <c r="C12" s="30" t="s">
        <v>110</v>
      </c>
      <c r="D12" s="60">
        <v>0</v>
      </c>
      <c r="E12" s="36">
        <v>0</v>
      </c>
      <c r="F12" s="36">
        <v>0</v>
      </c>
      <c r="G12" s="36">
        <v>0</v>
      </c>
      <c r="H12" s="62">
        <f>I7+D12+E12+F12+G12</f>
        <v>134958930.19</v>
      </c>
      <c r="I12" s="96"/>
      <c r="J12" s="63" t="s">
        <v>111</v>
      </c>
      <c r="K12" s="30" t="s">
        <v>112</v>
      </c>
      <c r="L12" s="60"/>
      <c r="M12" s="60">
        <v>684018.52</v>
      </c>
      <c r="N12" s="60" t="s">
        <v>109</v>
      </c>
      <c r="O12" s="60" t="s">
        <v>109</v>
      </c>
      <c r="P12" s="60"/>
      <c r="Q12" s="60"/>
      <c r="R12" s="30"/>
      <c r="S12" s="30"/>
      <c r="T12" s="25"/>
      <c r="U12" s="25"/>
      <c r="V12" s="25"/>
      <c r="W12" s="25"/>
      <c r="X12" s="28"/>
    </row>
    <row r="13" s="22" customFormat="1" ht="22" customHeight="1" spans="1:24">
      <c r="A13" s="35"/>
      <c r="B13" s="63" t="s">
        <v>113</v>
      </c>
      <c r="C13" s="30" t="s">
        <v>114</v>
      </c>
      <c r="D13" s="60">
        <v>0</v>
      </c>
      <c r="E13" s="36" t="s">
        <v>109</v>
      </c>
      <c r="F13" s="36" t="s">
        <v>109</v>
      </c>
      <c r="G13" s="36" t="s">
        <v>109</v>
      </c>
      <c r="H13" s="62">
        <f>D8/1.09*0.09</f>
        <v>11184816.9517431</v>
      </c>
      <c r="I13" s="96"/>
      <c r="J13" s="30">
        <v>7</v>
      </c>
      <c r="K13" s="30" t="s">
        <v>115</v>
      </c>
      <c r="L13" s="60"/>
      <c r="M13" s="60">
        <v>0</v>
      </c>
      <c r="N13" s="60">
        <v>0</v>
      </c>
      <c r="O13" s="60">
        <f t="shared" ref="O13:O17" si="0">N13-M13</f>
        <v>0</v>
      </c>
      <c r="P13" s="60"/>
      <c r="Q13" s="60">
        <v>118806899.35</v>
      </c>
      <c r="R13" s="35"/>
      <c r="S13" s="35"/>
      <c r="T13" s="25"/>
      <c r="U13" s="25"/>
      <c r="V13" s="25"/>
      <c r="W13" s="25"/>
      <c r="X13" s="28"/>
    </row>
    <row r="14" s="22" customFormat="1" ht="22" customHeight="1" spans="1:24">
      <c r="A14" s="35"/>
      <c r="B14" s="35">
        <v>2</v>
      </c>
      <c r="C14" s="30" t="s">
        <v>116</v>
      </c>
      <c r="D14" s="60">
        <v>0</v>
      </c>
      <c r="E14" s="36" t="s">
        <v>109</v>
      </c>
      <c r="F14" s="36" t="s">
        <v>109</v>
      </c>
      <c r="G14" s="36" t="s">
        <v>109</v>
      </c>
      <c r="H14" s="62">
        <v>0</v>
      </c>
      <c r="I14" s="96"/>
      <c r="J14" s="30">
        <v>8</v>
      </c>
      <c r="K14" s="30" t="s">
        <v>117</v>
      </c>
      <c r="L14" s="60"/>
      <c r="M14" s="60">
        <v>0</v>
      </c>
      <c r="N14" s="60">
        <v>0</v>
      </c>
      <c r="O14" s="60">
        <f t="shared" si="0"/>
        <v>0</v>
      </c>
      <c r="P14" s="60"/>
      <c r="Q14" s="60"/>
      <c r="R14" s="35"/>
      <c r="S14" s="35"/>
      <c r="T14" s="25"/>
      <c r="U14" s="25"/>
      <c r="V14" s="25"/>
      <c r="W14" s="25"/>
      <c r="X14" s="28"/>
    </row>
    <row r="15" s="22" customFormat="1" ht="22" customHeight="1" spans="1:25">
      <c r="A15" s="35"/>
      <c r="B15" s="35">
        <v>3</v>
      </c>
      <c r="C15" s="30" t="s">
        <v>118</v>
      </c>
      <c r="D15" s="60">
        <v>0</v>
      </c>
      <c r="E15" s="36" t="s">
        <v>109</v>
      </c>
      <c r="F15" s="36" t="s">
        <v>109</v>
      </c>
      <c r="G15" s="36" t="s">
        <v>109</v>
      </c>
      <c r="H15" s="62">
        <v>0</v>
      </c>
      <c r="I15" s="96"/>
      <c r="J15" s="30">
        <v>9</v>
      </c>
      <c r="K15" s="30" t="s">
        <v>119</v>
      </c>
      <c r="L15" s="60"/>
      <c r="M15" s="60">
        <v>136758.93</v>
      </c>
      <c r="N15" s="60">
        <v>7063133.4</v>
      </c>
      <c r="O15" s="60">
        <f t="shared" si="0"/>
        <v>6926374.47</v>
      </c>
      <c r="P15" s="60"/>
      <c r="Q15" s="60"/>
      <c r="R15" s="35"/>
      <c r="S15" s="35"/>
      <c r="T15" s="25"/>
      <c r="U15" s="25"/>
      <c r="V15" s="25"/>
      <c r="W15" s="25"/>
      <c r="X15" s="28"/>
      <c r="Y15" s="22" t="s">
        <v>120</v>
      </c>
    </row>
    <row r="16" s="22" customFormat="1" ht="22" customHeight="1" spans="1:25">
      <c r="A16" s="35"/>
      <c r="B16" s="35">
        <v>4</v>
      </c>
      <c r="C16" s="30" t="s">
        <v>121</v>
      </c>
      <c r="D16" s="60">
        <v>0</v>
      </c>
      <c r="E16" s="36" t="s">
        <v>109</v>
      </c>
      <c r="F16" s="36" t="s">
        <v>109</v>
      </c>
      <c r="G16" s="36" t="s">
        <v>109</v>
      </c>
      <c r="H16" s="62">
        <v>0</v>
      </c>
      <c r="I16" s="96"/>
      <c r="J16" s="30">
        <v>10</v>
      </c>
      <c r="K16" s="30" t="s">
        <v>122</v>
      </c>
      <c r="L16" s="60"/>
      <c r="M16" s="60">
        <v>0</v>
      </c>
      <c r="N16" s="60">
        <v>0</v>
      </c>
      <c r="O16" s="60">
        <f t="shared" si="0"/>
        <v>0</v>
      </c>
      <c r="P16" s="60"/>
      <c r="Q16" s="60"/>
      <c r="R16" s="35"/>
      <c r="S16" s="35"/>
      <c r="T16" s="25"/>
      <c r="U16" s="25"/>
      <c r="V16" s="25"/>
      <c r="W16" s="25"/>
      <c r="X16" s="28"/>
      <c r="Y16" s="22" t="s">
        <v>123</v>
      </c>
    </row>
    <row r="17" s="22" customFormat="1" ht="22" customHeight="1" spans="1:25">
      <c r="A17" s="35"/>
      <c r="B17" s="30">
        <v>5</v>
      </c>
      <c r="C17" s="30" t="s">
        <v>124</v>
      </c>
      <c r="D17" s="60">
        <v>0</v>
      </c>
      <c r="E17" s="36" t="s">
        <v>109</v>
      </c>
      <c r="F17" s="36" t="s">
        <v>109</v>
      </c>
      <c r="G17" s="36" t="s">
        <v>109</v>
      </c>
      <c r="H17" s="62">
        <v>0</v>
      </c>
      <c r="I17" s="96"/>
      <c r="J17" s="30">
        <v>11</v>
      </c>
      <c r="K17" s="30" t="s">
        <v>125</v>
      </c>
      <c r="L17" s="60"/>
      <c r="M17" s="60">
        <v>1728527.51</v>
      </c>
      <c r="N17" s="60">
        <v>1728527.51</v>
      </c>
      <c r="O17" s="60">
        <f t="shared" si="0"/>
        <v>0</v>
      </c>
      <c r="P17" s="60"/>
      <c r="Q17" s="60"/>
      <c r="R17" s="35"/>
      <c r="S17" s="35"/>
      <c r="T17" s="25"/>
      <c r="U17" s="25"/>
      <c r="V17" s="25"/>
      <c r="W17" s="25"/>
      <c r="X17" s="28"/>
      <c r="Y17" s="22" t="s">
        <v>126</v>
      </c>
    </row>
    <row r="18" s="22" customFormat="1" ht="22" customHeight="1" spans="1:25">
      <c r="A18" s="35"/>
      <c r="B18" s="30" t="s">
        <v>127</v>
      </c>
      <c r="C18" s="30"/>
      <c r="D18" s="60">
        <f>D12+D14+D15+D16+D17</f>
        <v>0</v>
      </c>
      <c r="E18" s="64"/>
      <c r="F18" s="64"/>
      <c r="G18" s="64"/>
      <c r="H18" s="62">
        <f>H12+H14+H15+H16+H17</f>
        <v>134958930.19</v>
      </c>
      <c r="I18" s="96"/>
      <c r="J18" s="30" t="s">
        <v>128</v>
      </c>
      <c r="K18" s="30"/>
      <c r="L18" s="60"/>
      <c r="M18" s="60">
        <f>M11+M13+M14+M15+M16+M17</f>
        <v>122894449.59</v>
      </c>
      <c r="N18" s="60">
        <f>N13+N14+N15+N16+N17</f>
        <v>8791660.91</v>
      </c>
      <c r="O18" s="60">
        <f>SUM(O13:O17)</f>
        <v>6926374.47</v>
      </c>
      <c r="P18" s="60"/>
      <c r="Q18" s="60">
        <f>D19-[2]汇总表!$D$38</f>
        <v>0.00425400957465172</v>
      </c>
      <c r="R18" s="35"/>
      <c r="S18" s="35"/>
      <c r="T18" s="111"/>
      <c r="U18" s="111"/>
      <c r="V18" s="111"/>
      <c r="W18" s="111"/>
      <c r="X18" s="99"/>
      <c r="Y18" s="127"/>
    </row>
    <row r="19" s="22" customFormat="1" ht="22" customHeight="1" spans="1:25">
      <c r="A19" s="35"/>
      <c r="B19" s="45"/>
      <c r="C19" s="65" t="s">
        <v>129</v>
      </c>
      <c r="D19" s="66">
        <f>H18-M18</f>
        <v>12064480.6</v>
      </c>
      <c r="E19" s="67" t="s">
        <v>130</v>
      </c>
      <c r="F19" s="68">
        <v>0</v>
      </c>
      <c r="G19" s="69" t="s">
        <v>131</v>
      </c>
      <c r="H19" s="70">
        <f>D19-F19</f>
        <v>12064480.6</v>
      </c>
      <c r="I19" s="97" t="s">
        <v>132</v>
      </c>
      <c r="J19" s="97"/>
      <c r="K19" s="98"/>
      <c r="L19" s="99"/>
      <c r="M19" s="99"/>
      <c r="N19" s="99"/>
      <c r="O19" s="99"/>
      <c r="P19" s="99"/>
      <c r="Q19" s="99"/>
      <c r="R19" s="99"/>
      <c r="S19" s="99"/>
      <c r="T19" s="99"/>
      <c r="U19" s="99"/>
      <c r="V19" s="99"/>
      <c r="W19" s="99"/>
      <c r="X19" s="99"/>
      <c r="Y19" s="128"/>
    </row>
    <row r="20" s="22" customFormat="1" ht="54" customHeight="1" spans="1:25">
      <c r="A20" s="35" t="s">
        <v>133</v>
      </c>
      <c r="B20" s="30"/>
      <c r="C20" s="35" t="s">
        <v>134</v>
      </c>
      <c r="D20" s="69" t="s">
        <v>135</v>
      </c>
      <c r="E20" s="69" t="s">
        <v>136</v>
      </c>
      <c r="F20" s="35" t="s">
        <v>137</v>
      </c>
      <c r="G20" s="35" t="s">
        <v>138</v>
      </c>
      <c r="H20" s="35" t="s">
        <v>139</v>
      </c>
      <c r="I20" s="35" t="s">
        <v>140</v>
      </c>
      <c r="J20" s="35" t="s">
        <v>141</v>
      </c>
      <c r="K20" s="35" t="s">
        <v>142</v>
      </c>
      <c r="L20" s="85"/>
      <c r="M20" s="85" t="s">
        <v>143</v>
      </c>
      <c r="N20" s="84" t="s">
        <v>144</v>
      </c>
      <c r="O20" s="84" t="s">
        <v>145</v>
      </c>
      <c r="P20" s="84"/>
      <c r="Q20" s="84" t="s">
        <v>146</v>
      </c>
      <c r="R20" s="84" t="s">
        <v>147</v>
      </c>
      <c r="S20" s="84" t="s">
        <v>148</v>
      </c>
      <c r="T20" s="84" t="s">
        <v>149</v>
      </c>
      <c r="U20" s="84" t="s">
        <v>150</v>
      </c>
      <c r="V20" s="84" t="s">
        <v>151</v>
      </c>
      <c r="W20" s="84" t="s">
        <v>152</v>
      </c>
      <c r="X20" s="84" t="s">
        <v>153</v>
      </c>
      <c r="Y20" s="129"/>
    </row>
    <row r="21" s="22" customFormat="1" ht="22" hidden="1" customHeight="1" spans="1:24">
      <c r="A21" s="35"/>
      <c r="B21" s="30">
        <v>2</v>
      </c>
      <c r="C21" s="30" t="s">
        <v>154</v>
      </c>
      <c r="D21" s="35" t="str">
        <f>VLOOKUP(C21,[1]Sheet1!$B$1:$D$38,3,0)</f>
        <v>JZJG-GYY（113/114）-2022-CGF-01(N)</v>
      </c>
      <c r="E21" s="61">
        <v>120790</v>
      </c>
      <c r="F21" s="35"/>
      <c r="G21" s="71" t="s">
        <v>155</v>
      </c>
      <c r="H21" s="72">
        <v>1</v>
      </c>
      <c r="I21" s="100">
        <v>120790</v>
      </c>
      <c r="J21" s="100">
        <v>120790</v>
      </c>
      <c r="K21" s="80">
        <f>I21</f>
        <v>120790</v>
      </c>
      <c r="L21" s="101">
        <f>J21-K21</f>
        <v>0</v>
      </c>
      <c r="M21" s="85">
        <v>1</v>
      </c>
      <c r="N21" s="102">
        <f t="shared" ref="N21:N71" si="1">J21*M21</f>
        <v>120790</v>
      </c>
      <c r="O21" s="80">
        <v>120790</v>
      </c>
      <c r="P21" s="102"/>
      <c r="Q21" s="102">
        <f t="shared" ref="Q21:Q71" si="2">N21-O21</f>
        <v>0</v>
      </c>
      <c r="R21" s="112"/>
      <c r="S21" s="80"/>
      <c r="T21" s="113"/>
      <c r="U21" s="102"/>
      <c r="V21" s="102"/>
      <c r="W21" s="102"/>
      <c r="X21" s="30"/>
    </row>
    <row r="22" s="22" customFormat="1" ht="22" hidden="1" customHeight="1" spans="1:24">
      <c r="A22" s="35"/>
      <c r="B22" s="30">
        <v>3</v>
      </c>
      <c r="C22" s="30" t="s">
        <v>156</v>
      </c>
      <c r="D22" s="35"/>
      <c r="E22" s="69"/>
      <c r="F22" s="35"/>
      <c r="G22" s="71"/>
      <c r="H22" s="72">
        <v>1</v>
      </c>
      <c r="I22" s="100">
        <v>2281</v>
      </c>
      <c r="J22" s="100">
        <v>0</v>
      </c>
      <c r="K22" s="80">
        <f t="shared" ref="K21:K27" si="3">I22</f>
        <v>2281</v>
      </c>
      <c r="L22" s="101">
        <f t="shared" ref="L22:L53" si="4">J22-K22</f>
        <v>-2281</v>
      </c>
      <c r="M22" s="85">
        <v>1</v>
      </c>
      <c r="N22" s="102">
        <f t="shared" si="1"/>
        <v>0</v>
      </c>
      <c r="O22" s="80">
        <f>224+500+1297+260</f>
        <v>2281</v>
      </c>
      <c r="P22" s="102"/>
      <c r="Q22" s="102">
        <v>0</v>
      </c>
      <c r="R22" s="112"/>
      <c r="S22" s="80"/>
      <c r="T22" s="113"/>
      <c r="U22" s="102"/>
      <c r="V22" s="102"/>
      <c r="W22" s="102"/>
      <c r="X22" s="30"/>
    </row>
    <row r="23" s="22" customFormat="1" ht="22" hidden="1" customHeight="1" spans="1:24">
      <c r="A23" s="35"/>
      <c r="B23" s="30">
        <v>4</v>
      </c>
      <c r="C23" s="30" t="s">
        <v>154</v>
      </c>
      <c r="D23" s="35" t="str">
        <f>VLOOKUP(C23,[1]Sheet1!$B$1:$D$38,3,0)</f>
        <v>JZJG-GYY（113/114）-2022-CGF-01(N)</v>
      </c>
      <c r="E23" s="61">
        <v>485000</v>
      </c>
      <c r="F23" s="35"/>
      <c r="G23" s="71" t="s">
        <v>157</v>
      </c>
      <c r="H23" s="72">
        <v>1</v>
      </c>
      <c r="I23" s="100">
        <v>645300</v>
      </c>
      <c r="J23" s="100">
        <v>645300</v>
      </c>
      <c r="K23" s="80">
        <f t="shared" si="3"/>
        <v>645300</v>
      </c>
      <c r="L23" s="101">
        <f t="shared" si="4"/>
        <v>0</v>
      </c>
      <c r="M23" s="85">
        <v>1</v>
      </c>
      <c r="N23" s="102">
        <f t="shared" si="1"/>
        <v>645300</v>
      </c>
      <c r="O23" s="80">
        <v>645300</v>
      </c>
      <c r="P23" s="102"/>
      <c r="Q23" s="102">
        <f>N23-O23</f>
        <v>0</v>
      </c>
      <c r="R23" s="112"/>
      <c r="S23" s="80">
        <v>160300</v>
      </c>
      <c r="T23" s="113"/>
      <c r="U23" s="102"/>
      <c r="V23" s="102"/>
      <c r="W23" s="102"/>
      <c r="X23" s="30"/>
    </row>
    <row r="24" s="22" customFormat="1" ht="22" hidden="1" customHeight="1" spans="1:24">
      <c r="A24" s="35"/>
      <c r="B24" s="30">
        <v>5</v>
      </c>
      <c r="C24" s="30" t="s">
        <v>158</v>
      </c>
      <c r="D24" s="35" t="str">
        <f>VLOOKUP(C24,[1]Sheet1!$B$1:$D$38,3,0)</f>
        <v>JZJG-GYY（113/114）-2022-ZYF-02(N)</v>
      </c>
      <c r="E24" s="73">
        <v>2004283.03</v>
      </c>
      <c r="F24" s="35" t="s">
        <v>159</v>
      </c>
      <c r="G24" s="71" t="s">
        <v>160</v>
      </c>
      <c r="H24" s="74">
        <v>0.6</v>
      </c>
      <c r="I24" s="100">
        <v>1705499.47</v>
      </c>
      <c r="J24" s="100">
        <v>1705499.47</v>
      </c>
      <c r="K24" s="80">
        <f t="shared" si="3"/>
        <v>1705499.47</v>
      </c>
      <c r="L24" s="101">
        <f t="shared" si="4"/>
        <v>0</v>
      </c>
      <c r="M24" s="83">
        <v>0.6</v>
      </c>
      <c r="N24" s="102">
        <f t="shared" si="1"/>
        <v>1023299.682</v>
      </c>
      <c r="O24" s="80">
        <v>1023299.69</v>
      </c>
      <c r="P24" s="102">
        <f>VLOOKUP(O24,[3]付款明细!$U$14:$U$299,1,FALSE)</f>
        <v>1023299.69</v>
      </c>
      <c r="Q24" s="102">
        <f>N24-O24</f>
        <v>-0.00800000003073364</v>
      </c>
      <c r="R24" s="112">
        <v>60000</v>
      </c>
      <c r="S24" s="80">
        <v>62065.85</v>
      </c>
      <c r="T24" s="113"/>
      <c r="U24" s="102">
        <f>+J24*0.75-O24-T24</f>
        <v>255824.9125</v>
      </c>
      <c r="V24" s="102"/>
      <c r="W24" s="102"/>
      <c r="X24" s="114"/>
    </row>
    <row r="25" s="22" customFormat="1" ht="22" hidden="1" customHeight="1" spans="1:24">
      <c r="A25" s="35"/>
      <c r="B25" s="30">
        <v>6</v>
      </c>
      <c r="C25" s="30" t="s">
        <v>161</v>
      </c>
      <c r="D25" s="35" t="str">
        <f>VLOOKUP(C25,[1]Sheet1!$B$1:$D$38,3,0)</f>
        <v>JZJG-GYY（113/114）-2023-CG-01(N)</v>
      </c>
      <c r="E25" s="73">
        <v>2786071.31</v>
      </c>
      <c r="F25" s="35" t="s">
        <v>162</v>
      </c>
      <c r="G25" s="71" t="s">
        <v>163</v>
      </c>
      <c r="H25" s="74">
        <v>1</v>
      </c>
      <c r="I25" s="100">
        <v>3046374.12</v>
      </c>
      <c r="J25" s="100">
        <v>3046374.12</v>
      </c>
      <c r="K25" s="80">
        <f t="shared" si="3"/>
        <v>3046374.12</v>
      </c>
      <c r="L25" s="101">
        <f t="shared" si="4"/>
        <v>0</v>
      </c>
      <c r="M25" s="83">
        <v>1</v>
      </c>
      <c r="N25" s="102">
        <f t="shared" si="1"/>
        <v>3046374.12</v>
      </c>
      <c r="O25" s="80">
        <v>3046374.11</v>
      </c>
      <c r="P25" s="102">
        <f>VLOOKUP(O25,[3]付款明细!$U$14:$U$299,1,FALSE)</f>
        <v>3046374.11</v>
      </c>
      <c r="Q25" s="102">
        <f t="shared" si="2"/>
        <v>0.0100000002421439</v>
      </c>
      <c r="R25" s="112"/>
      <c r="S25" s="80"/>
      <c r="T25" s="113"/>
      <c r="U25" s="102"/>
      <c r="V25" s="102"/>
      <c r="W25" s="102"/>
      <c r="X25" s="114"/>
    </row>
    <row r="26" s="22" customFormat="1" ht="22" hidden="1" customHeight="1" spans="1:24">
      <c r="A26" s="35"/>
      <c r="B26" s="30">
        <v>7</v>
      </c>
      <c r="C26" s="30" t="s">
        <v>164</v>
      </c>
      <c r="D26" s="35" t="str">
        <f>VLOOKUP(C26,[1]Sheet1!$B$1:$D$38,3,0)</f>
        <v>JZJG-GYY（113/114）-2022-ZYF-01(N)</v>
      </c>
      <c r="E26" s="73">
        <v>5222947.33</v>
      </c>
      <c r="F26" s="35" t="s">
        <v>159</v>
      </c>
      <c r="G26" s="71" t="s">
        <v>165</v>
      </c>
      <c r="H26" s="74">
        <v>0.8</v>
      </c>
      <c r="I26" s="100">
        <v>4143128</v>
      </c>
      <c r="J26" s="100">
        <v>5178910.68</v>
      </c>
      <c r="K26" s="80">
        <f t="shared" si="3"/>
        <v>4143128</v>
      </c>
      <c r="L26" s="101">
        <f t="shared" si="4"/>
        <v>1035782.68</v>
      </c>
      <c r="M26" s="83">
        <v>0.8</v>
      </c>
      <c r="N26" s="102">
        <f t="shared" si="1"/>
        <v>4143128.544</v>
      </c>
      <c r="O26" s="80">
        <v>4143128</v>
      </c>
      <c r="P26" s="102">
        <f>VLOOKUP(O26,[3]付款明细!$U$14:$U$299,1,FALSE)</f>
        <v>4143128</v>
      </c>
      <c r="Q26" s="102">
        <f t="shared" si="2"/>
        <v>0.543999999761581</v>
      </c>
      <c r="R26" s="112"/>
      <c r="S26" s="80"/>
      <c r="T26" s="113"/>
      <c r="U26" s="102"/>
      <c r="V26" s="102"/>
      <c r="W26" s="102"/>
      <c r="X26" s="114"/>
    </row>
    <row r="27" s="22" customFormat="1" ht="22" hidden="1" customHeight="1" spans="1:24">
      <c r="A27" s="35"/>
      <c r="B27" s="30">
        <v>8</v>
      </c>
      <c r="C27" s="30" t="s">
        <v>166</v>
      </c>
      <c r="D27" s="75" t="s">
        <v>167</v>
      </c>
      <c r="E27" s="73">
        <v>25176080.3</v>
      </c>
      <c r="F27" s="35" t="s">
        <v>159</v>
      </c>
      <c r="G27" s="71" t="s">
        <v>168</v>
      </c>
      <c r="H27" s="74">
        <v>1</v>
      </c>
      <c r="I27" s="100">
        <v>18288984.08</v>
      </c>
      <c r="J27" s="100">
        <v>18288984.08</v>
      </c>
      <c r="K27" s="103">
        <f t="shared" si="3"/>
        <v>18288984.08</v>
      </c>
      <c r="L27" s="101">
        <f t="shared" si="4"/>
        <v>0</v>
      </c>
      <c r="M27" s="83">
        <v>1</v>
      </c>
      <c r="N27" s="102">
        <f t="shared" si="1"/>
        <v>18288984.08</v>
      </c>
      <c r="O27" s="80">
        <v>18288984.08</v>
      </c>
      <c r="P27" s="102">
        <f>VLOOKUP(O27,[3]付款明细!$U$14:$U$299,1,FALSE)</f>
        <v>18288984.08</v>
      </c>
      <c r="Q27" s="102">
        <f t="shared" si="2"/>
        <v>0</v>
      </c>
      <c r="R27" s="112"/>
      <c r="S27" s="80"/>
      <c r="T27" s="113"/>
      <c r="U27" s="102"/>
      <c r="V27" s="102"/>
      <c r="W27" s="102"/>
      <c r="X27" s="114"/>
    </row>
    <row r="28" s="22" customFormat="1" ht="22" hidden="1" customHeight="1" spans="1:24">
      <c r="A28" s="35"/>
      <c r="B28" s="30">
        <v>9</v>
      </c>
      <c r="C28" s="30" t="s">
        <v>166</v>
      </c>
      <c r="D28" s="75" t="s">
        <v>169</v>
      </c>
      <c r="E28" s="73">
        <v>714142</v>
      </c>
      <c r="F28" s="35" t="s">
        <v>159</v>
      </c>
      <c r="G28" s="71" t="s">
        <v>170</v>
      </c>
      <c r="H28" s="74">
        <v>1</v>
      </c>
      <c r="I28" s="100"/>
      <c r="J28" s="100"/>
      <c r="K28" s="104"/>
      <c r="L28" s="101">
        <f t="shared" si="4"/>
        <v>0</v>
      </c>
      <c r="M28" s="83">
        <v>1</v>
      </c>
      <c r="N28" s="102">
        <f t="shared" si="1"/>
        <v>0</v>
      </c>
      <c r="O28" s="80"/>
      <c r="P28" s="102" t="e">
        <f>VLOOKUP(O28,[3]付款明细!$U$14:$U$299,1,FALSE)</f>
        <v>#N/A</v>
      </c>
      <c r="Q28" s="102">
        <f t="shared" si="2"/>
        <v>0</v>
      </c>
      <c r="R28" s="112"/>
      <c r="S28" s="80"/>
      <c r="T28" s="113"/>
      <c r="U28" s="102"/>
      <c r="V28" s="102"/>
      <c r="W28" s="102"/>
      <c r="X28" s="114"/>
    </row>
    <row r="29" s="22" customFormat="1" ht="22" customHeight="1" spans="1:24">
      <c r="A29" s="35"/>
      <c r="B29" s="30">
        <v>10</v>
      </c>
      <c r="C29" s="30" t="s">
        <v>171</v>
      </c>
      <c r="D29" s="35" t="str">
        <f>VLOOKUP(C29,[1]Sheet1!$B$1:$D$38,3,0)</f>
        <v>JZJG-GYY（113/114）-2023-LWF-01(N)</v>
      </c>
      <c r="E29" s="76">
        <v>29225775.9</v>
      </c>
      <c r="F29" s="35" t="s">
        <v>172</v>
      </c>
      <c r="G29" s="71" t="s">
        <v>173</v>
      </c>
      <c r="H29" s="74">
        <v>0.8</v>
      </c>
      <c r="I29" s="100">
        <v>30345260.74</v>
      </c>
      <c r="J29" s="100">
        <v>32158483.25</v>
      </c>
      <c r="K29" s="103">
        <f t="shared" ref="K29:K34" si="5">I29</f>
        <v>30345260.74</v>
      </c>
      <c r="L29" s="101">
        <f t="shared" si="4"/>
        <v>1813222.51</v>
      </c>
      <c r="M29" s="83">
        <v>0.95</v>
      </c>
      <c r="N29" s="102">
        <f t="shared" si="1"/>
        <v>30550559.0875</v>
      </c>
      <c r="O29" s="80">
        <f>28239368.11+818249</f>
        <v>29057617.11</v>
      </c>
      <c r="P29" s="102" t="e">
        <f>VLOOKUP(O29,[3]付款明细!$U$14:$U$299,1,FALSE)</f>
        <v>#N/A</v>
      </c>
      <c r="Q29" s="102">
        <f t="shared" si="2"/>
        <v>1492941.9775</v>
      </c>
      <c r="R29" s="112"/>
      <c r="S29" s="80">
        <v>3702724</v>
      </c>
      <c r="T29" s="113">
        <v>350000</v>
      </c>
      <c r="U29" s="102">
        <v>300000</v>
      </c>
      <c r="V29" s="102">
        <v>200000</v>
      </c>
      <c r="W29" s="102">
        <v>200000</v>
      </c>
      <c r="X29" s="30" t="s">
        <v>120</v>
      </c>
    </row>
    <row r="30" s="22" customFormat="1" ht="22" hidden="1" customHeight="1" spans="1:24">
      <c r="A30" s="35"/>
      <c r="B30" s="30">
        <v>11</v>
      </c>
      <c r="C30" s="30" t="s">
        <v>171</v>
      </c>
      <c r="D30" s="35" t="str">
        <f>VLOOKUP(C30,[1]Sheet1!$B$1:$D$38,3,0)</f>
        <v>JZJG-GYY（113/114）-2023-LWF-01(N)</v>
      </c>
      <c r="E30" s="77"/>
      <c r="F30" s="35" t="s">
        <v>172</v>
      </c>
      <c r="G30" s="71" t="s">
        <v>174</v>
      </c>
      <c r="H30" s="74">
        <v>0.8</v>
      </c>
      <c r="I30" s="100"/>
      <c r="J30" s="100"/>
      <c r="K30" s="104"/>
      <c r="L30" s="101">
        <f t="shared" si="4"/>
        <v>0</v>
      </c>
      <c r="M30" s="83">
        <v>1</v>
      </c>
      <c r="N30" s="102">
        <f t="shared" si="1"/>
        <v>0</v>
      </c>
      <c r="O30" s="80">
        <f>876969.91+374661.17</f>
        <v>1251631.08</v>
      </c>
      <c r="P30" s="102" t="e">
        <f>VLOOKUP(O30,[3]付款明细!$U$14:$U$299,1,FALSE)</f>
        <v>#N/A</v>
      </c>
      <c r="Q30" s="102">
        <f t="shared" si="2"/>
        <v>-1251631.08</v>
      </c>
      <c r="R30" s="112"/>
      <c r="S30" s="80"/>
      <c r="T30" s="113">
        <v>0</v>
      </c>
      <c r="U30" s="102"/>
      <c r="V30" s="102"/>
      <c r="W30" s="102">
        <v>160000</v>
      </c>
      <c r="X30" s="30" t="s">
        <v>120</v>
      </c>
    </row>
    <row r="31" s="22" customFormat="1" ht="22" hidden="1" customHeight="1" spans="1:24">
      <c r="A31" s="35"/>
      <c r="B31" s="30">
        <v>12</v>
      </c>
      <c r="C31" s="30" t="s">
        <v>175</v>
      </c>
      <c r="D31" s="35" t="str">
        <f>VLOOKUP(C31,[1]Sheet1!$B$1:$D$38,3,0)</f>
        <v>JZJG-GYY（113/114）-2022-ZL-01(N)</v>
      </c>
      <c r="E31" s="62">
        <v>834300</v>
      </c>
      <c r="F31" s="35" t="s">
        <v>176</v>
      </c>
      <c r="G31" s="71" t="s">
        <v>177</v>
      </c>
      <c r="H31" s="74" t="s">
        <v>178</v>
      </c>
      <c r="I31" s="100">
        <v>883437.55</v>
      </c>
      <c r="J31" s="100">
        <v>883437.55</v>
      </c>
      <c r="K31" s="80">
        <f t="shared" si="5"/>
        <v>883437.55</v>
      </c>
      <c r="L31" s="101">
        <f t="shared" si="4"/>
        <v>0</v>
      </c>
      <c r="M31" s="83" t="s">
        <v>178</v>
      </c>
      <c r="N31" s="102">
        <v>567142.53</v>
      </c>
      <c r="O31" s="80">
        <v>567142.53</v>
      </c>
      <c r="P31" s="102">
        <f>VLOOKUP(O31,[3]付款明细!$U$14:$U$299,1,FALSE)</f>
        <v>567142.53</v>
      </c>
      <c r="Q31" s="102">
        <f t="shared" si="2"/>
        <v>0</v>
      </c>
      <c r="R31" s="112">
        <v>380000</v>
      </c>
      <c r="S31" s="80">
        <v>94442.53</v>
      </c>
      <c r="T31" s="113"/>
      <c r="U31" s="102"/>
      <c r="V31" s="102"/>
      <c r="W31" s="102"/>
      <c r="X31" s="114"/>
    </row>
    <row r="32" s="22" customFormat="1" ht="22" hidden="1" customHeight="1" spans="1:24">
      <c r="A32" s="35"/>
      <c r="B32" s="30">
        <v>13</v>
      </c>
      <c r="C32" s="30" t="s">
        <v>179</v>
      </c>
      <c r="D32" s="35" t="str">
        <f>VLOOKUP(C32,[1]Sheet1!$B$1:$D$38,3,0)</f>
        <v>JZJG-GYY（113/114）-2023-ZYF-01(N)</v>
      </c>
      <c r="E32" s="62">
        <v>231171.56</v>
      </c>
      <c r="F32" s="35" t="s">
        <v>159</v>
      </c>
      <c r="G32" s="71" t="s">
        <v>180</v>
      </c>
      <c r="H32" s="74">
        <v>0.6</v>
      </c>
      <c r="I32" s="100">
        <v>186172</v>
      </c>
      <c r="J32" s="100">
        <v>186172</v>
      </c>
      <c r="K32" s="80">
        <f t="shared" si="5"/>
        <v>186172</v>
      </c>
      <c r="L32" s="101">
        <f t="shared" si="4"/>
        <v>0</v>
      </c>
      <c r="M32" s="83">
        <v>0.6</v>
      </c>
      <c r="N32" s="102">
        <f t="shared" si="1"/>
        <v>111703.2</v>
      </c>
      <c r="O32" s="80">
        <v>111703.2</v>
      </c>
      <c r="P32" s="102">
        <f>VLOOKUP(O32,[3]付款明细!$U$14:$U$299,1,FALSE)</f>
        <v>111703.2</v>
      </c>
      <c r="Q32" s="102">
        <f t="shared" si="2"/>
        <v>0</v>
      </c>
      <c r="R32" s="112"/>
      <c r="S32" s="80"/>
      <c r="T32" s="113"/>
      <c r="U32" s="102">
        <f>+E32*0.75-O32-T32</f>
        <v>61675.47</v>
      </c>
      <c r="V32" s="102"/>
      <c r="W32" s="102"/>
      <c r="X32" s="114"/>
    </row>
    <row r="33" s="22" customFormat="1" ht="22" customHeight="1" spans="1:24">
      <c r="A33" s="35"/>
      <c r="B33" s="30">
        <v>14</v>
      </c>
      <c r="C33" s="30" t="s">
        <v>181</v>
      </c>
      <c r="D33" s="35" t="str">
        <f>VLOOKUP(C33,[1]Sheet1!$B$1:$D$38,3,0)</f>
        <v>JZJG-GYY（113/114）-2022-QT-01(N)</v>
      </c>
      <c r="E33" s="62">
        <v>282033.57</v>
      </c>
      <c r="F33" s="35" t="s">
        <v>162</v>
      </c>
      <c r="G33" s="71" t="s">
        <v>182</v>
      </c>
      <c r="H33" s="74">
        <v>0.6</v>
      </c>
      <c r="I33" s="100">
        <v>280849.07</v>
      </c>
      <c r="J33" s="100">
        <v>280849.07</v>
      </c>
      <c r="K33" s="80">
        <f t="shared" si="5"/>
        <v>280849.07</v>
      </c>
      <c r="L33" s="101">
        <f t="shared" si="4"/>
        <v>0</v>
      </c>
      <c r="M33" s="83">
        <v>0.6</v>
      </c>
      <c r="N33" s="102">
        <f t="shared" si="1"/>
        <v>168509.442</v>
      </c>
      <c r="O33" s="80">
        <v>142509.44</v>
      </c>
      <c r="P33" s="102">
        <f>VLOOKUP(O33,[3]付款明细!$U$14:$U$299,1,FALSE)</f>
        <v>142509.44</v>
      </c>
      <c r="Q33" s="102">
        <f t="shared" si="2"/>
        <v>26000.002</v>
      </c>
      <c r="R33" s="112"/>
      <c r="S33" s="80">
        <v>26369.44</v>
      </c>
      <c r="T33" s="113">
        <v>26000</v>
      </c>
      <c r="U33" s="102">
        <f>+E33*0.75-O33-T33</f>
        <v>43015.7375</v>
      </c>
      <c r="V33" s="102"/>
      <c r="W33" s="102"/>
      <c r="X33" s="114" t="s">
        <v>120</v>
      </c>
    </row>
    <row r="34" s="22" customFormat="1" ht="22" customHeight="1" spans="1:24">
      <c r="A34" s="35"/>
      <c r="B34" s="30">
        <v>15</v>
      </c>
      <c r="C34" s="30" t="s">
        <v>183</v>
      </c>
      <c r="D34" s="61" t="s">
        <v>167</v>
      </c>
      <c r="E34" s="73">
        <v>16425005.1</v>
      </c>
      <c r="F34" s="35" t="s">
        <v>159</v>
      </c>
      <c r="G34" s="71" t="s">
        <v>184</v>
      </c>
      <c r="H34" s="74">
        <v>0.6</v>
      </c>
      <c r="I34" s="100">
        <v>23693585.6213</v>
      </c>
      <c r="J34" s="100">
        <f>555962.08+23137623.53</f>
        <v>23693585.61</v>
      </c>
      <c r="K34" s="103">
        <f t="shared" si="5"/>
        <v>23693585.6213</v>
      </c>
      <c r="L34" s="101">
        <f t="shared" si="4"/>
        <v>-0.0113000012934208</v>
      </c>
      <c r="M34" s="83">
        <v>0.6</v>
      </c>
      <c r="N34" s="105">
        <f t="shared" si="1"/>
        <v>14216151.366</v>
      </c>
      <c r="O34" s="76">
        <v>13882574.12</v>
      </c>
      <c r="P34" s="102">
        <f>VLOOKUP(O34,[3]付款明细!$U$14:$U$299,1,FALSE)</f>
        <v>13882574.12</v>
      </c>
      <c r="Q34" s="115">
        <f t="shared" si="2"/>
        <v>333577.245999999</v>
      </c>
      <c r="R34" s="112"/>
      <c r="S34" s="80"/>
      <c r="T34" s="116">
        <v>333577.25</v>
      </c>
      <c r="U34" s="105">
        <f>+(E34+E35)*0.75-O34-T34</f>
        <v>1290773.7275</v>
      </c>
      <c r="V34" s="105">
        <f>+J34*0.75-O34-T34-U34</f>
        <v>2263264.11</v>
      </c>
      <c r="W34" s="102"/>
      <c r="X34" s="114" t="s">
        <v>123</v>
      </c>
    </row>
    <row r="35" s="22" customFormat="1" ht="22" customHeight="1" spans="1:24">
      <c r="A35" s="35"/>
      <c r="B35" s="30">
        <v>16</v>
      </c>
      <c r="C35" s="30" t="s">
        <v>185</v>
      </c>
      <c r="D35" s="61" t="s">
        <v>186</v>
      </c>
      <c r="E35" s="73">
        <v>4250895.03</v>
      </c>
      <c r="F35" s="35" t="s">
        <v>159</v>
      </c>
      <c r="G35" s="71" t="s">
        <v>187</v>
      </c>
      <c r="H35" s="74">
        <v>0.6</v>
      </c>
      <c r="I35" s="100"/>
      <c r="J35" s="100"/>
      <c r="K35" s="104"/>
      <c r="L35" s="101">
        <f t="shared" si="4"/>
        <v>0</v>
      </c>
      <c r="M35" s="83"/>
      <c r="N35" s="105"/>
      <c r="O35" s="77"/>
      <c r="P35" s="102" t="e">
        <f>VLOOKUP(O35,[3]付款明细!$U$14:$U$299,1,FALSE)</f>
        <v>#N/A</v>
      </c>
      <c r="Q35" s="115"/>
      <c r="R35" s="117">
        <v>247065.08</v>
      </c>
      <c r="S35" s="80"/>
      <c r="T35" s="116"/>
      <c r="U35" s="105"/>
      <c r="V35" s="105"/>
      <c r="W35" s="102"/>
      <c r="X35" s="114"/>
    </row>
    <row r="36" s="22" customFormat="1" ht="22" hidden="1" customHeight="1" spans="1:24">
      <c r="A36" s="35"/>
      <c r="B36" s="30">
        <v>17</v>
      </c>
      <c r="C36" s="30" t="s">
        <v>188</v>
      </c>
      <c r="D36" s="35" t="s">
        <v>189</v>
      </c>
      <c r="E36" s="62">
        <v>5195271.05</v>
      </c>
      <c r="F36" s="35" t="s">
        <v>162</v>
      </c>
      <c r="G36" s="71" t="s">
        <v>190</v>
      </c>
      <c r="H36" s="74">
        <v>0.8</v>
      </c>
      <c r="I36" s="100">
        <v>4907862.45</v>
      </c>
      <c r="J36" s="100">
        <v>4907862.45</v>
      </c>
      <c r="K36" s="80">
        <f t="shared" ref="K36:K71" si="6">I36</f>
        <v>4907862.45</v>
      </c>
      <c r="L36" s="101">
        <f t="shared" si="4"/>
        <v>0</v>
      </c>
      <c r="M36" s="83">
        <v>0.8</v>
      </c>
      <c r="N36" s="102">
        <f t="shared" si="1"/>
        <v>3926289.96</v>
      </c>
      <c r="O36" s="80">
        <v>3926289.96</v>
      </c>
      <c r="P36" s="102">
        <f>VLOOKUP(O36,[3]付款明细!$U$14:$U$299,1,FALSE)</f>
        <v>3926289.96</v>
      </c>
      <c r="Q36" s="102">
        <f t="shared" si="2"/>
        <v>0</v>
      </c>
      <c r="R36" s="112"/>
      <c r="S36" s="80"/>
      <c r="T36" s="113"/>
      <c r="U36" s="102"/>
      <c r="V36" s="102"/>
      <c r="W36" s="102"/>
      <c r="X36" s="114"/>
    </row>
    <row r="37" s="22" customFormat="1" ht="22" customHeight="1" spans="1:24">
      <c r="A37" s="35"/>
      <c r="B37" s="30">
        <v>18</v>
      </c>
      <c r="C37" s="30" t="s">
        <v>191</v>
      </c>
      <c r="D37" s="78" t="s">
        <v>192</v>
      </c>
      <c r="E37" s="62">
        <v>88180.13</v>
      </c>
      <c r="F37" s="35" t="s">
        <v>159</v>
      </c>
      <c r="G37" s="71" t="s">
        <v>193</v>
      </c>
      <c r="H37" s="74" t="s">
        <v>194</v>
      </c>
      <c r="I37" s="100">
        <v>60525.1</v>
      </c>
      <c r="J37" s="100">
        <v>60525.1</v>
      </c>
      <c r="K37" s="80">
        <f t="shared" si="6"/>
        <v>60525.1</v>
      </c>
      <c r="L37" s="101">
        <f t="shared" si="4"/>
        <v>0</v>
      </c>
      <c r="M37" s="83">
        <v>1</v>
      </c>
      <c r="N37" s="102">
        <f t="shared" si="1"/>
        <v>60525.1</v>
      </c>
      <c r="O37" s="80">
        <v>40350</v>
      </c>
      <c r="P37" s="102">
        <f>VLOOKUP(O37,[3]付款明细!$U$14:$U$299,1,FALSE)</f>
        <v>40350</v>
      </c>
      <c r="Q37" s="102">
        <f t="shared" si="2"/>
        <v>20175.1</v>
      </c>
      <c r="R37" s="112"/>
      <c r="S37" s="80"/>
      <c r="T37" s="113">
        <v>20175.1</v>
      </c>
      <c r="U37" s="102"/>
      <c r="V37" s="102"/>
      <c r="W37" s="102"/>
      <c r="X37" s="114" t="s">
        <v>120</v>
      </c>
    </row>
    <row r="38" s="22" customFormat="1" ht="22" customHeight="1" spans="1:24">
      <c r="A38" s="35"/>
      <c r="B38" s="30">
        <v>19</v>
      </c>
      <c r="C38" s="30" t="s">
        <v>195</v>
      </c>
      <c r="D38" s="78" t="s">
        <v>196</v>
      </c>
      <c r="E38" s="62">
        <v>156880</v>
      </c>
      <c r="F38" s="35" t="s">
        <v>159</v>
      </c>
      <c r="G38" s="71" t="s">
        <v>197</v>
      </c>
      <c r="H38" s="74">
        <v>1</v>
      </c>
      <c r="I38" s="100">
        <v>156880</v>
      </c>
      <c r="J38" s="100">
        <v>156880</v>
      </c>
      <c r="K38" s="80">
        <f t="shared" si="6"/>
        <v>156880</v>
      </c>
      <c r="L38" s="101">
        <f t="shared" si="4"/>
        <v>0</v>
      </c>
      <c r="M38" s="83">
        <v>1</v>
      </c>
      <c r="N38" s="102">
        <f t="shared" si="1"/>
        <v>156880</v>
      </c>
      <c r="O38" s="80">
        <v>125504</v>
      </c>
      <c r="P38" s="102">
        <f>VLOOKUP(O38,[3]付款明细!$U$14:$U$299,1,FALSE)</f>
        <v>125504</v>
      </c>
      <c r="Q38" s="102">
        <f t="shared" si="2"/>
        <v>31376</v>
      </c>
      <c r="R38" s="112"/>
      <c r="S38" s="80">
        <v>47064</v>
      </c>
      <c r="T38" s="113">
        <v>31376</v>
      </c>
      <c r="U38" s="102"/>
      <c r="V38" s="102"/>
      <c r="W38" s="102"/>
      <c r="X38" s="30" t="s">
        <v>120</v>
      </c>
    </row>
    <row r="39" s="22" customFormat="1" ht="22" customHeight="1" spans="1:24">
      <c r="A39" s="35"/>
      <c r="B39" s="30">
        <v>20</v>
      </c>
      <c r="C39" s="30" t="s">
        <v>198</v>
      </c>
      <c r="D39" s="35" t="str">
        <f>VLOOKUP(C39,[1]Sheet1!$B$1:$D$38,3,0)</f>
        <v>JZJG-GYY（113/114）-2023-CG-02(N)</v>
      </c>
      <c r="E39" s="62">
        <v>2641043.19</v>
      </c>
      <c r="F39" s="35" t="s">
        <v>162</v>
      </c>
      <c r="G39" s="71" t="s">
        <v>199</v>
      </c>
      <c r="H39" s="74">
        <v>0.6</v>
      </c>
      <c r="I39" s="100">
        <v>2963424.53</v>
      </c>
      <c r="J39" s="100">
        <f>194690.28+2768734.14</f>
        <v>2963424.42</v>
      </c>
      <c r="K39" s="80">
        <f t="shared" si="6"/>
        <v>2963424.53</v>
      </c>
      <c r="L39" s="101">
        <f t="shared" si="4"/>
        <v>-0.109999999869615</v>
      </c>
      <c r="M39" s="83">
        <v>0.6</v>
      </c>
      <c r="N39" s="102">
        <f t="shared" si="1"/>
        <v>1778054.652</v>
      </c>
      <c r="O39" s="80">
        <v>1661240.48</v>
      </c>
      <c r="P39" s="102">
        <f>VLOOKUP(O39,[3]付款明细!$U$14:$U$299,1,FALSE)</f>
        <v>1661240.48</v>
      </c>
      <c r="Q39" s="102">
        <f t="shared" si="2"/>
        <v>116814.172</v>
      </c>
      <c r="R39" s="112">
        <v>324000</v>
      </c>
      <c r="S39" s="80">
        <v>324300.34</v>
      </c>
      <c r="T39" s="113">
        <v>116814.17</v>
      </c>
      <c r="U39" s="102">
        <f>+E39*0.75-O39-T39</f>
        <v>202727.7425</v>
      </c>
      <c r="V39" s="102">
        <f>+J39*0.75-O39-T39-U39</f>
        <v>241785.9225</v>
      </c>
      <c r="W39" s="102"/>
      <c r="X39" s="114" t="s">
        <v>123</v>
      </c>
    </row>
    <row r="40" s="22" customFormat="1" ht="22" hidden="1" customHeight="1" spans="1:24">
      <c r="A40" s="35"/>
      <c r="B40" s="30">
        <v>21</v>
      </c>
      <c r="C40" s="30" t="s">
        <v>200</v>
      </c>
      <c r="D40" s="35" t="str">
        <f>VLOOKUP(C40,[1]Sheet1!$B$1:$D$38,3,0)</f>
        <v>JZJG-GYY（113/114）-2023-ZL-02(N)</v>
      </c>
      <c r="E40" s="62">
        <v>971599</v>
      </c>
      <c r="F40" s="35" t="s">
        <v>176</v>
      </c>
      <c r="G40" s="71" t="s">
        <v>201</v>
      </c>
      <c r="H40" s="74">
        <v>0.8</v>
      </c>
      <c r="I40" s="100">
        <v>1387759.76</v>
      </c>
      <c r="J40" s="100">
        <v>1387759.76</v>
      </c>
      <c r="K40" s="80">
        <f t="shared" si="6"/>
        <v>1387759.76</v>
      </c>
      <c r="L40" s="101">
        <f t="shared" si="4"/>
        <v>0</v>
      </c>
      <c r="M40" s="83">
        <v>0.8</v>
      </c>
      <c r="N40" s="102">
        <f t="shared" si="1"/>
        <v>1110207.808</v>
      </c>
      <c r="O40" s="80">
        <v>1100249.55</v>
      </c>
      <c r="P40" s="102">
        <f>VLOOKUP(O40,[3]付款明细!$U$14:$U$299,1,FALSE)</f>
        <v>1100249.55</v>
      </c>
      <c r="Q40" s="102">
        <f t="shared" si="2"/>
        <v>9958.25799999991</v>
      </c>
      <c r="R40" s="112">
        <v>160000</v>
      </c>
      <c r="S40" s="80">
        <v>171943.15</v>
      </c>
      <c r="T40" s="113"/>
      <c r="U40" s="102"/>
      <c r="V40" s="102"/>
      <c r="W40" s="102"/>
      <c r="X40" s="114"/>
    </row>
    <row r="41" s="22" customFormat="1" ht="22" hidden="1" customHeight="1" spans="1:24">
      <c r="A41" s="35"/>
      <c r="B41" s="30">
        <v>22</v>
      </c>
      <c r="C41" s="30" t="s">
        <v>202</v>
      </c>
      <c r="D41" s="35" t="str">
        <f>VLOOKUP(C41,[1]Sheet1!$B$1:$D$38,3,0)</f>
        <v>JZJG-GYY（113/114）-2023-ZYF-03(N)</v>
      </c>
      <c r="E41" s="62">
        <v>562658.8</v>
      </c>
      <c r="F41" s="35" t="s">
        <v>159</v>
      </c>
      <c r="G41" s="71" t="s">
        <v>203</v>
      </c>
      <c r="H41" s="74">
        <v>0.6</v>
      </c>
      <c r="I41" s="100">
        <v>560151.01</v>
      </c>
      <c r="J41" s="100">
        <v>560151.01</v>
      </c>
      <c r="K41" s="80">
        <f t="shared" si="6"/>
        <v>560151.01</v>
      </c>
      <c r="L41" s="101">
        <f t="shared" si="4"/>
        <v>0</v>
      </c>
      <c r="M41" s="83">
        <v>0.6</v>
      </c>
      <c r="N41" s="102">
        <f t="shared" si="1"/>
        <v>336090.606</v>
      </c>
      <c r="O41" s="80">
        <v>336090</v>
      </c>
      <c r="P41" s="102">
        <f>VLOOKUP(O41,[3]付款明细!$U$14:$U$299,1,FALSE)</f>
        <v>336090</v>
      </c>
      <c r="Q41" s="102">
        <f t="shared" si="2"/>
        <v>0.605999999970663</v>
      </c>
      <c r="R41" s="112"/>
      <c r="S41" s="80"/>
      <c r="T41" s="113"/>
      <c r="U41" s="102">
        <f>+J41*0.75-O41</f>
        <v>84023.2575</v>
      </c>
      <c r="V41" s="102"/>
      <c r="W41" s="102"/>
      <c r="X41" s="114"/>
    </row>
    <row r="42" s="22" customFormat="1" ht="22" customHeight="1" spans="1:24">
      <c r="A42" s="35"/>
      <c r="B42" s="30">
        <v>23</v>
      </c>
      <c r="C42" s="30" t="s">
        <v>204</v>
      </c>
      <c r="D42" s="35" t="str">
        <f>VLOOKUP(C42,[1]Sheet1!$B$1:$D$38,3,0)</f>
        <v>JZJG-GYY（113/114）-2023-ZL-01(N)</v>
      </c>
      <c r="E42" s="62">
        <v>2711346.25</v>
      </c>
      <c r="F42" s="35" t="s">
        <v>176</v>
      </c>
      <c r="G42" s="35" t="s">
        <v>205</v>
      </c>
      <c r="H42" s="74">
        <v>0.8</v>
      </c>
      <c r="I42" s="100">
        <v>3122293.89</v>
      </c>
      <c r="J42" s="100">
        <v>3432880.22</v>
      </c>
      <c r="K42" s="80">
        <f t="shared" si="6"/>
        <v>3122293.89</v>
      </c>
      <c r="L42" s="101">
        <f t="shared" si="4"/>
        <v>310586.33</v>
      </c>
      <c r="M42" s="83">
        <v>0.8</v>
      </c>
      <c r="N42" s="102">
        <f t="shared" si="1"/>
        <v>2746304.176</v>
      </c>
      <c r="O42" s="80">
        <v>2497764.78</v>
      </c>
      <c r="P42" s="102">
        <f>VLOOKUP(O42,[3]付款明细!$U$14:$U$299,1,FALSE)</f>
        <v>2497764.78</v>
      </c>
      <c r="Q42" s="102">
        <f t="shared" si="2"/>
        <v>248539.396000001</v>
      </c>
      <c r="R42" s="112">
        <v>2128564.78</v>
      </c>
      <c r="S42" s="80"/>
      <c r="T42" s="113">
        <v>248539.4</v>
      </c>
      <c r="U42" s="102"/>
      <c r="V42" s="102"/>
      <c r="W42" s="102"/>
      <c r="X42" s="114" t="s">
        <v>123</v>
      </c>
    </row>
    <row r="43" s="22" customFormat="1" ht="22" hidden="1" customHeight="1" spans="1:24">
      <c r="A43" s="35"/>
      <c r="B43" s="30">
        <v>24</v>
      </c>
      <c r="C43" s="30" t="s">
        <v>206</v>
      </c>
      <c r="D43" s="35" t="str">
        <f>VLOOKUP(C43,[1]Sheet1!$B$1:$D$38,3,0)</f>
        <v>JZJG-GYY（113/114）-2023-ZYF-02(N)</v>
      </c>
      <c r="E43" s="62">
        <v>925754.83</v>
      </c>
      <c r="F43" s="35" t="s">
        <v>159</v>
      </c>
      <c r="G43" s="71" t="s">
        <v>207</v>
      </c>
      <c r="H43" s="74">
        <v>0.6</v>
      </c>
      <c r="I43" s="100">
        <v>800394.93</v>
      </c>
      <c r="J43" s="100">
        <v>800394.93</v>
      </c>
      <c r="K43" s="80">
        <f t="shared" si="6"/>
        <v>800394.93</v>
      </c>
      <c r="L43" s="101">
        <f t="shared" si="4"/>
        <v>0</v>
      </c>
      <c r="M43" s="83">
        <v>0.6</v>
      </c>
      <c r="N43" s="102">
        <f t="shared" si="1"/>
        <v>480236.958</v>
      </c>
      <c r="O43" s="80">
        <v>480236.96</v>
      </c>
      <c r="P43" s="102">
        <f>VLOOKUP(O43,[3]付款明细!$U$14:$U$299,1,FALSE)</f>
        <v>480236.96</v>
      </c>
      <c r="Q43" s="102">
        <f t="shared" si="2"/>
        <v>-0.00200000003678724</v>
      </c>
      <c r="R43" s="112">
        <v>0</v>
      </c>
      <c r="S43" s="80">
        <v>303907.72</v>
      </c>
      <c r="T43" s="113"/>
      <c r="U43" s="102">
        <f>+J43*0.75-O43</f>
        <v>120059.2375</v>
      </c>
      <c r="V43" s="102">
        <f>+E43*0.8-O43-U43</f>
        <v>140307.6665</v>
      </c>
      <c r="W43" s="102"/>
      <c r="X43" s="114"/>
    </row>
    <row r="44" s="22" customFormat="1" ht="22" hidden="1" customHeight="1" spans="1:24">
      <c r="A44" s="35"/>
      <c r="B44" s="30">
        <v>25</v>
      </c>
      <c r="C44" s="30" t="s">
        <v>208</v>
      </c>
      <c r="D44" s="35" t="str">
        <f>VLOOKUP(C44,[1]Sheet1!$B$1:$D$38,3,0)</f>
        <v>JZJG-GYY(113/114)-2023-ZYF-03(N)</v>
      </c>
      <c r="E44" s="62">
        <v>1704346.89</v>
      </c>
      <c r="F44" s="35" t="s">
        <v>159</v>
      </c>
      <c r="G44" s="71" t="s">
        <v>209</v>
      </c>
      <c r="H44" s="74">
        <v>0.6</v>
      </c>
      <c r="I44" s="100">
        <v>1440158.2</v>
      </c>
      <c r="J44" s="100">
        <v>1440158.2</v>
      </c>
      <c r="K44" s="80">
        <f t="shared" si="6"/>
        <v>1440158.2</v>
      </c>
      <c r="L44" s="101">
        <f t="shared" si="4"/>
        <v>0</v>
      </c>
      <c r="M44" s="83">
        <v>0.6</v>
      </c>
      <c r="N44" s="102">
        <f t="shared" si="1"/>
        <v>864094.92</v>
      </c>
      <c r="O44" s="80">
        <v>864094.92</v>
      </c>
      <c r="P44" s="102">
        <f>VLOOKUP(O44,[3]付款明细!$U$14:$U$299,1,FALSE)</f>
        <v>864094.92</v>
      </c>
      <c r="Q44" s="102">
        <f t="shared" si="2"/>
        <v>0</v>
      </c>
      <c r="R44" s="112"/>
      <c r="S44" s="80"/>
      <c r="T44" s="113"/>
      <c r="U44" s="102">
        <f>+J44*0.75-O44</f>
        <v>216023.73</v>
      </c>
      <c r="V44" s="102"/>
      <c r="W44" s="102"/>
      <c r="X44" s="114"/>
    </row>
    <row r="45" s="22" customFormat="1" ht="22" hidden="1" customHeight="1" spans="1:24">
      <c r="A45" s="35"/>
      <c r="B45" s="30">
        <v>26</v>
      </c>
      <c r="C45" s="30" t="s">
        <v>210</v>
      </c>
      <c r="D45" s="35" t="s">
        <v>211</v>
      </c>
      <c r="E45" s="62">
        <v>6455349.51</v>
      </c>
      <c r="F45" s="35" t="s">
        <v>159</v>
      </c>
      <c r="G45" s="71" t="s">
        <v>212</v>
      </c>
      <c r="H45" s="74">
        <v>0.7</v>
      </c>
      <c r="I45" s="100">
        <v>6386413.79</v>
      </c>
      <c r="J45" s="100">
        <v>6386413.79</v>
      </c>
      <c r="K45" s="80">
        <f t="shared" si="6"/>
        <v>6386413.79</v>
      </c>
      <c r="L45" s="101">
        <f t="shared" si="4"/>
        <v>0</v>
      </c>
      <c r="M45" s="83">
        <v>0.7</v>
      </c>
      <c r="N45" s="102">
        <f t="shared" si="1"/>
        <v>4470489.653</v>
      </c>
      <c r="O45" s="80">
        <v>4518744.66</v>
      </c>
      <c r="P45" s="102">
        <f>VLOOKUP(O45,[3]付款明细!$U$14:$U$299,1,FALSE)</f>
        <v>4518744.66</v>
      </c>
      <c r="Q45" s="102">
        <f t="shared" si="2"/>
        <v>-48255.0070000002</v>
      </c>
      <c r="R45" s="112">
        <v>2600000</v>
      </c>
      <c r="S45" s="80">
        <v>1273209.71</v>
      </c>
      <c r="T45" s="113"/>
      <c r="U45" s="102">
        <f>+J45*0.75-O45</f>
        <v>271065.6825</v>
      </c>
      <c r="V45" s="102"/>
      <c r="W45" s="102"/>
      <c r="X45" s="114"/>
    </row>
    <row r="46" s="22" customFormat="1" ht="22" hidden="1" customHeight="1" spans="1:24">
      <c r="A46" s="35"/>
      <c r="B46" s="30">
        <v>27</v>
      </c>
      <c r="C46" s="30" t="s">
        <v>213</v>
      </c>
      <c r="D46" s="35" t="str">
        <f>VLOOKUP(C46,[1]Sheet1!$B$1:$D$38,3,0)</f>
        <v>JZJG-GYY（113/114）-ZYF-2023-11(N)</v>
      </c>
      <c r="E46" s="62">
        <v>7085000</v>
      </c>
      <c r="F46" s="35" t="s">
        <v>159</v>
      </c>
      <c r="G46" s="71" t="s">
        <v>214</v>
      </c>
      <c r="H46" s="74">
        <v>0.8</v>
      </c>
      <c r="I46" s="100">
        <v>5341387.88</v>
      </c>
      <c r="J46" s="100">
        <v>5341387.88</v>
      </c>
      <c r="K46" s="80">
        <f t="shared" si="6"/>
        <v>5341387.88</v>
      </c>
      <c r="L46" s="101">
        <f t="shared" si="4"/>
        <v>0</v>
      </c>
      <c r="M46" s="83">
        <v>0.8</v>
      </c>
      <c r="N46" s="102">
        <f t="shared" si="1"/>
        <v>4273110.304</v>
      </c>
      <c r="O46" s="80">
        <v>4273110.3</v>
      </c>
      <c r="P46" s="102">
        <f>VLOOKUP(O46,[3]付款明细!$U$14:$U$299,1,FALSE)</f>
        <v>4273110.3</v>
      </c>
      <c r="Q46" s="102">
        <f t="shared" si="2"/>
        <v>0.00400000065565109</v>
      </c>
      <c r="R46" s="112">
        <v>1510000</v>
      </c>
      <c r="S46" s="80">
        <v>637610.3</v>
      </c>
      <c r="T46" s="113"/>
      <c r="U46" s="102"/>
      <c r="V46" s="102"/>
      <c r="W46" s="102"/>
      <c r="X46" s="114"/>
    </row>
    <row r="47" s="22" customFormat="1" ht="22" customHeight="1" spans="1:24">
      <c r="A47" s="35"/>
      <c r="B47" s="30">
        <v>28</v>
      </c>
      <c r="C47" s="30" t="s">
        <v>215</v>
      </c>
      <c r="D47" s="35" t="str">
        <f>VLOOKUP(C47,[1]Sheet1!$B$1:$D$38,3,0)</f>
        <v>JZJG-GYY(113/114)-ZYF-2023-09(N)</v>
      </c>
      <c r="E47" s="62">
        <v>12409639.1</v>
      </c>
      <c r="F47" s="35" t="s">
        <v>159</v>
      </c>
      <c r="G47" s="71" t="s">
        <v>216</v>
      </c>
      <c r="H47" s="74">
        <v>0.7</v>
      </c>
      <c r="I47" s="100">
        <v>9502275.26</v>
      </c>
      <c r="J47" s="100">
        <f>3777774.09+8024099.27</f>
        <v>11801873.36</v>
      </c>
      <c r="K47" s="80">
        <f t="shared" si="6"/>
        <v>9502275.26</v>
      </c>
      <c r="L47" s="101">
        <f t="shared" si="4"/>
        <v>2299598.1</v>
      </c>
      <c r="M47" s="83">
        <v>0.7</v>
      </c>
      <c r="N47" s="102">
        <f t="shared" si="1"/>
        <v>8261311.352</v>
      </c>
      <c r="O47" s="80">
        <v>6857833.4</v>
      </c>
      <c r="P47" s="102">
        <f>VLOOKUP(O47,[3]付款明细!$U$14:$U$299,1,FALSE)</f>
        <v>6857833.4</v>
      </c>
      <c r="Q47" s="102">
        <f t="shared" si="2"/>
        <v>1403477.952</v>
      </c>
      <c r="R47" s="112">
        <v>3716869.49</v>
      </c>
      <c r="S47" s="80">
        <v>1900000</v>
      </c>
      <c r="T47" s="102">
        <v>2644441.86</v>
      </c>
      <c r="U47" s="102">
        <f>+E47*1.15*0.7-O47-T47</f>
        <v>487484.215499999</v>
      </c>
      <c r="V47" s="102">
        <f>+E47*1.15*0.8-O47-T47-U47</f>
        <v>1427108.4965</v>
      </c>
      <c r="W47" s="102"/>
      <c r="X47" s="114" t="s">
        <v>123</v>
      </c>
    </row>
    <row r="48" s="22" customFormat="1" ht="22" hidden="1" customHeight="1" spans="1:24">
      <c r="A48" s="35"/>
      <c r="B48" s="30">
        <v>29</v>
      </c>
      <c r="C48" s="30" t="s">
        <v>217</v>
      </c>
      <c r="D48" s="35" t="str">
        <f>VLOOKUP(C48,[1]Sheet1!$B$1:$D$38,3,0)</f>
        <v>JZJG-GYY(113/114)-ZYF-2023-13(N)</v>
      </c>
      <c r="E48" s="62">
        <v>9166854.99</v>
      </c>
      <c r="F48" s="35" t="s">
        <v>159</v>
      </c>
      <c r="G48" s="71" t="s">
        <v>218</v>
      </c>
      <c r="H48" s="74">
        <v>0.7</v>
      </c>
      <c r="I48" s="100">
        <v>8603065.42</v>
      </c>
      <c r="J48" s="100">
        <v>8603065.418575</v>
      </c>
      <c r="K48" s="80">
        <f t="shared" si="6"/>
        <v>8603065.42</v>
      </c>
      <c r="L48" s="101">
        <f t="shared" si="4"/>
        <v>-0.0014249999076128</v>
      </c>
      <c r="M48" s="83">
        <v>0.7</v>
      </c>
      <c r="N48" s="102">
        <f t="shared" si="1"/>
        <v>6022145.7930025</v>
      </c>
      <c r="O48" s="80">
        <v>6416203.5</v>
      </c>
      <c r="P48" s="102">
        <f>VLOOKUP(O48,[3]付款明细!$U$14:$U$299,1,FALSE)</f>
        <v>6416203.5</v>
      </c>
      <c r="Q48" s="102">
        <f t="shared" si="2"/>
        <v>-394057.706997501</v>
      </c>
      <c r="R48" s="112">
        <v>1249518</v>
      </c>
      <c r="S48" s="80">
        <v>2250000</v>
      </c>
      <c r="T48" s="113"/>
      <c r="U48" s="102">
        <f>+J48*0.8-O48</f>
        <v>466248.834860001</v>
      </c>
      <c r="V48" s="102">
        <f>+E48*0.8-O48-U48</f>
        <v>451031.65714</v>
      </c>
      <c r="W48" s="102"/>
      <c r="X48" s="114"/>
    </row>
    <row r="49" s="22" customFormat="1" ht="22" hidden="1" customHeight="1" spans="1:24">
      <c r="A49" s="35"/>
      <c r="B49" s="30">
        <v>30</v>
      </c>
      <c r="C49" s="30" t="s">
        <v>219</v>
      </c>
      <c r="D49" s="35" t="str">
        <f>VLOOKUP(C49,[1]Sheet1!$B$1:$D$38,3,0)</f>
        <v>JZJG-GYY(113/114)-2023-ZYF-07(N)</v>
      </c>
      <c r="E49" s="79">
        <v>1641089.96</v>
      </c>
      <c r="F49" s="35" t="s">
        <v>159</v>
      </c>
      <c r="G49" s="71" t="s">
        <v>220</v>
      </c>
      <c r="H49" s="74">
        <v>0.5</v>
      </c>
      <c r="I49" s="100">
        <v>1641089.96</v>
      </c>
      <c r="J49" s="100">
        <v>1641089.96</v>
      </c>
      <c r="K49" s="80">
        <f t="shared" si="6"/>
        <v>1641089.96</v>
      </c>
      <c r="L49" s="101">
        <f t="shared" si="4"/>
        <v>0</v>
      </c>
      <c r="M49" s="83">
        <v>0.5</v>
      </c>
      <c r="N49" s="102">
        <f t="shared" si="1"/>
        <v>820544.98</v>
      </c>
      <c r="O49" s="80">
        <v>820544.98</v>
      </c>
      <c r="P49" s="102">
        <f>VLOOKUP(O49,[3]付款明细!$U$14:$U$299,1,FALSE)</f>
        <v>820544.98</v>
      </c>
      <c r="Q49" s="102">
        <f t="shared" si="2"/>
        <v>0</v>
      </c>
      <c r="R49" s="112">
        <v>820544.98</v>
      </c>
      <c r="S49" s="80"/>
      <c r="T49" s="113"/>
      <c r="U49" s="102"/>
      <c r="V49" s="102"/>
      <c r="W49" s="102"/>
      <c r="X49" s="114"/>
    </row>
    <row r="50" s="22" customFormat="1" ht="22" customHeight="1" spans="1:24">
      <c r="A50" s="35"/>
      <c r="B50" s="30">
        <v>31</v>
      </c>
      <c r="C50" s="30" t="s">
        <v>221</v>
      </c>
      <c r="D50" s="35" t="str">
        <f>VLOOKUP(C50,[1]Sheet1!$B$1:$D$38,3,0)</f>
        <v>JZJG-GYY(113/114)-CG-2023-06(N)</v>
      </c>
      <c r="E50" s="79">
        <v>1436077.5</v>
      </c>
      <c r="F50" s="35" t="s">
        <v>162</v>
      </c>
      <c r="G50" s="71" t="s">
        <v>222</v>
      </c>
      <c r="H50" s="74">
        <v>0.75</v>
      </c>
      <c r="I50" s="100">
        <f>1336278.75+308844.47</f>
        <v>1645123.22</v>
      </c>
      <c r="J50" s="100">
        <f>209085.88+1436037.34</f>
        <v>1645123.22</v>
      </c>
      <c r="K50" s="80">
        <f t="shared" si="6"/>
        <v>1645123.22</v>
      </c>
      <c r="L50" s="101">
        <f t="shared" si="4"/>
        <v>0</v>
      </c>
      <c r="M50" s="83">
        <v>0.75</v>
      </c>
      <c r="N50" s="102">
        <f t="shared" si="1"/>
        <v>1233842.415</v>
      </c>
      <c r="O50" s="80">
        <v>1077028.01</v>
      </c>
      <c r="P50" s="102">
        <f>VLOOKUP(O50,[3]付款明细!$U$14:$U$299,1,FALSE)</f>
        <v>1077028.01</v>
      </c>
      <c r="Q50" s="102">
        <f t="shared" si="2"/>
        <v>156814.405</v>
      </c>
      <c r="R50" s="112"/>
      <c r="S50" s="80">
        <v>1077028.01</v>
      </c>
      <c r="T50" s="102">
        <v>156814.41</v>
      </c>
      <c r="U50" s="102">
        <f>+J50*0.8-O50-T50</f>
        <v>82256.1560000001</v>
      </c>
      <c r="V50" s="102"/>
      <c r="W50" s="102"/>
      <c r="X50" s="114" t="s">
        <v>120</v>
      </c>
    </row>
    <row r="51" s="22" customFormat="1" ht="22" hidden="1" customHeight="1" spans="1:24">
      <c r="A51" s="35"/>
      <c r="B51" s="30">
        <v>32</v>
      </c>
      <c r="C51" s="30" t="s">
        <v>223</v>
      </c>
      <c r="D51" s="35" t="s">
        <v>224</v>
      </c>
      <c r="E51" s="79">
        <v>638832.45</v>
      </c>
      <c r="F51" s="35" t="s">
        <v>162</v>
      </c>
      <c r="G51" s="71" t="s">
        <v>225</v>
      </c>
      <c r="H51" s="74">
        <v>0.7</v>
      </c>
      <c r="I51" s="100">
        <v>508970.31</v>
      </c>
      <c r="J51" s="100">
        <v>508970.306</v>
      </c>
      <c r="K51" s="80">
        <f t="shared" si="6"/>
        <v>508970.31</v>
      </c>
      <c r="L51" s="101">
        <f t="shared" si="4"/>
        <v>-0.00400000001536682</v>
      </c>
      <c r="M51" s="83">
        <v>0.7</v>
      </c>
      <c r="N51" s="102">
        <f t="shared" si="1"/>
        <v>356279.2142</v>
      </c>
      <c r="O51" s="80">
        <v>356279.22</v>
      </c>
      <c r="P51" s="102">
        <f>VLOOKUP(O51,[3]付款明细!$U$14:$U$299,1,FALSE)</f>
        <v>356279.22</v>
      </c>
      <c r="Q51" s="102">
        <f t="shared" si="2"/>
        <v>-0.00579999998444691</v>
      </c>
      <c r="R51" s="112">
        <v>0</v>
      </c>
      <c r="S51" s="80">
        <v>356279.22</v>
      </c>
      <c r="T51" s="113"/>
      <c r="U51" s="102">
        <f t="shared" ref="U51:U55" si="7">+J51*0.75-O51</f>
        <v>25448.5095</v>
      </c>
      <c r="V51" s="102"/>
      <c r="W51" s="102"/>
      <c r="X51" s="114"/>
    </row>
    <row r="52" s="22" customFormat="1" ht="22" hidden="1" customHeight="1" spans="1:24">
      <c r="A52" s="35"/>
      <c r="B52" s="30">
        <v>33</v>
      </c>
      <c r="C52" s="30" t="s">
        <v>226</v>
      </c>
      <c r="D52" s="35" t="s">
        <v>227</v>
      </c>
      <c r="E52" s="79">
        <v>544636.17</v>
      </c>
      <c r="F52" s="35" t="s">
        <v>162</v>
      </c>
      <c r="G52" s="71" t="s">
        <v>228</v>
      </c>
      <c r="H52" s="74">
        <v>0.7</v>
      </c>
      <c r="I52" s="100">
        <v>460044.15</v>
      </c>
      <c r="J52" s="100">
        <v>460044.15</v>
      </c>
      <c r="K52" s="80">
        <f t="shared" si="6"/>
        <v>460044.15</v>
      </c>
      <c r="L52" s="101">
        <f t="shared" si="4"/>
        <v>0</v>
      </c>
      <c r="M52" s="83">
        <v>0.7</v>
      </c>
      <c r="N52" s="102">
        <f t="shared" si="1"/>
        <v>322030.905</v>
      </c>
      <c r="O52" s="80">
        <v>322030.91</v>
      </c>
      <c r="P52" s="102">
        <f>VLOOKUP(O52,[3]付款明细!$U$14:$U$299,1,FALSE)</f>
        <v>322030.91</v>
      </c>
      <c r="Q52" s="102">
        <f t="shared" si="2"/>
        <v>-0.00500000000465661</v>
      </c>
      <c r="R52" s="112">
        <v>322030.91</v>
      </c>
      <c r="S52" s="80"/>
      <c r="T52" s="113"/>
      <c r="U52" s="102">
        <f t="shared" si="7"/>
        <v>23002.2025000001</v>
      </c>
      <c r="V52" s="102">
        <f>+E52*0.8-O52-U52</f>
        <v>90675.8235</v>
      </c>
      <c r="W52" s="102"/>
      <c r="X52" s="114"/>
    </row>
    <row r="53" s="22" customFormat="1" ht="22" hidden="1" customHeight="1" spans="1:24">
      <c r="A53" s="35"/>
      <c r="B53" s="30">
        <v>34</v>
      </c>
      <c r="C53" s="30" t="s">
        <v>229</v>
      </c>
      <c r="D53" s="35" t="str">
        <f>VLOOKUP(C53,[1]Sheet1!$B$1:$D$38,3,0)</f>
        <v>JZJG-GYY(113/114)-ZYF-2023-15(N)</v>
      </c>
      <c r="E53" s="79">
        <v>51276.65</v>
      </c>
      <c r="F53" s="35" t="s">
        <v>159</v>
      </c>
      <c r="G53" s="71" t="s">
        <v>230</v>
      </c>
      <c r="H53" s="74">
        <v>0.8</v>
      </c>
      <c r="I53" s="100">
        <v>51276.65</v>
      </c>
      <c r="J53" s="100">
        <v>51276.65</v>
      </c>
      <c r="K53" s="80">
        <f t="shared" si="6"/>
        <v>51276.65</v>
      </c>
      <c r="L53" s="101">
        <f t="shared" si="4"/>
        <v>0</v>
      </c>
      <c r="M53" s="83">
        <v>0.8</v>
      </c>
      <c r="N53" s="102">
        <f t="shared" si="1"/>
        <v>41021.32</v>
      </c>
      <c r="O53" s="80">
        <v>41021.32</v>
      </c>
      <c r="P53" s="102">
        <f>VLOOKUP(O53,[3]付款明细!$U$14:$U$299,1,FALSE)</f>
        <v>41021.32</v>
      </c>
      <c r="Q53" s="102">
        <f t="shared" si="2"/>
        <v>0</v>
      </c>
      <c r="R53" s="112">
        <v>41021.32</v>
      </c>
      <c r="S53" s="80"/>
      <c r="T53" s="113"/>
      <c r="U53" s="102"/>
      <c r="V53" s="102"/>
      <c r="W53" s="102"/>
      <c r="X53" s="114"/>
    </row>
    <row r="54" s="22" customFormat="1" ht="22" hidden="1" customHeight="1" spans="1:24">
      <c r="A54" s="35"/>
      <c r="B54" s="30">
        <v>35</v>
      </c>
      <c r="C54" s="30" t="s">
        <v>231</v>
      </c>
      <c r="D54" s="35" t="str">
        <f>VLOOKUP(C54,[1]Sheet1!$B$1:$D$38,3,0)</f>
        <v>JZJG-GYY(113/114)-ZYF-2023-10(N)</v>
      </c>
      <c r="E54" s="79">
        <v>1556766.5</v>
      </c>
      <c r="F54" s="35" t="s">
        <v>159</v>
      </c>
      <c r="G54" s="71" t="s">
        <v>232</v>
      </c>
      <c r="H54" s="74">
        <v>0.7</v>
      </c>
      <c r="I54" s="100">
        <v>1184395.88</v>
      </c>
      <c r="J54" s="100">
        <v>1184395.8748</v>
      </c>
      <c r="K54" s="80">
        <f t="shared" si="6"/>
        <v>1184395.88</v>
      </c>
      <c r="L54" s="101">
        <f t="shared" ref="L54:L71" si="8">J54-K54</f>
        <v>-0.00519999978132546</v>
      </c>
      <c r="M54" s="83">
        <v>0.7</v>
      </c>
      <c r="N54" s="102">
        <f t="shared" si="1"/>
        <v>829077.11236</v>
      </c>
      <c r="O54" s="80">
        <v>829077.11</v>
      </c>
      <c r="P54" s="102">
        <f>VLOOKUP(O54,[3]付款明细!$U$14:$U$299,1,FALSE)</f>
        <v>829077.11</v>
      </c>
      <c r="Q54" s="102">
        <f t="shared" si="2"/>
        <v>0.00236000004224479</v>
      </c>
      <c r="R54" s="112">
        <v>400000</v>
      </c>
      <c r="S54" s="80">
        <v>429077.12</v>
      </c>
      <c r="T54" s="113"/>
      <c r="U54" s="102">
        <f t="shared" si="7"/>
        <v>59219.7961</v>
      </c>
      <c r="V54" s="102">
        <f>+E54*0.75-O54-U54</f>
        <v>279277.9689</v>
      </c>
      <c r="W54" s="102"/>
      <c r="X54" s="114"/>
    </row>
    <row r="55" s="22" customFormat="1" ht="22" hidden="1" customHeight="1" spans="1:24">
      <c r="A55" s="35"/>
      <c r="B55" s="30">
        <v>36</v>
      </c>
      <c r="C55" s="30" t="s">
        <v>231</v>
      </c>
      <c r="D55" s="35" t="str">
        <f>VLOOKUP(C55,[1]Sheet1!$B$1:$D$38,3,0)</f>
        <v>JZJG-GYY(113/114)-ZYF-2023-10(N)</v>
      </c>
      <c r="E55" s="79">
        <v>1413715.66</v>
      </c>
      <c r="F55" s="35" t="s">
        <v>159</v>
      </c>
      <c r="G55" s="71" t="s">
        <v>233</v>
      </c>
      <c r="H55" s="74">
        <v>0.6</v>
      </c>
      <c r="I55" s="100">
        <v>1385441.1</v>
      </c>
      <c r="J55" s="100">
        <v>1385441.1</v>
      </c>
      <c r="K55" s="80">
        <f t="shared" si="6"/>
        <v>1385441.1</v>
      </c>
      <c r="L55" s="101">
        <f t="shared" si="8"/>
        <v>0</v>
      </c>
      <c r="M55" s="83">
        <v>0.6</v>
      </c>
      <c r="N55" s="102">
        <f t="shared" si="1"/>
        <v>831264.66</v>
      </c>
      <c r="O55" s="80">
        <v>831264.66</v>
      </c>
      <c r="P55" s="102">
        <f>VLOOKUP(O55,[3]付款明细!$U$14:$U$299,1,FALSE)</f>
        <v>831264.66</v>
      </c>
      <c r="Q55" s="102">
        <f t="shared" si="2"/>
        <v>0</v>
      </c>
      <c r="R55" s="112">
        <v>410000</v>
      </c>
      <c r="S55" s="80">
        <v>421264.66</v>
      </c>
      <c r="T55" s="113"/>
      <c r="U55" s="102">
        <f t="shared" si="7"/>
        <v>207816.165</v>
      </c>
      <c r="V55" s="102">
        <f>+E55*0.75-O55-U55</f>
        <v>21205.9199999998</v>
      </c>
      <c r="W55" s="102"/>
      <c r="X55" s="114"/>
    </row>
    <row r="56" s="22" customFormat="1" ht="22" customHeight="1" spans="1:24">
      <c r="A56" s="35"/>
      <c r="B56" s="30">
        <v>37</v>
      </c>
      <c r="C56" s="30" t="s">
        <v>234</v>
      </c>
      <c r="D56" s="35" t="str">
        <f>VLOOKUP(C56,[1]Sheet1!$B$1:$D$38,3,0)</f>
        <v>JZJG-GYY（113/114）-2023-CGF-01(N)</v>
      </c>
      <c r="E56" s="79">
        <v>272035.61</v>
      </c>
      <c r="F56" s="35" t="s">
        <v>159</v>
      </c>
      <c r="G56" s="71" t="s">
        <v>235</v>
      </c>
      <c r="H56" s="74">
        <v>0.3</v>
      </c>
      <c r="I56" s="100">
        <v>65272.68</v>
      </c>
      <c r="J56" s="100">
        <f>65272.68+65272.68</f>
        <v>130545.36</v>
      </c>
      <c r="K56" s="80">
        <f t="shared" si="6"/>
        <v>65272.68</v>
      </c>
      <c r="L56" s="101">
        <f t="shared" si="8"/>
        <v>65272.68</v>
      </c>
      <c r="M56" s="83">
        <v>0.3</v>
      </c>
      <c r="N56" s="102">
        <f>+I56</f>
        <v>65272.68</v>
      </c>
      <c r="O56" s="80">
        <v>0</v>
      </c>
      <c r="P56" s="102" t="e">
        <f>VLOOKUP(O56,[3]付款明细!$U$14:$U$299,1,FALSE)</f>
        <v>#N/A</v>
      </c>
      <c r="Q56" s="102">
        <f t="shared" si="2"/>
        <v>65272.68</v>
      </c>
      <c r="R56" s="112"/>
      <c r="S56" s="80"/>
      <c r="T56" s="113">
        <v>65272.68</v>
      </c>
      <c r="U56" s="102"/>
      <c r="V56" s="102">
        <v>65272.68</v>
      </c>
      <c r="W56" s="102"/>
      <c r="X56" s="114" t="s">
        <v>120</v>
      </c>
    </row>
    <row r="57" s="22" customFormat="1" ht="22" hidden="1" customHeight="1" spans="1:24">
      <c r="A57" s="35"/>
      <c r="B57" s="30">
        <v>38</v>
      </c>
      <c r="C57" s="30" t="s">
        <v>236</v>
      </c>
      <c r="D57" s="35" t="s">
        <v>237</v>
      </c>
      <c r="E57" s="80">
        <f>14565848.91-3392974.55</f>
        <v>11172874.36</v>
      </c>
      <c r="F57" s="35" t="s">
        <v>159</v>
      </c>
      <c r="G57" s="71" t="s">
        <v>238</v>
      </c>
      <c r="H57" s="74">
        <v>0.7</v>
      </c>
      <c r="I57" s="100">
        <v>8940062.64</v>
      </c>
      <c r="J57" s="100">
        <f>1603604.61+7483477.74</f>
        <v>9087082.35</v>
      </c>
      <c r="K57" s="80">
        <f t="shared" si="6"/>
        <v>8940062.64</v>
      </c>
      <c r="L57" s="101">
        <f t="shared" si="8"/>
        <v>147019.709999999</v>
      </c>
      <c r="M57" s="83">
        <v>0.7</v>
      </c>
      <c r="N57" s="102">
        <f t="shared" si="1"/>
        <v>6360957.645</v>
      </c>
      <c r="O57" s="80">
        <v>5956584.89</v>
      </c>
      <c r="P57" s="102">
        <f>VLOOKUP(O57,[3]付款明细!$U$14:$U$299,1,FALSE)</f>
        <v>5956584.89</v>
      </c>
      <c r="Q57" s="102">
        <f t="shared" si="2"/>
        <v>404372.755</v>
      </c>
      <c r="R57" s="112">
        <v>3600000</v>
      </c>
      <c r="S57" s="80">
        <v>900000</v>
      </c>
      <c r="T57" s="113"/>
      <c r="U57" s="102">
        <f>400000+1122523.23</f>
        <v>1522523.23</v>
      </c>
      <c r="V57" s="102">
        <f>+E57*0.75-O57-T57-U57</f>
        <v>900547.65</v>
      </c>
      <c r="W57" s="102"/>
      <c r="X57" s="114"/>
    </row>
    <row r="58" s="22" customFormat="1" ht="22" hidden="1" customHeight="1" spans="1:24">
      <c r="A58" s="35"/>
      <c r="B58" s="30">
        <v>39</v>
      </c>
      <c r="C58" s="30" t="s">
        <v>239</v>
      </c>
      <c r="D58" s="35" t="s">
        <v>237</v>
      </c>
      <c r="E58" s="80">
        <v>3392974.55</v>
      </c>
      <c r="F58" s="35" t="s">
        <v>159</v>
      </c>
      <c r="G58" s="71" t="s">
        <v>240</v>
      </c>
      <c r="H58" s="74">
        <v>0.7</v>
      </c>
      <c r="I58" s="100">
        <v>3434258.02</v>
      </c>
      <c r="J58" s="100">
        <v>3434258.02</v>
      </c>
      <c r="K58" s="80">
        <f t="shared" si="6"/>
        <v>3434258.02</v>
      </c>
      <c r="L58" s="101">
        <f t="shared" si="8"/>
        <v>0</v>
      </c>
      <c r="M58" s="83">
        <v>0.7</v>
      </c>
      <c r="N58" s="102">
        <f t="shared" si="1"/>
        <v>2403980.614</v>
      </c>
      <c r="O58" s="80">
        <v>2403980.3</v>
      </c>
      <c r="P58" s="102">
        <f>VLOOKUP(O58,[3]付款明细!$U$14:$U$299,1,FALSE)</f>
        <v>2403980.3</v>
      </c>
      <c r="Q58" s="102">
        <f t="shared" si="2"/>
        <v>0.314000000245869</v>
      </c>
      <c r="R58" s="112">
        <v>1770000</v>
      </c>
      <c r="S58" s="80">
        <v>633980.61</v>
      </c>
      <c r="T58" s="113"/>
      <c r="U58" s="102">
        <f>+E58*0.75-O58</f>
        <v>140750.6125</v>
      </c>
      <c r="V58" s="102"/>
      <c r="W58" s="102"/>
      <c r="X58" s="114"/>
    </row>
    <row r="59" s="22" customFormat="1" ht="22" hidden="1" customHeight="1" spans="1:24">
      <c r="A59" s="35"/>
      <c r="B59" s="30">
        <v>40</v>
      </c>
      <c r="C59" s="30" t="s">
        <v>195</v>
      </c>
      <c r="D59" s="35" t="str">
        <f>VLOOKUP(C59,[1]Sheet1!$B$1:$D$38,3,0)</f>
        <v>JZJG-GYY（113/114）-2023-CGF-02(N)</v>
      </c>
      <c r="E59" s="79">
        <v>2664640.16</v>
      </c>
      <c r="F59" s="35" t="s">
        <v>159</v>
      </c>
      <c r="G59" s="71" t="s">
        <v>241</v>
      </c>
      <c r="H59" s="81">
        <v>0.7</v>
      </c>
      <c r="I59" s="100">
        <v>707705.04</v>
      </c>
      <c r="J59" s="100">
        <v>707705.04</v>
      </c>
      <c r="K59" s="80">
        <v>707705.04</v>
      </c>
      <c r="L59" s="101">
        <f t="shared" si="8"/>
        <v>0</v>
      </c>
      <c r="M59" s="106">
        <v>0.7</v>
      </c>
      <c r="N59" s="102">
        <f t="shared" si="1"/>
        <v>495393.528</v>
      </c>
      <c r="O59" s="80">
        <v>495393.53</v>
      </c>
      <c r="P59" s="102">
        <f>VLOOKUP(O59,[3]付款明细!$U$14:$U$299,1,FALSE)</f>
        <v>495393.53</v>
      </c>
      <c r="Q59" s="102">
        <f t="shared" si="2"/>
        <v>-0.00200000003678724</v>
      </c>
      <c r="R59" s="112"/>
      <c r="S59" s="80">
        <v>495393.53</v>
      </c>
      <c r="T59" s="113"/>
      <c r="U59" s="102">
        <v>1369854.582</v>
      </c>
      <c r="V59" s="102">
        <f>+E59*0.75-O59-U59</f>
        <v>133232.008</v>
      </c>
      <c r="W59" s="102"/>
      <c r="X59" s="114"/>
    </row>
    <row r="60" s="22" customFormat="1" ht="22" hidden="1" customHeight="1" spans="1:24">
      <c r="A60" s="35"/>
      <c r="B60" s="30">
        <v>41</v>
      </c>
      <c r="C60" s="30" t="s">
        <v>242</v>
      </c>
      <c r="D60" s="35" t="s">
        <v>243</v>
      </c>
      <c r="E60" s="79">
        <v>951918.31</v>
      </c>
      <c r="F60" s="35" t="s">
        <v>159</v>
      </c>
      <c r="G60" s="71" t="s">
        <v>244</v>
      </c>
      <c r="H60" s="81">
        <v>0.6</v>
      </c>
      <c r="I60" s="100">
        <v>516068.48</v>
      </c>
      <c r="J60" s="100">
        <v>516068.48</v>
      </c>
      <c r="K60" s="80">
        <f t="shared" si="6"/>
        <v>516068.48</v>
      </c>
      <c r="L60" s="101">
        <f t="shared" si="8"/>
        <v>0</v>
      </c>
      <c r="M60" s="106">
        <v>0.6</v>
      </c>
      <c r="N60" s="102">
        <f t="shared" si="1"/>
        <v>309641.088</v>
      </c>
      <c r="O60" s="80">
        <v>309641</v>
      </c>
      <c r="P60" s="102">
        <f>VLOOKUP(O60,[3]付款明细!$U$14:$U$299,1,FALSE)</f>
        <v>309641</v>
      </c>
      <c r="Q60" s="102">
        <f t="shared" si="2"/>
        <v>0.0879999999888241</v>
      </c>
      <c r="R60" s="112">
        <v>0</v>
      </c>
      <c r="S60" s="80">
        <v>309641.09</v>
      </c>
      <c r="T60" s="113"/>
      <c r="U60" s="102">
        <f>+J60*0.8-O60</f>
        <v>103213.784</v>
      </c>
      <c r="V60" s="102"/>
      <c r="W60" s="102"/>
      <c r="X60" s="114"/>
    </row>
    <row r="61" s="22" customFormat="1" ht="22" hidden="1" customHeight="1" spans="1:24">
      <c r="A61" s="35"/>
      <c r="B61" s="30">
        <v>42</v>
      </c>
      <c r="C61" s="30" t="s">
        <v>245</v>
      </c>
      <c r="D61" s="61" t="s">
        <v>246</v>
      </c>
      <c r="E61" s="79">
        <v>1988927.17</v>
      </c>
      <c r="F61" s="35" t="s">
        <v>162</v>
      </c>
      <c r="G61" s="71" t="s">
        <v>247</v>
      </c>
      <c r="H61" s="74">
        <v>0.7</v>
      </c>
      <c r="I61" s="100">
        <v>792362.15</v>
      </c>
      <c r="J61" s="100">
        <v>792362.1465</v>
      </c>
      <c r="K61" s="80">
        <f t="shared" si="6"/>
        <v>792362.15</v>
      </c>
      <c r="L61" s="101">
        <f t="shared" si="8"/>
        <v>-0.0034999999916181</v>
      </c>
      <c r="M61" s="83">
        <v>0.7</v>
      </c>
      <c r="N61" s="102">
        <f t="shared" si="1"/>
        <v>554653.50255</v>
      </c>
      <c r="O61" s="80">
        <v>554653.51</v>
      </c>
      <c r="P61" s="102">
        <f>VLOOKUP(O61,[3]付款明细!$U$14:$U$299,1,FALSE)</f>
        <v>554653.51</v>
      </c>
      <c r="Q61" s="102">
        <f t="shared" si="2"/>
        <v>-0.00745000003371388</v>
      </c>
      <c r="R61" s="112">
        <v>554653.51</v>
      </c>
      <c r="S61" s="80"/>
      <c r="T61" s="113"/>
      <c r="U61" s="102"/>
      <c r="V61" s="102">
        <f>+J61*0.8-O61</f>
        <v>79236.2072000001</v>
      </c>
      <c r="W61" s="102"/>
      <c r="X61" s="114"/>
    </row>
    <row r="62" s="22" customFormat="1" ht="22" hidden="1" customHeight="1" spans="1:24">
      <c r="A62" s="35"/>
      <c r="B62" s="30">
        <v>43</v>
      </c>
      <c r="C62" s="30" t="s">
        <v>248</v>
      </c>
      <c r="D62" s="35" t="s">
        <v>249</v>
      </c>
      <c r="E62" s="79">
        <v>533948.6</v>
      </c>
      <c r="F62" s="35" t="s">
        <v>159</v>
      </c>
      <c r="G62" s="71" t="s">
        <v>250</v>
      </c>
      <c r="H62" s="74">
        <v>0.7</v>
      </c>
      <c r="I62" s="100">
        <v>524724.56</v>
      </c>
      <c r="J62" s="100">
        <v>524724.56</v>
      </c>
      <c r="K62" s="80">
        <f t="shared" si="6"/>
        <v>524724.56</v>
      </c>
      <c r="L62" s="101">
        <f t="shared" si="8"/>
        <v>0</v>
      </c>
      <c r="M62" s="83">
        <v>0.7</v>
      </c>
      <c r="N62" s="102">
        <f t="shared" si="1"/>
        <v>367307.192</v>
      </c>
      <c r="O62" s="80">
        <v>367307.19</v>
      </c>
      <c r="P62" s="102">
        <f>VLOOKUP(O62,[3]付款明细!$U$14:$U$299,1,FALSE)</f>
        <v>367307.19</v>
      </c>
      <c r="Q62" s="102">
        <f t="shared" si="2"/>
        <v>0.00200000003678724</v>
      </c>
      <c r="R62" s="112">
        <v>290000</v>
      </c>
      <c r="S62" s="80">
        <v>77307.19</v>
      </c>
      <c r="T62" s="113"/>
      <c r="U62" s="102">
        <f>+J62*0.75-O62</f>
        <v>26236.23</v>
      </c>
      <c r="V62" s="102"/>
      <c r="W62" s="102"/>
      <c r="X62" s="114"/>
    </row>
    <row r="63" s="22" customFormat="1" ht="22" hidden="1" customHeight="1" spans="1:24">
      <c r="A63" s="35"/>
      <c r="B63" s="30">
        <v>44</v>
      </c>
      <c r="C63" s="30" t="s">
        <v>251</v>
      </c>
      <c r="D63" s="35" t="s">
        <v>252</v>
      </c>
      <c r="E63" s="79">
        <v>120231.36</v>
      </c>
      <c r="F63" s="35" t="s">
        <v>159</v>
      </c>
      <c r="G63" s="71" t="s">
        <v>253</v>
      </c>
      <c r="H63" s="74">
        <v>0.7</v>
      </c>
      <c r="I63" s="100">
        <v>120231.36</v>
      </c>
      <c r="J63" s="100">
        <v>120231.36</v>
      </c>
      <c r="K63" s="80">
        <f t="shared" si="6"/>
        <v>120231.36</v>
      </c>
      <c r="L63" s="101">
        <f t="shared" si="8"/>
        <v>0</v>
      </c>
      <c r="M63" s="83">
        <v>0.7</v>
      </c>
      <c r="N63" s="102">
        <f t="shared" si="1"/>
        <v>84161.952</v>
      </c>
      <c r="O63" s="80">
        <v>84161.95</v>
      </c>
      <c r="P63" s="102">
        <f>VLOOKUP(O63,[3]付款明细!$U$14:$U$299,1,FALSE)</f>
        <v>84161.95</v>
      </c>
      <c r="Q63" s="102">
        <f t="shared" si="2"/>
        <v>0.0019999999931315</v>
      </c>
      <c r="R63" s="112"/>
      <c r="S63" s="80">
        <v>84161.95</v>
      </c>
      <c r="T63" s="113"/>
      <c r="U63" s="102">
        <f>+J63*0.8-O63</f>
        <v>12023.138</v>
      </c>
      <c r="V63" s="102"/>
      <c r="W63" s="102"/>
      <c r="X63" s="114"/>
    </row>
    <row r="64" s="22" customFormat="1" ht="22" hidden="1" customHeight="1" spans="1:24">
      <c r="A64" s="35"/>
      <c r="B64" s="30">
        <v>45</v>
      </c>
      <c r="C64" s="30" t="s">
        <v>254</v>
      </c>
      <c r="D64" s="35" t="s">
        <v>255</v>
      </c>
      <c r="E64" s="79">
        <v>262774.8</v>
      </c>
      <c r="F64" s="35" t="s">
        <v>159</v>
      </c>
      <c r="G64" s="71" t="s">
        <v>256</v>
      </c>
      <c r="H64" s="74">
        <v>0.7</v>
      </c>
      <c r="I64" s="100">
        <v>242562.95</v>
      </c>
      <c r="J64" s="100">
        <v>242562.95</v>
      </c>
      <c r="K64" s="80">
        <f t="shared" si="6"/>
        <v>242562.95</v>
      </c>
      <c r="L64" s="101">
        <f t="shared" si="8"/>
        <v>0</v>
      </c>
      <c r="M64" s="83">
        <v>0.7</v>
      </c>
      <c r="N64" s="102">
        <f t="shared" si="1"/>
        <v>169794.065</v>
      </c>
      <c r="O64" s="80">
        <v>169794.07</v>
      </c>
      <c r="P64" s="102">
        <f>VLOOKUP(O64,[3]付款明细!$U$14:$U$299,1,FALSE)</f>
        <v>169794.07</v>
      </c>
      <c r="Q64" s="102">
        <f t="shared" si="2"/>
        <v>-0.00500000000465661</v>
      </c>
      <c r="R64" s="112">
        <v>0</v>
      </c>
      <c r="S64" s="80">
        <v>169740.07</v>
      </c>
      <c r="T64" s="113"/>
      <c r="U64" s="102"/>
      <c r="V64" s="102">
        <f>+J64*0.75-O64</f>
        <v>12128.1425</v>
      </c>
      <c r="W64" s="102"/>
      <c r="X64" s="114"/>
    </row>
    <row r="65" s="22" customFormat="1" ht="22" hidden="1" customHeight="1" spans="1:24">
      <c r="A65" s="35"/>
      <c r="B65" s="30">
        <v>46</v>
      </c>
      <c r="C65" s="30" t="s">
        <v>257</v>
      </c>
      <c r="D65" s="35" t="str">
        <f>VLOOKUP(C65,[1]Sheet1!$B$1:$D$38,3,0)</f>
        <v>JZJG-GYY(113/114)-ZL-2023-03(N)</v>
      </c>
      <c r="E65" s="79">
        <v>82400</v>
      </c>
      <c r="F65" s="35" t="s">
        <v>176</v>
      </c>
      <c r="G65" s="71" t="s">
        <v>258</v>
      </c>
      <c r="H65" s="74">
        <v>0.7</v>
      </c>
      <c r="I65" s="100">
        <v>0</v>
      </c>
      <c r="J65" s="100">
        <v>0</v>
      </c>
      <c r="K65" s="80">
        <f t="shared" si="6"/>
        <v>0</v>
      </c>
      <c r="L65" s="101">
        <f t="shared" si="8"/>
        <v>0</v>
      </c>
      <c r="M65" s="83">
        <v>0.7</v>
      </c>
      <c r="N65" s="102">
        <f t="shared" si="1"/>
        <v>0</v>
      </c>
      <c r="O65" s="101">
        <v>0</v>
      </c>
      <c r="P65" s="102" t="e">
        <f>VLOOKUP(O65,[3]付款明细!$U$14:$U$299,1,FALSE)</f>
        <v>#N/A</v>
      </c>
      <c r="Q65" s="102">
        <f t="shared" si="2"/>
        <v>0</v>
      </c>
      <c r="R65" s="112"/>
      <c r="S65" s="80"/>
      <c r="T65" s="113"/>
      <c r="U65" s="102">
        <v>57680</v>
      </c>
      <c r="V65" s="102"/>
      <c r="W65" s="102"/>
      <c r="X65" s="114"/>
    </row>
    <row r="66" s="22" customFormat="1" ht="22" hidden="1" customHeight="1" spans="1:24">
      <c r="A66" s="35"/>
      <c r="B66" s="30">
        <v>47</v>
      </c>
      <c r="C66" s="30" t="s">
        <v>259</v>
      </c>
      <c r="D66" s="35" t="s">
        <v>260</v>
      </c>
      <c r="E66" s="79">
        <v>4789663.83</v>
      </c>
      <c r="F66" s="35" t="s">
        <v>159</v>
      </c>
      <c r="G66" s="71" t="s">
        <v>261</v>
      </c>
      <c r="H66" s="74">
        <v>0.7</v>
      </c>
      <c r="I66" s="100">
        <v>0</v>
      </c>
      <c r="J66" s="100">
        <v>1885210.36</v>
      </c>
      <c r="K66" s="80">
        <f t="shared" si="6"/>
        <v>0</v>
      </c>
      <c r="L66" s="101">
        <f t="shared" si="8"/>
        <v>1885210.36</v>
      </c>
      <c r="M66" s="83">
        <v>0.7</v>
      </c>
      <c r="N66" s="102">
        <f t="shared" si="1"/>
        <v>1319647.252</v>
      </c>
      <c r="O66" s="101">
        <v>0</v>
      </c>
      <c r="P66" s="102" t="e">
        <f>VLOOKUP(O66,[3]付款明细!$U$14:$U$299,1,FALSE)</f>
        <v>#N/A</v>
      </c>
      <c r="Q66" s="102">
        <f t="shared" si="2"/>
        <v>1319647.252</v>
      </c>
      <c r="R66" s="112"/>
      <c r="S66" s="80"/>
      <c r="T66" s="113"/>
      <c r="U66" s="102">
        <v>1319647.25</v>
      </c>
      <c r="V66" s="102">
        <f>+E66*0.75-T66-U66</f>
        <v>2272600.6225</v>
      </c>
      <c r="W66" s="102"/>
      <c r="X66" s="114"/>
    </row>
    <row r="67" s="22" customFormat="1" ht="22" customHeight="1" spans="1:24">
      <c r="A67" s="35"/>
      <c r="B67" s="30">
        <v>48</v>
      </c>
      <c r="C67" s="30" t="s">
        <v>262</v>
      </c>
      <c r="D67" s="35" t="s">
        <v>263</v>
      </c>
      <c r="E67" s="79">
        <v>697600.76</v>
      </c>
      <c r="F67" s="35" t="s">
        <v>159</v>
      </c>
      <c r="G67" s="71" t="s">
        <v>264</v>
      </c>
      <c r="H67" s="81">
        <v>0.7</v>
      </c>
      <c r="I67" s="100">
        <v>634491.14</v>
      </c>
      <c r="J67" s="100">
        <v>634491.14</v>
      </c>
      <c r="K67" s="80">
        <f t="shared" si="6"/>
        <v>634491.14</v>
      </c>
      <c r="L67" s="101">
        <f t="shared" si="8"/>
        <v>0</v>
      </c>
      <c r="M67" s="106">
        <v>0.7</v>
      </c>
      <c r="N67" s="102">
        <f t="shared" si="1"/>
        <v>444143.798</v>
      </c>
      <c r="O67" s="101">
        <v>0</v>
      </c>
      <c r="P67" s="102" t="e">
        <f>VLOOKUP(O67,[3]付款明细!$U$14:$U$299,1,FALSE)</f>
        <v>#N/A</v>
      </c>
      <c r="Q67" s="102">
        <f t="shared" si="2"/>
        <v>444143.798</v>
      </c>
      <c r="R67" s="112"/>
      <c r="S67" s="80"/>
      <c r="T67" s="113">
        <v>444143.8</v>
      </c>
      <c r="U67" s="102">
        <f>+E67*0.7-T67</f>
        <v>44176.732</v>
      </c>
      <c r="V67" s="102">
        <f>+E67*0.8-T67-U67</f>
        <v>69760.0760000001</v>
      </c>
      <c r="W67" s="102"/>
      <c r="X67" s="114" t="s">
        <v>123</v>
      </c>
    </row>
    <row r="68" s="22" customFormat="1" ht="22" hidden="1" customHeight="1" spans="1:24">
      <c r="A68" s="35"/>
      <c r="B68" s="30">
        <v>49</v>
      </c>
      <c r="C68" s="30" t="s">
        <v>265</v>
      </c>
      <c r="D68" s="35" t="s">
        <v>266</v>
      </c>
      <c r="E68" s="79">
        <v>640592.24</v>
      </c>
      <c r="F68" s="35" t="s">
        <v>159</v>
      </c>
      <c r="G68" s="71" t="s">
        <v>267</v>
      </c>
      <c r="H68" s="81">
        <v>0.7</v>
      </c>
      <c r="I68" s="100">
        <v>0</v>
      </c>
      <c r="J68" s="100">
        <v>0</v>
      </c>
      <c r="K68" s="80">
        <f t="shared" si="6"/>
        <v>0</v>
      </c>
      <c r="L68" s="101">
        <f t="shared" si="8"/>
        <v>0</v>
      </c>
      <c r="M68" s="106">
        <v>0.7</v>
      </c>
      <c r="N68" s="102">
        <f t="shared" si="1"/>
        <v>0</v>
      </c>
      <c r="O68" s="101">
        <v>0</v>
      </c>
      <c r="P68" s="102" t="e">
        <f>VLOOKUP(O68,[3]付款明细!$U$14:$U$299,1,FALSE)</f>
        <v>#N/A</v>
      </c>
      <c r="Q68" s="102">
        <f t="shared" si="2"/>
        <v>0</v>
      </c>
      <c r="R68" s="112"/>
      <c r="S68" s="80"/>
      <c r="T68" s="113"/>
      <c r="U68" s="102">
        <v>224207.284</v>
      </c>
      <c r="V68" s="102">
        <f>+E68*0.7-U68</f>
        <v>224207.284</v>
      </c>
      <c r="W68" s="102">
        <f>+E68*0.8-U68-V68</f>
        <v>64059.2240000001</v>
      </c>
      <c r="X68" s="114"/>
    </row>
    <row r="69" s="22" customFormat="1" ht="22" hidden="1" customHeight="1" spans="1:24">
      <c r="A69" s="35"/>
      <c r="B69" s="30">
        <v>50</v>
      </c>
      <c r="C69" s="30" t="s">
        <v>268</v>
      </c>
      <c r="D69" s="35" t="str">
        <f>VLOOKUP(C69,[1]Sheet1!$B$1:$D$38,3,0)</f>
        <v>JZJG-GYY（113/114）-ZYF-2023-22(N)</v>
      </c>
      <c r="E69" s="79">
        <v>951918.31</v>
      </c>
      <c r="F69" s="35" t="s">
        <v>159</v>
      </c>
      <c r="G69" s="71" t="s">
        <v>269</v>
      </c>
      <c r="H69" s="81">
        <v>0.7</v>
      </c>
      <c r="I69" s="100">
        <v>0</v>
      </c>
      <c r="J69" s="100">
        <v>0</v>
      </c>
      <c r="K69" s="80">
        <f t="shared" si="6"/>
        <v>0</v>
      </c>
      <c r="L69" s="101">
        <f t="shared" si="8"/>
        <v>0</v>
      </c>
      <c r="M69" s="106">
        <v>0.7</v>
      </c>
      <c r="N69" s="102">
        <f t="shared" si="1"/>
        <v>0</v>
      </c>
      <c r="O69" s="101">
        <v>0</v>
      </c>
      <c r="P69" s="102" t="e">
        <f>VLOOKUP(O69,[3]付款明细!$U$14:$U$299,1,FALSE)</f>
        <v>#N/A</v>
      </c>
      <c r="Q69" s="102">
        <f t="shared" si="2"/>
        <v>0</v>
      </c>
      <c r="R69" s="112"/>
      <c r="S69" s="80"/>
      <c r="T69" s="113"/>
      <c r="U69" s="102">
        <f>+E69*0.7</f>
        <v>666342.817</v>
      </c>
      <c r="V69" s="102">
        <f>+E69*0.75-T69-U69</f>
        <v>47595.9155</v>
      </c>
      <c r="W69" s="102"/>
      <c r="X69" s="114"/>
    </row>
    <row r="70" s="22" customFormat="1" ht="22" hidden="1" customHeight="1" spans="1:24">
      <c r="A70" s="35"/>
      <c r="B70" s="30">
        <v>51</v>
      </c>
      <c r="C70" s="30" t="s">
        <v>270</v>
      </c>
      <c r="D70" s="35" t="s">
        <v>271</v>
      </c>
      <c r="E70" s="79">
        <v>3284040.1</v>
      </c>
      <c r="F70" s="35" t="s">
        <v>162</v>
      </c>
      <c r="G70" s="71" t="s">
        <v>272</v>
      </c>
      <c r="H70" s="81">
        <v>0.6</v>
      </c>
      <c r="I70" s="100">
        <v>991811.48</v>
      </c>
      <c r="J70" s="100">
        <v>0</v>
      </c>
      <c r="K70" s="80">
        <f t="shared" si="6"/>
        <v>991811.48</v>
      </c>
      <c r="L70" s="101">
        <f t="shared" si="8"/>
        <v>-991811.48</v>
      </c>
      <c r="M70" s="106">
        <v>0.6</v>
      </c>
      <c r="N70" s="102">
        <f t="shared" si="1"/>
        <v>0</v>
      </c>
      <c r="O70" s="101">
        <v>985212.03</v>
      </c>
      <c r="P70" s="102" t="e">
        <f>VLOOKUP(O70,[3]付款明细!$U$14:$U$299,1,FALSE)</f>
        <v>#N/A</v>
      </c>
      <c r="Q70" s="102">
        <f t="shared" si="2"/>
        <v>-985212.03</v>
      </c>
      <c r="R70" s="112"/>
      <c r="S70" s="80"/>
      <c r="T70" s="102"/>
      <c r="U70" s="102">
        <f>+E70*0.3</f>
        <v>985212.03</v>
      </c>
      <c r="V70" s="102">
        <f>+E70*0.3</f>
        <v>985212.03</v>
      </c>
      <c r="W70" s="102"/>
      <c r="X70" s="30"/>
    </row>
    <row r="71" s="22" customFormat="1" ht="22" hidden="1" customHeight="1" spans="1:24">
      <c r="A71" s="35"/>
      <c r="B71" s="30">
        <v>52</v>
      </c>
      <c r="C71" s="30" t="s">
        <v>273</v>
      </c>
      <c r="D71" s="35" t="s">
        <v>274</v>
      </c>
      <c r="E71" s="79">
        <v>220708</v>
      </c>
      <c r="F71" s="35" t="s">
        <v>162</v>
      </c>
      <c r="G71" s="71" t="s">
        <v>275</v>
      </c>
      <c r="H71" s="81">
        <v>0.7</v>
      </c>
      <c r="I71" s="100">
        <v>44156</v>
      </c>
      <c r="J71" s="100">
        <v>0</v>
      </c>
      <c r="K71" s="80">
        <f t="shared" si="6"/>
        <v>44156</v>
      </c>
      <c r="L71" s="101">
        <f t="shared" si="8"/>
        <v>-44156</v>
      </c>
      <c r="M71" s="106">
        <v>0.7</v>
      </c>
      <c r="N71" s="102">
        <f t="shared" si="1"/>
        <v>0</v>
      </c>
      <c r="O71" s="101">
        <v>44141.6</v>
      </c>
      <c r="P71" s="102" t="e">
        <f>VLOOKUP(O71,[3]付款明细!$U$14:$U$299,1,FALSE)</f>
        <v>#N/A</v>
      </c>
      <c r="Q71" s="102">
        <f t="shared" si="2"/>
        <v>-44141.6</v>
      </c>
      <c r="R71" s="112"/>
      <c r="S71" s="80"/>
      <c r="T71" s="102"/>
      <c r="U71" s="102">
        <f>+E71*0.98-O71</f>
        <v>172152.24</v>
      </c>
      <c r="V71" s="102"/>
      <c r="W71" s="102"/>
      <c r="X71" s="30"/>
    </row>
    <row r="72" s="22" customFormat="1" ht="22" customHeight="1" spans="1:24">
      <c r="A72" s="35"/>
      <c r="B72" s="30">
        <v>53</v>
      </c>
      <c r="C72" s="30" t="s">
        <v>75</v>
      </c>
      <c r="D72" s="35" t="s">
        <v>276</v>
      </c>
      <c r="E72" s="79">
        <v>4320</v>
      </c>
      <c r="F72" s="35" t="s">
        <v>159</v>
      </c>
      <c r="G72" s="71" t="s">
        <v>277</v>
      </c>
      <c r="H72" s="81">
        <v>1</v>
      </c>
      <c r="I72" s="100">
        <v>0</v>
      </c>
      <c r="J72" s="100">
        <v>0</v>
      </c>
      <c r="K72" s="80">
        <v>0</v>
      </c>
      <c r="L72" s="101"/>
      <c r="M72" s="133">
        <v>1</v>
      </c>
      <c r="N72" s="102">
        <v>0</v>
      </c>
      <c r="O72" s="101">
        <v>0</v>
      </c>
      <c r="P72" s="102"/>
      <c r="Q72" s="102">
        <v>0</v>
      </c>
      <c r="R72" s="112"/>
      <c r="S72" s="80"/>
      <c r="T72" s="102">
        <v>4320</v>
      </c>
      <c r="U72" s="102"/>
      <c r="V72" s="102"/>
      <c r="W72" s="102"/>
      <c r="X72" s="114" t="s">
        <v>120</v>
      </c>
    </row>
    <row r="73" s="22" customFormat="1" ht="22" customHeight="1" spans="1:24">
      <c r="A73" s="35"/>
      <c r="B73" s="30">
        <v>54</v>
      </c>
      <c r="C73" s="30" t="s">
        <v>195</v>
      </c>
      <c r="D73" s="35" t="s">
        <v>278</v>
      </c>
      <c r="E73" s="79">
        <v>1500</v>
      </c>
      <c r="F73" s="35" t="s">
        <v>159</v>
      </c>
      <c r="G73" s="71" t="s">
        <v>279</v>
      </c>
      <c r="H73" s="81">
        <v>1</v>
      </c>
      <c r="I73" s="100">
        <v>0</v>
      </c>
      <c r="J73" s="100">
        <v>0</v>
      </c>
      <c r="K73" s="80">
        <v>0</v>
      </c>
      <c r="L73" s="101"/>
      <c r="M73" s="133">
        <v>1</v>
      </c>
      <c r="N73" s="102">
        <v>0</v>
      </c>
      <c r="O73" s="101">
        <v>0</v>
      </c>
      <c r="P73" s="102"/>
      <c r="Q73" s="102">
        <v>0</v>
      </c>
      <c r="R73" s="112"/>
      <c r="S73" s="80"/>
      <c r="T73" s="102">
        <v>1500</v>
      </c>
      <c r="U73" s="102"/>
      <c r="V73" s="102"/>
      <c r="W73" s="102"/>
      <c r="X73" s="114" t="s">
        <v>120</v>
      </c>
    </row>
    <row r="74" s="22" customFormat="1" ht="22" customHeight="1" spans="1:25">
      <c r="A74" s="35"/>
      <c r="B74" s="30"/>
      <c r="C74" s="35" t="s">
        <v>280</v>
      </c>
      <c r="D74" s="35"/>
      <c r="E74" s="114"/>
      <c r="F74" s="35"/>
      <c r="G74" s="30"/>
      <c r="H74" s="69"/>
      <c r="I74" s="102">
        <f>SUM(I21:I73)</f>
        <v>152464301.6413</v>
      </c>
      <c r="J74" s="102">
        <f>SUM(J21:J73)</f>
        <v>158982745.395875</v>
      </c>
      <c r="K74" s="102">
        <f>SUM(K21:K73)</f>
        <v>152464301.6413</v>
      </c>
      <c r="L74" s="102"/>
      <c r="M74" s="105"/>
      <c r="N74" s="102">
        <f>SUM(N21:N73)</f>
        <v>124376697.256613</v>
      </c>
      <c r="O74" s="102">
        <f>SUM(O21:O73)</f>
        <v>121029163.15</v>
      </c>
      <c r="P74" s="102"/>
      <c r="Q74" s="102">
        <f t="shared" ref="Q74:W74" si="9">SUM(Q21:Q73)</f>
        <v>3349815.1066125</v>
      </c>
      <c r="R74" s="102">
        <f>SUM(R21:R71)</f>
        <v>20584268.07</v>
      </c>
      <c r="S74" s="102">
        <f>SUM(S21:S71)</f>
        <v>15907810.49</v>
      </c>
      <c r="T74" s="102">
        <f t="shared" si="9"/>
        <v>4442974.67</v>
      </c>
      <c r="U74" s="102">
        <f t="shared" si="9"/>
        <v>10840685.30646</v>
      </c>
      <c r="V74" s="102">
        <f t="shared" si="9"/>
        <v>9904450.18074</v>
      </c>
      <c r="W74" s="102">
        <f t="shared" si="9"/>
        <v>424059.224</v>
      </c>
      <c r="X74" s="114"/>
      <c r="Y74" s="142"/>
    </row>
    <row r="75" s="22" customFormat="1" ht="22" hidden="1" customHeight="1" spans="1:25">
      <c r="A75" s="35"/>
      <c r="B75" s="30"/>
      <c r="C75" s="30" t="s">
        <v>281</v>
      </c>
      <c r="D75" s="30"/>
      <c r="E75" s="30"/>
      <c r="F75" s="73">
        <f>D19-T74</f>
        <v>7621505.93</v>
      </c>
      <c r="G75" s="73"/>
      <c r="H75" s="130" t="s">
        <v>130</v>
      </c>
      <c r="I75" s="134">
        <v>0</v>
      </c>
      <c r="J75" s="135" t="s">
        <v>282</v>
      </c>
      <c r="K75" s="136">
        <f>F75-I75</f>
        <v>7621505.93</v>
      </c>
      <c r="L75" s="136" t="s">
        <v>283</v>
      </c>
      <c r="M75" s="137"/>
      <c r="N75" s="138"/>
      <c r="O75" s="97"/>
      <c r="P75" s="97"/>
      <c r="Q75" s="97"/>
      <c r="R75" s="67"/>
      <c r="S75" s="140"/>
      <c r="T75" s="141"/>
      <c r="U75" s="97"/>
      <c r="V75" s="97"/>
      <c r="W75" s="97"/>
      <c r="X75" s="97"/>
      <c r="Y75" s="143"/>
    </row>
    <row r="76" s="22" customFormat="1" ht="81" customHeight="1" spans="1:25">
      <c r="A76" s="131" t="s">
        <v>284</v>
      </c>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44"/>
    </row>
    <row r="77" s="22" customFormat="1" ht="60" customHeight="1" spans="1:25">
      <c r="A77" s="23"/>
      <c r="B77" s="23"/>
      <c r="C77" s="23"/>
      <c r="D77" s="23"/>
      <c r="E77" s="23"/>
      <c r="F77" s="23"/>
      <c r="G77" s="23"/>
      <c r="H77" s="23"/>
      <c r="I77" s="23"/>
      <c r="J77" s="23"/>
      <c r="K77" s="139"/>
      <c r="L77" s="23"/>
      <c r="M77" s="23"/>
      <c r="N77" s="23"/>
      <c r="O77" s="23"/>
      <c r="P77" s="23"/>
      <c r="Q77" s="23"/>
      <c r="R77" s="23"/>
      <c r="S77" s="23"/>
      <c r="T77" s="23"/>
      <c r="U77" s="23"/>
      <c r="V77" s="23"/>
      <c r="W77" s="23"/>
      <c r="X77" s="23"/>
      <c r="Y77" s="145"/>
    </row>
    <row r="78" s="22" customFormat="1" spans="1:24">
      <c r="A78" s="23"/>
      <c r="B78" s="132"/>
      <c r="C78" s="25"/>
      <c r="D78" s="25"/>
      <c r="E78" s="28"/>
      <c r="F78" s="25"/>
      <c r="G78" s="25"/>
      <c r="H78" s="25"/>
      <c r="I78" s="25"/>
      <c r="J78" s="25"/>
      <c r="K78" s="26"/>
      <c r="L78" s="27"/>
      <c r="M78" s="25"/>
      <c r="N78" s="25"/>
      <c r="O78" s="25"/>
      <c r="P78" s="25"/>
      <c r="Q78" s="25"/>
      <c r="R78" s="25"/>
      <c r="S78" s="25"/>
      <c r="T78" s="25"/>
      <c r="U78" s="25"/>
      <c r="V78" s="25"/>
      <c r="W78" s="25"/>
      <c r="X78" s="28"/>
    </row>
    <row r="79" s="22" customFormat="1" spans="1:24">
      <c r="A79" s="23"/>
      <c r="B79" s="24"/>
      <c r="C79" s="25"/>
      <c r="D79" s="25"/>
      <c r="E79" s="25"/>
      <c r="F79" s="25"/>
      <c r="G79" s="25"/>
      <c r="H79" s="25"/>
      <c r="I79" s="25"/>
      <c r="J79" s="25"/>
      <c r="K79" s="26"/>
      <c r="L79" s="27"/>
      <c r="M79" s="25"/>
      <c r="N79" s="25"/>
      <c r="O79" s="25"/>
      <c r="P79" s="25"/>
      <c r="Q79" s="25"/>
      <c r="R79" s="25"/>
      <c r="S79" s="25"/>
      <c r="T79" s="25"/>
      <c r="U79" s="25"/>
      <c r="V79" s="25"/>
      <c r="W79" s="25"/>
      <c r="X79" s="28"/>
    </row>
    <row r="80" s="22" customFormat="1" spans="1:25">
      <c r="A80" s="23"/>
      <c r="B80" s="24"/>
      <c r="C80" s="25"/>
      <c r="D80" s="25"/>
      <c r="E80" s="25"/>
      <c r="F80" s="28"/>
      <c r="G80" s="25"/>
      <c r="H80" s="25"/>
      <c r="I80" s="25"/>
      <c r="J80" s="25"/>
      <c r="K80" s="26"/>
      <c r="L80" s="27"/>
      <c r="M80" s="25"/>
      <c r="N80" s="25"/>
      <c r="O80" s="25"/>
      <c r="P80" s="25"/>
      <c r="Q80" s="25"/>
      <c r="R80" s="25"/>
      <c r="S80" s="25"/>
      <c r="T80" s="25"/>
      <c r="U80" s="25"/>
      <c r="V80" s="25"/>
      <c r="W80" s="25"/>
      <c r="X80" s="28"/>
      <c r="Y80" s="146"/>
    </row>
  </sheetData>
  <autoFilter ref="A20:Y76">
    <filterColumn colId="19">
      <filters>
        <filter val="350000.00"/>
        <filter val="20175.10"/>
        <filter val="31376.00"/>
        <filter val="1500.00"/>
        <filter val="444143.80"/>
        <filter val="4320.00"/>
        <filter val="26000.00"/>
        <filter val="248539.40"/>
        <filter val="156814.41"/>
        <filter val="333577.25"/>
        <filter val="2644441.86"/>
        <filter val="4442974.67"/>
        <filter val="116814.17"/>
        <filter val="65272.68"/>
        <filter val="填表说明：1、此表于每月30日（遇节假日提前）完成填写；&#10;        2、“已付款信息”为项目开工至填报月已实际支付的合同情况（未签订合同但有实际支付的需按大类汇总报）；&#10;        3、项目可用资金额度=计划内垫资金额+累计收款金额-累计付款金额（含供应商付款、各项保证金、税金（预缴）、费用、资金占用费等）-累计向公司上交的目标利润-按计划归还公司垫资金额&#10;        4、名词解释：①收工程款(预计)：项目下月收到工程款金额（数据可靠性≥50%）；②收工程款(可用资金)：项目下月收到的工程款金额中，符合规定的民工工资、钢材的可当月收款当月支付的工程款金额；&#10;                   ③付工程款：项目上月可用于支付的资金，以及符合规定的民工工资、钢材的可当月收款当月支付的工程款金额。④累计开票金额：供应商已开发票送达公司财务挂账和已开票未送达公司财务挂账的合计金额&#10;"/>
      </filters>
    </filterColumn>
    <extLst/>
  </autoFilter>
  <mergeCells count="51">
    <mergeCell ref="B1:Y1"/>
    <mergeCell ref="F2:H2"/>
    <mergeCell ref="J2:N2"/>
    <mergeCell ref="F3:H3"/>
    <mergeCell ref="J3:N3"/>
    <mergeCell ref="D6:E6"/>
    <mergeCell ref="F6:G6"/>
    <mergeCell ref="D7:E7"/>
    <mergeCell ref="F7:G7"/>
    <mergeCell ref="D8:J8"/>
    <mergeCell ref="K8:Y8"/>
    <mergeCell ref="B9:I9"/>
    <mergeCell ref="J9:S9"/>
    <mergeCell ref="B18:C18"/>
    <mergeCell ref="K19:Y19"/>
    <mergeCell ref="C75:E75"/>
    <mergeCell ref="F75:G75"/>
    <mergeCell ref="L75:M75"/>
    <mergeCell ref="A76:Y76"/>
    <mergeCell ref="A2:A8"/>
    <mergeCell ref="A9:A19"/>
    <mergeCell ref="A20:A75"/>
    <mergeCell ref="B2:B8"/>
    <mergeCell ref="C4:C5"/>
    <mergeCell ref="E29:E30"/>
    <mergeCell ref="H4:H5"/>
    <mergeCell ref="I4:I5"/>
    <mergeCell ref="I27:I28"/>
    <mergeCell ref="I29:I30"/>
    <mergeCell ref="I34:I35"/>
    <mergeCell ref="J4:J5"/>
    <mergeCell ref="J27:J28"/>
    <mergeCell ref="J29:J30"/>
    <mergeCell ref="J34:J35"/>
    <mergeCell ref="K27:K28"/>
    <mergeCell ref="K29:K30"/>
    <mergeCell ref="K34:K35"/>
    <mergeCell ref="M34:M35"/>
    <mergeCell ref="N34:N35"/>
    <mergeCell ref="O34:O35"/>
    <mergeCell ref="Q34:Q35"/>
    <mergeCell ref="T34:T35"/>
    <mergeCell ref="U34:U35"/>
    <mergeCell ref="V34:V35"/>
    <mergeCell ref="X34:X35"/>
    <mergeCell ref="K6:Y7"/>
    <mergeCell ref="D4:E5"/>
    <mergeCell ref="F4:G5"/>
    <mergeCell ref="T2:Y3"/>
    <mergeCell ref="K4:Y5"/>
    <mergeCell ref="T11:X18"/>
  </mergeCells>
  <dataValidations count="1">
    <dataValidation type="list" allowBlank="1" showInputMessage="1" showErrorMessage="1" sqref="U16 X21 Y21 X22 Y22 X23 Y23 Y24 Y25 Y26 Y27 Y28 X29 Y29 X30 Y30 Y31 Y32 Y33 X38 Y39 Y40 Y41 Y42 Y43 Y44 X70 X71 Y34:Y35 Y36:Y38 Y45:Y64 Y65:Y71 Y72:Y73">
      <formula1>$U$13:$U$15</formula1>
    </dataValidation>
  </dataValidations>
  <pageMargins left="0.75" right="0.75" top="1" bottom="1" header="0.5" footer="0.5"/>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
  <sheetViews>
    <sheetView workbookViewId="0">
      <selection activeCell="A1" sqref="$A1:$XFD1048576"/>
    </sheetView>
  </sheetViews>
  <sheetFormatPr defaultColWidth="9" defaultRowHeight="13.5" outlineLevelCol="5"/>
  <cols>
    <col min="1" max="1" width="9" style="1"/>
    <col min="2" max="2" width="16.8833333333333" style="1" customWidth="1"/>
    <col min="3" max="3" width="9" style="1"/>
    <col min="4" max="4" width="12.1333333333333" style="1" customWidth="1"/>
    <col min="5" max="5" width="18.8833333333333" style="1" customWidth="1"/>
    <col min="6" max="6" width="58.8833333333333" style="1" customWidth="1"/>
    <col min="7" max="7" width="9" style="1"/>
    <col min="8" max="8" width="9.38333333333333" style="1"/>
    <col min="9" max="16384" width="9" style="1"/>
  </cols>
  <sheetData>
    <row r="1" s="1" customFormat="1" spans="1:1">
      <c r="A1" s="1" t="s">
        <v>285</v>
      </c>
    </row>
    <row r="2" s="1" customFormat="1" ht="55" customHeight="1" spans="1:6">
      <c r="A2" s="2" t="s">
        <v>286</v>
      </c>
      <c r="B2" s="2"/>
      <c r="C2" s="2"/>
      <c r="D2" s="2"/>
      <c r="E2" s="2"/>
      <c r="F2" s="2"/>
    </row>
    <row r="3" s="1" customFormat="1" ht="44" customHeight="1" spans="1:6">
      <c r="A3" s="3"/>
      <c r="B3" s="4"/>
      <c r="C3" s="5"/>
      <c r="D3" s="5"/>
      <c r="E3" s="5"/>
      <c r="F3" s="6" t="s">
        <v>287</v>
      </c>
    </row>
    <row r="4" s="1" customFormat="1" ht="31" customHeight="1" spans="1:6">
      <c r="A4" s="7" t="s">
        <v>288</v>
      </c>
      <c r="B4" s="8"/>
      <c r="C4" s="7" t="s">
        <v>289</v>
      </c>
      <c r="D4" s="9"/>
      <c r="E4" s="9"/>
      <c r="F4" s="8"/>
    </row>
    <row r="5" s="1" customFormat="1" ht="32" customHeight="1" spans="1:6">
      <c r="A5" s="7" t="s">
        <v>290</v>
      </c>
      <c r="B5" s="8"/>
      <c r="C5" s="7"/>
      <c r="D5" s="8"/>
      <c r="E5" s="10" t="s">
        <v>291</v>
      </c>
      <c r="F5" s="10"/>
    </row>
    <row r="6" s="1" customFormat="1" ht="40" customHeight="1" spans="1:6">
      <c r="A6" s="11" t="s">
        <v>292</v>
      </c>
      <c r="B6" s="12"/>
      <c r="C6" s="13"/>
      <c r="D6" s="14"/>
      <c r="E6" s="14"/>
      <c r="F6" s="14"/>
    </row>
    <row r="7" s="1" customFormat="1" ht="40" customHeight="1" spans="1:6">
      <c r="A7" s="15"/>
      <c r="B7" s="16"/>
      <c r="C7" s="14"/>
      <c r="D7" s="14"/>
      <c r="E7" s="14"/>
      <c r="F7" s="14"/>
    </row>
    <row r="8" s="1" customFormat="1" ht="40" customHeight="1" spans="1:6">
      <c r="A8" s="15"/>
      <c r="B8" s="16"/>
      <c r="C8" s="14"/>
      <c r="D8" s="14"/>
      <c r="E8" s="14"/>
      <c r="F8" s="14"/>
    </row>
    <row r="9" s="1" customFormat="1" ht="409" customHeight="1" spans="1:6">
      <c r="A9" s="17"/>
      <c r="B9" s="18"/>
      <c r="C9" s="14"/>
      <c r="D9" s="14"/>
      <c r="E9" s="14"/>
      <c r="F9" s="14"/>
    </row>
    <row r="10" s="1" customFormat="1" ht="40" customHeight="1" spans="1:6">
      <c r="A10" s="7" t="s">
        <v>293</v>
      </c>
      <c r="B10" s="8"/>
      <c r="C10" s="7"/>
      <c r="D10" s="9"/>
      <c r="E10" s="9"/>
      <c r="F10" s="8"/>
    </row>
    <row r="11" s="1" customFormat="1" ht="40" customHeight="1" spans="1:6">
      <c r="A11" s="7" t="s">
        <v>294</v>
      </c>
      <c r="B11" s="8"/>
      <c r="C11" s="7"/>
      <c r="D11" s="9"/>
      <c r="E11" s="9"/>
      <c r="F11" s="8"/>
    </row>
    <row r="12" s="1" customFormat="1" ht="40" customHeight="1" spans="1:6">
      <c r="A12" s="11" t="s">
        <v>295</v>
      </c>
      <c r="B12" s="12"/>
      <c r="C12" s="11"/>
      <c r="D12" s="19"/>
      <c r="E12" s="19"/>
      <c r="F12" s="12"/>
    </row>
    <row r="13" s="1" customFormat="1" ht="40" customHeight="1" spans="1:6">
      <c r="A13" s="15"/>
      <c r="B13" s="16"/>
      <c r="C13" s="15"/>
      <c r="D13" s="20"/>
      <c r="E13" s="20"/>
      <c r="F13" s="16"/>
    </row>
    <row r="14" s="1" customFormat="1" ht="40" customHeight="1" spans="1:6">
      <c r="A14" s="15"/>
      <c r="B14" s="16"/>
      <c r="C14" s="15"/>
      <c r="D14" s="20"/>
      <c r="E14" s="20"/>
      <c r="F14" s="16"/>
    </row>
    <row r="15" s="1" customFormat="1" ht="40" customHeight="1" spans="1:6">
      <c r="A15" s="17"/>
      <c r="B15" s="18"/>
      <c r="C15" s="17"/>
      <c r="D15" s="21"/>
      <c r="E15" s="21"/>
      <c r="F15" s="18"/>
    </row>
    <row r="16" s="1" customFormat="1" ht="40" customHeight="1" spans="1:6">
      <c r="A16" s="7" t="s">
        <v>296</v>
      </c>
      <c r="B16" s="8"/>
      <c r="C16" s="7"/>
      <c r="D16" s="9"/>
      <c r="E16" s="9"/>
      <c r="F16" s="8"/>
    </row>
    <row r="18" s="1" customFormat="1" ht="25" customHeight="1"/>
    <row r="19" s="1" customFormat="1" ht="25" customHeight="1"/>
    <row r="20" s="1" customFormat="1" ht="25" customHeight="1"/>
    <row r="21" s="1" customFormat="1" ht="25" customHeight="1"/>
    <row r="22" s="1" customFormat="1" ht="25" customHeight="1"/>
    <row r="23" s="1" customFormat="1" ht="25" customHeight="1"/>
    <row r="24" s="1" customFormat="1" ht="25" customHeight="1"/>
    <row r="25" s="1" customFormat="1" ht="25" customHeight="1"/>
    <row r="26" s="1" customFormat="1" ht="25" customHeight="1"/>
    <row r="27" s="1" customFormat="1" ht="25" customHeight="1"/>
    <row r="28" s="1" customFormat="1" ht="25" customHeight="1"/>
    <row r="29" s="1" customFormat="1" ht="25" customHeight="1"/>
    <row r="30" s="1" customFormat="1" ht="25" customHeight="1"/>
    <row r="31" s="1" customFormat="1" ht="25" customHeight="1"/>
    <row r="32" s="1" customFormat="1" ht="25" customHeight="1"/>
    <row r="33" s="1" customFormat="1" ht="25" customHeight="1"/>
    <row r="34" s="1" customFormat="1" ht="25" customHeight="1"/>
  </sheetData>
  <mergeCells count="16">
    <mergeCell ref="A2:F2"/>
    <mergeCell ref="C3:E3"/>
    <mergeCell ref="A4:B4"/>
    <mergeCell ref="C4:F4"/>
    <mergeCell ref="A5:B5"/>
    <mergeCell ref="C5:D5"/>
    <mergeCell ref="A10:B10"/>
    <mergeCell ref="C10:F10"/>
    <mergeCell ref="A11:B11"/>
    <mergeCell ref="C11:F11"/>
    <mergeCell ref="A16:B16"/>
    <mergeCell ref="C16:F16"/>
    <mergeCell ref="A6:B9"/>
    <mergeCell ref="C6:F9"/>
    <mergeCell ref="A12:B15"/>
    <mergeCell ref="C12:F1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附件1部门</vt:lpstr>
      <vt:lpstr>附件2计划</vt:lpstr>
      <vt:lpstr>附件3计划调整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乐多</cp:lastModifiedBy>
  <dcterms:created xsi:type="dcterms:W3CDTF">2024-04-01T03:25:00Z</dcterms:created>
  <dcterms:modified xsi:type="dcterms:W3CDTF">2024-04-18T08:58:34Z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5F867FBD56CA4CCCBF44F48571C6CD4C_13</vt:lpwstr>
  </property>
  <property fmtid="{D5CDD505-2E9C-101B-9397-08002B2CF9AE}" pid="3" name="KSOProductBuildVer">
    <vt:lpwstr>2052-12.1.0.16412</vt:lpwstr>
  </property>
  <property fmtid="{D5CDD505-2E9C-101B-9397-08002B2CF9AE}" pid="4" name="KSOReadingLayout">
    <vt:bool>true</vt:bool>
  </property>
</Properties>
</file>