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GitRep\albacator\Other_Analyses\"/>
    </mc:Choice>
  </mc:AlternateContent>
  <xr:revisionPtr revIDLastSave="0" documentId="13_ncr:1_{B775878D-4936-4FA6-9934-D387A19A2ED2}" xr6:coauthVersionLast="47" xr6:coauthVersionMax="47" xr10:uidLastSave="{00000000-0000-0000-0000-000000000000}"/>
  <bookViews>
    <workbookView xWindow="-108" yWindow="-108" windowWidth="23256" windowHeight="12576" tabRatio="832" activeTab="6" xr2:uid="{00000000-000D-0000-FFFF-FFFF00000000}"/>
  </bookViews>
  <sheets>
    <sheet name="Weighted Model Figures" sheetId="18" r:id="rId1"/>
    <sheet name="datapercentage" sheetId="17" r:id="rId2"/>
    <sheet name="datanumbers" sheetId="16" r:id="rId3"/>
    <sheet name="Catch_History" sheetId="4" r:id="rId4"/>
    <sheet name="TKA_limit" sheetId="6" r:id="rId5"/>
    <sheet name="Index of Fisheries Dependency " sheetId="19" r:id="rId6"/>
    <sheet name="Biomass Esitmation_ 2021" sheetId="2" r:id="rId7"/>
    <sheet name="Revision on the 170222" sheetId="20" r:id="rId8"/>
  </sheets>
  <definedNames>
    <definedName name="BIOMASS">'Biomass Esitmation_ 2021'!#REF!</definedName>
    <definedName name="CATCH">Catch_History!$A$5:$C$22</definedName>
    <definedName name="EEZAREA">#REF!</definedName>
    <definedName name="NORMBEST">Catch_History!$AD$34:$BC$51</definedName>
    <definedName name="OPTIONS">#REF!</definedName>
    <definedName name="V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4" l="1"/>
  <c r="AF13" i="4"/>
  <c r="AF12" i="4"/>
  <c r="AF14" i="4"/>
  <c r="H56" i="4"/>
  <c r="AF9" i="4"/>
  <c r="AE16" i="4"/>
  <c r="AE19" i="4"/>
  <c r="AE10" i="4"/>
  <c r="AE9" i="4"/>
  <c r="AE7" i="4"/>
  <c r="AF19" i="4"/>
  <c r="AF8" i="4"/>
  <c r="AF7" i="4"/>
  <c r="AE35" i="4"/>
  <c r="AD5" i="4"/>
  <c r="AD4" i="4"/>
  <c r="AE12" i="4"/>
  <c r="AE8" i="4"/>
  <c r="AE13" i="4"/>
  <c r="AE14" i="4"/>
  <c r="R5" i="4" l="1"/>
  <c r="AH50" i="4" l="1"/>
  <c r="AH22" i="4"/>
  <c r="AF18" i="4"/>
  <c r="AF17" i="4"/>
  <c r="AF15" i="4"/>
  <c r="AF11" i="4"/>
  <c r="AF10" i="4"/>
  <c r="AE18" i="4"/>
  <c r="AE17" i="4"/>
  <c r="AE15" i="4"/>
  <c r="AE11" i="4"/>
  <c r="AF20" i="4" l="1"/>
  <c r="AE20" i="4"/>
  <c r="G45" i="18"/>
  <c r="M45" i="18" s="1"/>
  <c r="G46" i="18"/>
  <c r="M46" i="18" s="1"/>
  <c r="G47" i="18"/>
  <c r="M47" i="18" s="1"/>
  <c r="G48" i="18"/>
  <c r="M48" i="18" s="1"/>
  <c r="G49" i="18"/>
  <c r="M49" i="18" s="1"/>
  <c r="G50" i="18"/>
  <c r="M50" i="18" s="1"/>
  <c r="G51" i="18"/>
  <c r="M51" i="18" s="1"/>
  <c r="G52" i="18"/>
  <c r="M52" i="18" s="1"/>
  <c r="G53" i="18"/>
  <c r="M53" i="18" s="1"/>
  <c r="G54" i="18"/>
  <c r="M54" i="18" s="1"/>
  <c r="G55" i="18"/>
  <c r="M55" i="18" s="1"/>
  <c r="G56" i="18"/>
  <c r="M56" i="18" s="1"/>
  <c r="G44" i="18"/>
  <c r="M44" i="18" s="1"/>
  <c r="H57" i="18"/>
  <c r="I57" i="18"/>
  <c r="J57" i="18"/>
  <c r="AC50" i="4"/>
  <c r="AC49" i="4"/>
  <c r="AC45" i="4"/>
  <c r="AC44" i="4"/>
  <c r="AC43" i="4"/>
  <c r="AC38" i="4"/>
  <c r="AC39" i="4"/>
  <c r="M57" i="18" l="1"/>
  <c r="N53" i="18" s="1"/>
  <c r="G57" i="18"/>
  <c r="J20" i="16"/>
  <c r="AF46" i="4"/>
  <c r="AF49" i="4"/>
  <c r="AF48" i="4"/>
  <c r="AF47" i="4"/>
  <c r="AF45" i="4"/>
  <c r="AF44" i="4"/>
  <c r="AF43" i="4"/>
  <c r="AE43" i="4"/>
  <c r="AF42" i="4"/>
  <c r="AE42" i="4"/>
  <c r="AF41" i="4"/>
  <c r="AF39" i="4"/>
  <c r="AE39" i="4"/>
  <c r="AF37" i="4"/>
  <c r="AF36" i="4"/>
  <c r="AF35" i="4"/>
  <c r="AE49" i="4"/>
  <c r="AE47" i="4"/>
  <c r="AE46" i="4"/>
  <c r="AE44" i="4"/>
  <c r="AE41" i="4"/>
  <c r="AE37" i="4"/>
  <c r="AE36" i="4"/>
  <c r="M12" i="16"/>
  <c r="K15" i="17" l="1"/>
  <c r="F54" i="18" s="1"/>
  <c r="K12" i="17"/>
  <c r="F51" i="18" s="1"/>
  <c r="K9" i="17"/>
  <c r="F48" i="18" s="1"/>
  <c r="K6" i="17"/>
  <c r="F45" i="18" s="1"/>
  <c r="K17" i="17"/>
  <c r="F56" i="18" s="1"/>
  <c r="K14" i="17"/>
  <c r="F53" i="18" s="1"/>
  <c r="K16" i="17"/>
  <c r="F55" i="18" s="1"/>
  <c r="K13" i="17"/>
  <c r="F52" i="18" s="1"/>
  <c r="K10" i="17"/>
  <c r="F49" i="18" s="1"/>
  <c r="K11" i="17"/>
  <c r="F50" i="18" s="1"/>
  <c r="K7" i="17"/>
  <c r="K5" i="17"/>
  <c r="K8" i="17"/>
  <c r="F47" i="18" s="1"/>
  <c r="AF50" i="4"/>
  <c r="N47" i="18"/>
  <c r="N44" i="18"/>
  <c r="N46" i="18"/>
  <c r="N49" i="18"/>
  <c r="N55" i="18"/>
  <c r="N50" i="18"/>
  <c r="N45" i="18"/>
  <c r="N54" i="18"/>
  <c r="N51" i="18"/>
  <c r="N52" i="18"/>
  <c r="N48" i="18"/>
  <c r="N56" i="18"/>
  <c r="S23" i="4"/>
  <c r="T23" i="4"/>
  <c r="U23" i="4"/>
  <c r="R23" i="4"/>
  <c r="F27" i="18" l="1"/>
  <c r="F44" i="18"/>
  <c r="F57" i="18" s="1"/>
  <c r="K18" i="17"/>
  <c r="F46" i="18"/>
  <c r="N57" i="18"/>
  <c r="G20" i="16"/>
  <c r="C6" i="19"/>
  <c r="C7" i="19"/>
  <c r="C8" i="19"/>
  <c r="C9" i="19"/>
  <c r="C10" i="19"/>
  <c r="N12" i="16" s="1"/>
  <c r="C11" i="19"/>
  <c r="C12" i="19"/>
  <c r="C13" i="19"/>
  <c r="C14" i="19"/>
  <c r="C15" i="19"/>
  <c r="C16" i="19"/>
  <c r="C17" i="19"/>
  <c r="Z54" i="4" l="1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4" i="4"/>
  <c r="H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N10" i="16"/>
  <c r="N8" i="16"/>
  <c r="J18" i="19"/>
  <c r="C5" i="19"/>
  <c r="N7" i="16" s="1"/>
  <c r="N9" i="16"/>
  <c r="N11" i="16"/>
  <c r="N13" i="16"/>
  <c r="N14" i="16"/>
  <c r="N15" i="16"/>
  <c r="N16" i="16"/>
  <c r="N17" i="16"/>
  <c r="N18" i="16"/>
  <c r="N19" i="16"/>
  <c r="O9" i="17" l="1"/>
  <c r="O6" i="17"/>
  <c r="O11" i="17"/>
  <c r="O8" i="17"/>
  <c r="O7" i="17"/>
  <c r="O5" i="17"/>
  <c r="N20" i="16"/>
  <c r="O10" i="17" s="1"/>
  <c r="O17" i="17"/>
  <c r="O16" i="17"/>
  <c r="O15" i="17"/>
  <c r="O14" i="17"/>
  <c r="O13" i="17"/>
  <c r="O12" i="17"/>
  <c r="C18" i="19"/>
  <c r="F14" i="16"/>
  <c r="F15" i="16"/>
  <c r="F16" i="16"/>
  <c r="F17" i="16"/>
  <c r="F18" i="16"/>
  <c r="F19" i="16"/>
  <c r="F13" i="16"/>
  <c r="F12" i="16"/>
  <c r="F11" i="16"/>
  <c r="F8" i="16"/>
  <c r="F9" i="16"/>
  <c r="F7" i="16"/>
  <c r="M14" i="16"/>
  <c r="M15" i="16"/>
  <c r="M16" i="16"/>
  <c r="M17" i="16"/>
  <c r="M18" i="16"/>
  <c r="M19" i="16"/>
  <c r="M13" i="16"/>
  <c r="M11" i="16"/>
  <c r="M8" i="16"/>
  <c r="M9" i="16"/>
  <c r="M7" i="16"/>
  <c r="Z9" i="2"/>
  <c r="Z10" i="2"/>
  <c r="Z12" i="2"/>
  <c r="Z13" i="2"/>
  <c r="Z14" i="2"/>
  <c r="Z15" i="2"/>
  <c r="Z16" i="2"/>
  <c r="Z17" i="2"/>
  <c r="Z18" i="2"/>
  <c r="Z19" i="2"/>
  <c r="Z20" i="2"/>
  <c r="Z8" i="2"/>
  <c r="Y21" i="2"/>
  <c r="AB16" i="2" s="1"/>
  <c r="AE48" i="4"/>
  <c r="O18" i="17" l="1"/>
  <c r="AB15" i="2"/>
  <c r="AB14" i="2"/>
  <c r="AB8" i="2"/>
  <c r="AB13" i="2"/>
  <c r="AB20" i="2"/>
  <c r="AB12" i="2"/>
  <c r="AB19" i="2"/>
  <c r="AB11" i="2"/>
  <c r="AB17" i="2"/>
  <c r="AB9" i="2"/>
  <c r="AB18" i="2"/>
  <c r="AB10" i="2"/>
  <c r="L20" i="16"/>
  <c r="K20" i="16"/>
  <c r="M8" i="17" l="1"/>
  <c r="M5" i="17"/>
  <c r="M15" i="17"/>
  <c r="M12" i="17"/>
  <c r="M10" i="17"/>
  <c r="M17" i="17"/>
  <c r="M14" i="17"/>
  <c r="M11" i="17"/>
  <c r="M9" i="17"/>
  <c r="M6" i="17"/>
  <c r="M16" i="17"/>
  <c r="M13" i="17"/>
  <c r="M7" i="17"/>
  <c r="L5" i="17"/>
  <c r="G27" i="18" s="1"/>
  <c r="L15" i="17"/>
  <c r="G37" i="18" s="1"/>
  <c r="L12" i="17"/>
  <c r="G34" i="18" s="1"/>
  <c r="L9" i="17"/>
  <c r="G31" i="18" s="1"/>
  <c r="L16" i="17"/>
  <c r="L13" i="17"/>
  <c r="G35" i="18" s="1"/>
  <c r="L10" i="17"/>
  <c r="G32" i="18" s="1"/>
  <c r="L6" i="17"/>
  <c r="L17" i="17"/>
  <c r="G39" i="18" s="1"/>
  <c r="L11" i="17"/>
  <c r="L8" i="17"/>
  <c r="L7" i="17"/>
  <c r="L14" i="17"/>
  <c r="G33" i="18"/>
  <c r="G28" i="18"/>
  <c r="G36" i="18"/>
  <c r="G29" i="18"/>
  <c r="G30" i="18"/>
  <c r="G38" i="18"/>
  <c r="AB21" i="2"/>
  <c r="M18" i="17" l="1"/>
  <c r="L18" i="17"/>
  <c r="J28" i="18"/>
  <c r="J29" i="18"/>
  <c r="J30" i="18"/>
  <c r="J31" i="18"/>
  <c r="J32" i="18"/>
  <c r="J33" i="18"/>
  <c r="J34" i="18"/>
  <c r="J35" i="18"/>
  <c r="J36" i="18"/>
  <c r="J37" i="18"/>
  <c r="J38" i="18"/>
  <c r="J39" i="18"/>
  <c r="J27" i="18"/>
  <c r="H28" i="18"/>
  <c r="H30" i="18"/>
  <c r="H31" i="18"/>
  <c r="H32" i="18"/>
  <c r="H33" i="18"/>
  <c r="H34" i="18"/>
  <c r="H35" i="18"/>
  <c r="H36" i="18"/>
  <c r="H37" i="18"/>
  <c r="H38" i="18"/>
  <c r="H39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27" i="18" l="1"/>
  <c r="H29" i="18"/>
  <c r="J40" i="18"/>
  <c r="F40" i="18"/>
  <c r="G40" i="18" l="1"/>
  <c r="H40" i="18"/>
  <c r="P10" i="2"/>
  <c r="P13" i="2"/>
  <c r="P16" i="2"/>
  <c r="P22" i="2"/>
  <c r="P23" i="2"/>
  <c r="P24" i="2"/>
  <c r="P25" i="2"/>
  <c r="P26" i="2"/>
  <c r="P28" i="2"/>
  <c r="P30" i="2"/>
  <c r="P32" i="2"/>
  <c r="P33" i="2"/>
  <c r="P34" i="2"/>
  <c r="P35" i="2"/>
  <c r="P36" i="2"/>
  <c r="P37" i="2"/>
  <c r="P40" i="2"/>
  <c r="P8" i="2"/>
  <c r="K8" i="2"/>
  <c r="K10" i="2"/>
  <c r="K13" i="2"/>
  <c r="K16" i="2"/>
  <c r="K22" i="2"/>
  <c r="K23" i="2"/>
  <c r="K24" i="2"/>
  <c r="K25" i="2"/>
  <c r="K26" i="2"/>
  <c r="K28" i="2"/>
  <c r="K30" i="2"/>
  <c r="K32" i="2"/>
  <c r="K33" i="2"/>
  <c r="K34" i="2"/>
  <c r="K35" i="2"/>
  <c r="K36" i="2"/>
  <c r="K37" i="2"/>
  <c r="K40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X11" i="2" l="1"/>
  <c r="D20" i="16"/>
  <c r="E20" i="16"/>
  <c r="E6" i="17" s="1"/>
  <c r="H9" i="18" s="1"/>
  <c r="C20" i="16"/>
  <c r="C15" i="17" s="1"/>
  <c r="F18" i="18" s="1"/>
  <c r="AJ35" i="4"/>
  <c r="AB29" i="4"/>
  <c r="AA29" i="4"/>
  <c r="AB36" i="4"/>
  <c r="AC36" i="4" s="1"/>
  <c r="AB37" i="4"/>
  <c r="AB38" i="4"/>
  <c r="AB40" i="4"/>
  <c r="AC40" i="4" s="1"/>
  <c r="AB41" i="4"/>
  <c r="AB42" i="4"/>
  <c r="AB43" i="4"/>
  <c r="AB44" i="4"/>
  <c r="AB45" i="4"/>
  <c r="AB46" i="4"/>
  <c r="AB47" i="4"/>
  <c r="AC47" i="4" s="1"/>
  <c r="AB48" i="4"/>
  <c r="AB49" i="4"/>
  <c r="AB50" i="4"/>
  <c r="AB51" i="4"/>
  <c r="AB35" i="4"/>
  <c r="AA36" i="4"/>
  <c r="AA37" i="4"/>
  <c r="AC37" i="4" s="1"/>
  <c r="AA38" i="4"/>
  <c r="AA40" i="4"/>
  <c r="AA41" i="4"/>
  <c r="AA42" i="4"/>
  <c r="AC42" i="4" s="1"/>
  <c r="AA43" i="4"/>
  <c r="R13" i="18" s="1"/>
  <c r="AA44" i="4"/>
  <c r="AA45" i="4"/>
  <c r="AA46" i="4"/>
  <c r="AA47" i="4"/>
  <c r="AC46" i="4" s="1"/>
  <c r="AA48" i="4"/>
  <c r="AA49" i="4"/>
  <c r="AC48" i="4" s="1"/>
  <c r="AA50" i="4"/>
  <c r="AA51" i="4"/>
  <c r="AA35" i="4"/>
  <c r="AB23" i="4"/>
  <c r="D13" i="17" l="1"/>
  <c r="G16" i="18" s="1"/>
  <c r="D5" i="17"/>
  <c r="AC51" i="4"/>
  <c r="AG54" i="4"/>
  <c r="R11" i="18"/>
  <c r="R30" i="18"/>
  <c r="S11" i="18"/>
  <c r="S30" i="18"/>
  <c r="S35" i="18"/>
  <c r="S16" i="18"/>
  <c r="R9" i="18"/>
  <c r="R28" i="18"/>
  <c r="S15" i="18"/>
  <c r="S34" i="18"/>
  <c r="S28" i="18"/>
  <c r="S9" i="18"/>
  <c r="R8" i="18"/>
  <c r="R27" i="18"/>
  <c r="S33" i="18"/>
  <c r="S14" i="18"/>
  <c r="S27" i="18"/>
  <c r="S8" i="18"/>
  <c r="S36" i="18"/>
  <c r="S17" i="18"/>
  <c r="R15" i="18"/>
  <c r="R34" i="18"/>
  <c r="R36" i="18"/>
  <c r="R17" i="18"/>
  <c r="R16" i="18"/>
  <c r="R35" i="18"/>
  <c r="R33" i="18"/>
  <c r="R14" i="18"/>
  <c r="R39" i="18"/>
  <c r="R20" i="18"/>
  <c r="R29" i="18"/>
  <c r="R10" i="18"/>
  <c r="R19" i="18"/>
  <c r="R38" i="18"/>
  <c r="S31" i="18"/>
  <c r="S12" i="18"/>
  <c r="S29" i="18"/>
  <c r="S10" i="18"/>
  <c r="S39" i="18"/>
  <c r="S20" i="18"/>
  <c r="AB56" i="4"/>
  <c r="S32" i="18" s="1"/>
  <c r="S13" i="18"/>
  <c r="R12" i="18"/>
  <c r="R31" i="18"/>
  <c r="S19" i="18"/>
  <c r="S38" i="18"/>
  <c r="R37" i="18"/>
  <c r="R18" i="18"/>
  <c r="S18" i="18"/>
  <c r="S37" i="18"/>
  <c r="AB53" i="4"/>
  <c r="AA52" i="4"/>
  <c r="AA54" i="4"/>
  <c r="AA53" i="4"/>
  <c r="AB54" i="4"/>
  <c r="AB52" i="4"/>
  <c r="AE45" i="4"/>
  <c r="AE50" i="4" s="1"/>
  <c r="AA56" i="4"/>
  <c r="R32" i="18" s="1"/>
  <c r="X21" i="2"/>
  <c r="Z11" i="2"/>
  <c r="F10" i="16"/>
  <c r="F20" i="16" s="1"/>
  <c r="F15" i="17" s="1"/>
  <c r="I18" i="18" s="1"/>
  <c r="M10" i="16"/>
  <c r="G9" i="17"/>
  <c r="J12" i="18" s="1"/>
  <c r="G16" i="17"/>
  <c r="J19" i="18" s="1"/>
  <c r="G11" i="17"/>
  <c r="J14" i="18" s="1"/>
  <c r="G12" i="17"/>
  <c r="J15" i="18" s="1"/>
  <c r="G13" i="17"/>
  <c r="J16" i="18" s="1"/>
  <c r="G10" i="17"/>
  <c r="J13" i="18" s="1"/>
  <c r="G17" i="17"/>
  <c r="J20" i="18" s="1"/>
  <c r="G6" i="17"/>
  <c r="J9" i="18" s="1"/>
  <c r="G5" i="17"/>
  <c r="J8" i="18" s="1"/>
  <c r="G7" i="17"/>
  <c r="J10" i="18" s="1"/>
  <c r="G8" i="17"/>
  <c r="J11" i="18" s="1"/>
  <c r="G14" i="17"/>
  <c r="J17" i="18" s="1"/>
  <c r="G15" i="17"/>
  <c r="J18" i="18" s="1"/>
  <c r="G8" i="18"/>
  <c r="D12" i="17"/>
  <c r="G15" i="18" s="1"/>
  <c r="D11" i="17"/>
  <c r="G14" i="18" s="1"/>
  <c r="D10" i="17"/>
  <c r="G13" i="18" s="1"/>
  <c r="C9" i="17"/>
  <c r="F12" i="18" s="1"/>
  <c r="D9" i="17"/>
  <c r="G12" i="18" s="1"/>
  <c r="D8" i="17"/>
  <c r="G11" i="18" s="1"/>
  <c r="C8" i="17"/>
  <c r="F11" i="18" s="1"/>
  <c r="D17" i="17"/>
  <c r="G20" i="18" s="1"/>
  <c r="D16" i="17"/>
  <c r="G19" i="18" s="1"/>
  <c r="C5" i="17"/>
  <c r="F8" i="18" s="1"/>
  <c r="C13" i="17"/>
  <c r="F16" i="18" s="1"/>
  <c r="D15" i="17"/>
  <c r="G18" i="18" s="1"/>
  <c r="D7" i="17"/>
  <c r="G10" i="18" s="1"/>
  <c r="C10" i="17"/>
  <c r="F13" i="18" s="1"/>
  <c r="C11" i="17"/>
  <c r="F14" i="18" s="1"/>
  <c r="C12" i="17"/>
  <c r="F15" i="18" s="1"/>
  <c r="C6" i="17"/>
  <c r="F9" i="18" s="1"/>
  <c r="C14" i="17"/>
  <c r="F17" i="18" s="1"/>
  <c r="D14" i="17"/>
  <c r="G17" i="18" s="1"/>
  <c r="D6" i="17"/>
  <c r="G9" i="18" s="1"/>
  <c r="C16" i="17"/>
  <c r="F19" i="18" s="1"/>
  <c r="C17" i="17"/>
  <c r="F20" i="18" s="1"/>
  <c r="C7" i="17"/>
  <c r="F10" i="18" s="1"/>
  <c r="E7" i="17"/>
  <c r="H10" i="18" s="1"/>
  <c r="E17" i="17"/>
  <c r="H20" i="18" s="1"/>
  <c r="E12" i="17"/>
  <c r="H15" i="18" s="1"/>
  <c r="E10" i="17"/>
  <c r="H13" i="18" s="1"/>
  <c r="E5" i="17"/>
  <c r="H8" i="18" s="1"/>
  <c r="E16" i="17"/>
  <c r="H19" i="18" s="1"/>
  <c r="E15" i="17"/>
  <c r="H18" i="18" s="1"/>
  <c r="E9" i="17"/>
  <c r="H12" i="18" s="1"/>
  <c r="E14" i="17"/>
  <c r="H17" i="18" s="1"/>
  <c r="E8" i="17"/>
  <c r="H11" i="18" s="1"/>
  <c r="E13" i="17"/>
  <c r="H16" i="18" s="1"/>
  <c r="E11" i="17"/>
  <c r="H14" i="18" s="1"/>
  <c r="AA23" i="4"/>
  <c r="R40" i="18" l="1"/>
  <c r="R21" i="18"/>
  <c r="S21" i="18"/>
  <c r="S40" i="18"/>
  <c r="J21" i="18"/>
  <c r="F16" i="17"/>
  <c r="I19" i="18" s="1"/>
  <c r="M19" i="18" s="1"/>
  <c r="F13" i="17"/>
  <c r="I16" i="18" s="1"/>
  <c r="M16" i="18" s="1"/>
  <c r="AA10" i="2"/>
  <c r="AA18" i="2"/>
  <c r="AA20" i="2"/>
  <c r="AA19" i="2"/>
  <c r="AA12" i="2"/>
  <c r="AA13" i="2"/>
  <c r="AA8" i="2"/>
  <c r="AA14" i="2"/>
  <c r="AA9" i="2"/>
  <c r="AA15" i="2"/>
  <c r="AA17" i="2"/>
  <c r="AA16" i="2"/>
  <c r="F7" i="17"/>
  <c r="I10" i="18" s="1"/>
  <c r="M10" i="18" s="1"/>
  <c r="F12" i="17"/>
  <c r="I15" i="18" s="1"/>
  <c r="M15" i="18" s="1"/>
  <c r="F14" i="17"/>
  <c r="I17" i="18" s="1"/>
  <c r="M17" i="18" s="1"/>
  <c r="F6" i="17"/>
  <c r="I9" i="18" s="1"/>
  <c r="M9" i="18" s="1"/>
  <c r="F5" i="17"/>
  <c r="I8" i="18" s="1"/>
  <c r="F11" i="17"/>
  <c r="I14" i="18" s="1"/>
  <c r="M14" i="18" s="1"/>
  <c r="F10" i="17"/>
  <c r="I13" i="18" s="1"/>
  <c r="M13" i="18" s="1"/>
  <c r="F17" i="17"/>
  <c r="I20" i="18" s="1"/>
  <c r="M20" i="18" s="1"/>
  <c r="F9" i="17"/>
  <c r="I12" i="18" s="1"/>
  <c r="M12" i="18" s="1"/>
  <c r="Z21" i="2"/>
  <c r="H21" i="18"/>
  <c r="F8" i="17"/>
  <c r="I11" i="18" s="1"/>
  <c r="M11" i="18" s="1"/>
  <c r="AA11" i="2"/>
  <c r="M20" i="16"/>
  <c r="G21" i="18"/>
  <c r="F21" i="18"/>
  <c r="G18" i="17"/>
  <c r="M18" i="18"/>
  <c r="C18" i="17"/>
  <c r="D18" i="17"/>
  <c r="E18" i="17"/>
  <c r="P23" i="4"/>
  <c r="Q23" i="4"/>
  <c r="V23" i="4"/>
  <c r="W23" i="4"/>
  <c r="X23" i="4"/>
  <c r="Y23" i="4"/>
  <c r="Z23" i="4"/>
  <c r="N23" i="4"/>
  <c r="N10" i="17" l="1"/>
  <c r="N14" i="17"/>
  <c r="N12" i="17"/>
  <c r="N6" i="17"/>
  <c r="N16" i="17"/>
  <c r="N7" i="17"/>
  <c r="N9" i="17"/>
  <c r="N15" i="17"/>
  <c r="I37" i="18" s="1"/>
  <c r="M37" i="18" s="1"/>
  <c r="N5" i="17"/>
  <c r="N13" i="17"/>
  <c r="I35" i="18" s="1"/>
  <c r="M35" i="18" s="1"/>
  <c r="N11" i="17"/>
  <c r="I33" i="18" s="1"/>
  <c r="M33" i="18" s="1"/>
  <c r="N17" i="17"/>
  <c r="N8" i="17"/>
  <c r="I30" i="18" s="1"/>
  <c r="M30" i="18" s="1"/>
  <c r="I21" i="18"/>
  <c r="F18" i="17"/>
  <c r="AC8" i="2"/>
  <c r="AC16" i="2"/>
  <c r="AC13" i="2"/>
  <c r="AC12" i="2"/>
  <c r="AC20" i="2"/>
  <c r="AC15" i="2"/>
  <c r="AC14" i="2"/>
  <c r="AC10" i="2"/>
  <c r="AC17" i="2"/>
  <c r="AC19" i="2"/>
  <c r="AC18" i="2"/>
  <c r="AC9" i="2"/>
  <c r="AC11" i="2"/>
  <c r="AA21" i="2"/>
  <c r="I31" i="18"/>
  <c r="M31" i="18" s="1"/>
  <c r="I39" i="18"/>
  <c r="M39" i="18" s="1"/>
  <c r="I32" i="18"/>
  <c r="M32" i="18" s="1"/>
  <c r="I34" i="18"/>
  <c r="M34" i="18" s="1"/>
  <c r="I38" i="18"/>
  <c r="M38" i="18" s="1"/>
  <c r="I28" i="18"/>
  <c r="M28" i="18" s="1"/>
  <c r="I36" i="18"/>
  <c r="M36" i="18" s="1"/>
  <c r="I29" i="18"/>
  <c r="M8" i="18"/>
  <c r="M21" i="18" s="1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N18" i="17" l="1"/>
  <c r="N12" i="18"/>
  <c r="AC21" i="2"/>
  <c r="M29" i="18"/>
  <c r="I27" i="18"/>
  <c r="M27" i="18" s="1"/>
  <c r="N10" i="18"/>
  <c r="N16" i="18"/>
  <c r="N11" i="18"/>
  <c r="N18" i="18"/>
  <c r="N19" i="18"/>
  <c r="N17" i="18"/>
  <c r="N13" i="18"/>
  <c r="N20" i="18"/>
  <c r="N8" i="18"/>
  <c r="N14" i="18"/>
  <c r="N9" i="18"/>
  <c r="AJ53" i="4"/>
  <c r="AJ52" i="4"/>
  <c r="AJ54" i="4"/>
  <c r="I23" i="4"/>
  <c r="J23" i="4"/>
  <c r="K23" i="4"/>
  <c r="L23" i="4"/>
  <c r="M23" i="4"/>
  <c r="O23" i="4"/>
  <c r="H23" i="4"/>
  <c r="N15" i="18" l="1"/>
  <c r="N21" i="18" s="1"/>
  <c r="M40" i="18"/>
  <c r="N27" i="18" s="1"/>
  <c r="I40" i="18"/>
  <c r="O9" i="18"/>
  <c r="Q9" i="18"/>
  <c r="P9" i="18"/>
  <c r="O12" i="18"/>
  <c r="P12" i="18"/>
  <c r="Q12" i="18"/>
  <c r="O14" i="18"/>
  <c r="Q14" i="18"/>
  <c r="P14" i="18"/>
  <c r="O19" i="18"/>
  <c r="P19" i="18"/>
  <c r="Q19" i="18"/>
  <c r="Q8" i="18"/>
  <c r="P8" i="18"/>
  <c r="O18" i="18"/>
  <c r="P18" i="18"/>
  <c r="Q18" i="18"/>
  <c r="O20" i="18"/>
  <c r="P20" i="18"/>
  <c r="Q20" i="18"/>
  <c r="O11" i="18"/>
  <c r="P11" i="18"/>
  <c r="Q11" i="18"/>
  <c r="O13" i="18"/>
  <c r="P13" i="18"/>
  <c r="Q13" i="18"/>
  <c r="O16" i="18"/>
  <c r="P16" i="18"/>
  <c r="Q16" i="18"/>
  <c r="O17" i="18"/>
  <c r="Q17" i="18"/>
  <c r="P17" i="18"/>
  <c r="O10" i="18"/>
  <c r="P10" i="18"/>
  <c r="Q10" i="18"/>
  <c r="O8" i="18"/>
  <c r="P15" i="18" l="1"/>
  <c r="P21" i="18" s="1"/>
  <c r="O15" i="18"/>
  <c r="Q15" i="18"/>
  <c r="Q21" i="18" s="1"/>
  <c r="O21" i="18"/>
  <c r="N29" i="18"/>
  <c r="P29" i="18" s="1"/>
  <c r="N35" i="18"/>
  <c r="N34" i="18"/>
  <c r="N30" i="18"/>
  <c r="N32" i="18"/>
  <c r="N36" i="18"/>
  <c r="N33" i="18"/>
  <c r="N37" i="18"/>
  <c r="N28" i="18"/>
  <c r="N39" i="18"/>
  <c r="N38" i="18"/>
  <c r="N31" i="18"/>
  <c r="N40" i="18" l="1"/>
  <c r="Q29" i="18"/>
  <c r="O29" i="18"/>
  <c r="P27" i="18"/>
  <c r="O27" i="18"/>
  <c r="Q27" i="18"/>
  <c r="O33" i="18"/>
  <c r="Q33" i="18"/>
  <c r="P33" i="18"/>
  <c r="P32" i="18"/>
  <c r="O32" i="18"/>
  <c r="Q32" i="18"/>
  <c r="P28" i="18"/>
  <c r="Q28" i="18"/>
  <c r="O28" i="18"/>
  <c r="O30" i="18"/>
  <c r="P30" i="18"/>
  <c r="Q30" i="18"/>
  <c r="Q37" i="18"/>
  <c r="P37" i="18"/>
  <c r="O37" i="18"/>
  <c r="P38" i="18"/>
  <c r="Q38" i="18"/>
  <c r="O38" i="18"/>
  <c r="Q34" i="18"/>
  <c r="P34" i="18"/>
  <c r="O34" i="18"/>
  <c r="Q36" i="18"/>
  <c r="O36" i="18"/>
  <c r="P36" i="18"/>
  <c r="Q31" i="18"/>
  <c r="P31" i="18"/>
  <c r="O31" i="18"/>
  <c r="P39" i="18"/>
  <c r="Q39" i="18"/>
  <c r="O39" i="18"/>
  <c r="O35" i="18"/>
  <c r="P35" i="18"/>
  <c r="Q35" i="18"/>
  <c r="O40" i="18" l="1"/>
  <c r="Q40" i="18"/>
  <c r="P40" i="18"/>
  <c r="C22" i="4" l="1"/>
  <c r="C21" i="4"/>
  <c r="C20" i="4"/>
  <c r="C19" i="4"/>
  <c r="C18" i="4"/>
  <c r="C17" i="4"/>
  <c r="D16" i="4"/>
  <c r="C16" i="4"/>
  <c r="D15" i="4"/>
  <c r="C15" i="4"/>
  <c r="C14" i="4"/>
  <c r="C13" i="4"/>
  <c r="D12" i="4"/>
  <c r="C12" i="4"/>
  <c r="D11" i="4"/>
  <c r="C11" i="4"/>
  <c r="D10" i="4"/>
  <c r="C10" i="4"/>
  <c r="C9" i="4"/>
  <c r="C8" i="4"/>
  <c r="C7" i="4"/>
  <c r="D24" i="4" s="1"/>
  <c r="D21" i="4" s="1"/>
  <c r="D6" i="4"/>
  <c r="C6" i="4"/>
  <c r="D19" i="6"/>
  <c r="D18" i="6"/>
  <c r="D17" i="6"/>
  <c r="D16" i="6"/>
  <c r="D15" i="6"/>
  <c r="D14" i="6"/>
  <c r="D11" i="6"/>
  <c r="D10" i="6"/>
  <c r="D6" i="6"/>
  <c r="D5" i="6"/>
  <c r="D4" i="6"/>
  <c r="C23" i="4" l="1"/>
  <c r="D8" i="4"/>
  <c r="D14" i="4"/>
  <c r="D18" i="4"/>
  <c r="D20" i="4"/>
  <c r="D22" i="4"/>
  <c r="D7" i="4"/>
  <c r="D9" i="4"/>
  <c r="D13" i="4"/>
  <c r="D17" i="4"/>
  <c r="D19" i="4"/>
  <c r="D2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Joyce Samuelu Ah Leong</author>
  </authors>
  <commentList>
    <comment ref="J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  <comment ref="J43" authorId="0" shapeId="0" xr:uid="{B2CDB68A-06F0-4538-9854-DE93FB250C6B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Itagia Joyce Samuelu Ah Leong</author>
  </authors>
  <commentList>
    <comment ref="S7" authorId="0" shapeId="0" xr:uid="{72B3C7B6-D8EF-4858-BC30-B06C28C9D52D}">
      <text>
        <r>
          <rPr>
            <b/>
            <sz val="9"/>
            <color indexed="81"/>
            <rFont val="Tahoma"/>
            <family val="2"/>
          </rPr>
          <t>Itagia Joyce Samuelu Ah Leong:</t>
        </r>
        <r>
          <rPr>
            <sz val="9"/>
            <color indexed="81"/>
            <rFont val="Tahoma"/>
            <family val="2"/>
          </rPr>
          <t xml:space="preserve">
Rechecking - 220222
</t>
        </r>
      </text>
    </comment>
  </commentList>
</comments>
</file>

<file path=xl/sharedStrings.xml><?xml version="1.0" encoding="utf-8"?>
<sst xmlns="http://schemas.openxmlformats.org/spreadsheetml/2006/main" count="505" uniqueCount="144">
  <si>
    <t>% Total</t>
  </si>
  <si>
    <t>AU</t>
  </si>
  <si>
    <t>CK</t>
  </si>
  <si>
    <t>FJ</t>
  </si>
  <si>
    <t>NU</t>
  </si>
  <si>
    <t>NZ</t>
  </si>
  <si>
    <t>PG</t>
  </si>
  <si>
    <t>SB</t>
  </si>
  <si>
    <t>TK</t>
  </si>
  <si>
    <t>TO</t>
  </si>
  <si>
    <t>TV</t>
  </si>
  <si>
    <t>VU</t>
  </si>
  <si>
    <t>WS</t>
  </si>
  <si>
    <t>KI</t>
  </si>
  <si>
    <t>AS</t>
  </si>
  <si>
    <t>PF</t>
  </si>
  <si>
    <t>NC</t>
  </si>
  <si>
    <t>TKA</t>
  </si>
  <si>
    <t>CMA</t>
  </si>
  <si>
    <t>Zone</t>
  </si>
  <si>
    <t>Group</t>
  </si>
  <si>
    <t>FFA</t>
  </si>
  <si>
    <t>NONFFA</t>
  </si>
  <si>
    <t>TOTAL</t>
  </si>
  <si>
    <t>ZONE</t>
  </si>
  <si>
    <t>American Samoa</t>
  </si>
  <si>
    <t>Australia</t>
  </si>
  <si>
    <t>Cook Islands</t>
  </si>
  <si>
    <t>Fiji</t>
  </si>
  <si>
    <t>New Caledonia</t>
  </si>
  <si>
    <t>Niue</t>
  </si>
  <si>
    <t>New Zealand</t>
  </si>
  <si>
    <t>French Polynesia</t>
  </si>
  <si>
    <t>Solomon Islands</t>
  </si>
  <si>
    <t>Tokelau</t>
  </si>
  <si>
    <t>Tonga</t>
  </si>
  <si>
    <t>Tuvalu</t>
  </si>
  <si>
    <t>Vanuatu</t>
  </si>
  <si>
    <t>Samoa</t>
  </si>
  <si>
    <t>EEZ/High Seas</t>
  </si>
  <si>
    <t>High Seas</t>
  </si>
  <si>
    <t>Kiribati</t>
  </si>
  <si>
    <t>NA</t>
  </si>
  <si>
    <t>Papua New Guinea</t>
  </si>
  <si>
    <t>Western Samoa</t>
  </si>
  <si>
    <t>Total</t>
  </si>
  <si>
    <t xml:space="preserve">Zone </t>
  </si>
  <si>
    <t>HS</t>
  </si>
  <si>
    <t>TOTAL TKA</t>
  </si>
  <si>
    <t>% of TKA</t>
  </si>
  <si>
    <t>High Seas*</t>
  </si>
  <si>
    <t xml:space="preserve">Note: </t>
  </si>
  <si>
    <t>* High Seas in the Convention Area south of the Equator</t>
  </si>
  <si>
    <t>ZN</t>
  </si>
  <si>
    <t>TROLL FISHERY: ANNUAL SOUTH PACIFIC ALBACORE TROLL CATCH ESTIMATES BY EEZ AND HIGH SEAS</t>
  </si>
  <si>
    <t>LONGLINE FISHERY: ANNUAL SOUTH PACIFIC ALBACORE LONGLINE CATCH ESTIMATES BY EEZ AND HIGH SEAS</t>
  </si>
  <si>
    <t>2015</t>
  </si>
  <si>
    <t xml:space="preserve">TKA EEZ catch limit </t>
  </si>
  <si>
    <t>CATCH MT LL+TROLL</t>
  </si>
  <si>
    <t>Total for group -&gt;</t>
  </si>
  <si>
    <t>CALCULATIONS FOR NORMBEST ON COMPILATION SHEET</t>
  </si>
  <si>
    <t>Av. 2014-2016 catches</t>
  </si>
  <si>
    <t>Data from WCPFC-SC117-2021/SA-IP-04</t>
  </si>
  <si>
    <t>Av. Highest 3 annual catches from 2010-2020</t>
  </si>
  <si>
    <t>Interim TKA Limits</t>
  </si>
  <si>
    <t>Estimated Biomass in EEZ</t>
  </si>
  <si>
    <t>Index of fisheries dependency</t>
  </si>
  <si>
    <t>-</t>
  </si>
  <si>
    <t>Note: We've added a total of 2500t (minimum limit agreed for the TKA limits), for consistency.</t>
  </si>
  <si>
    <t>Insert a weighting for each option (they will be normalised to add up to 100% in the NORSUM calculation)</t>
  </si>
  <si>
    <t>WEIGHT-&gt;</t>
  </si>
  <si>
    <t>Weighted Sum</t>
  </si>
  <si>
    <t>Catch Limits based on Potential TAC</t>
  </si>
  <si>
    <t>WEIGHTED SUM</t>
  </si>
  <si>
    <t>Spawning (adult) biomass</t>
  </si>
  <si>
    <t>Unfished spawning biomass</t>
  </si>
  <si>
    <t>Total (adults + juveniles) biomass</t>
  </si>
  <si>
    <t>Area</t>
  </si>
  <si>
    <t>km^2</t>
  </si>
  <si>
    <t>metric tonnes</t>
  </si>
  <si>
    <t>SBF=0</t>
  </si>
  <si>
    <t>B</t>
  </si>
  <si>
    <t>Reg 1</t>
  </si>
  <si>
    <t>Reg 2</t>
  </si>
  <si>
    <t>Reg 3</t>
  </si>
  <si>
    <t>Reg 4</t>
  </si>
  <si>
    <t>SUM</t>
  </si>
  <si>
    <t>Chile</t>
  </si>
  <si>
    <t>Easter Island</t>
  </si>
  <si>
    <t>Ecuador</t>
  </si>
  <si>
    <t>Galapagos</t>
  </si>
  <si>
    <t>Gilbert Islands</t>
  </si>
  <si>
    <t>Howland and Baker islands</t>
  </si>
  <si>
    <t>Indonesia</t>
  </si>
  <si>
    <t>Islas San Felix and San Ambrosio</t>
  </si>
  <si>
    <t>Jarvis Island</t>
  </si>
  <si>
    <t>Line Group</t>
  </si>
  <si>
    <t>Micronesia (FSM)</t>
  </si>
  <si>
    <t>Nauru</t>
  </si>
  <si>
    <t>Norfolk Island</t>
  </si>
  <si>
    <t>Peru</t>
  </si>
  <si>
    <t>Phoenix Group</t>
  </si>
  <si>
    <t>Pitcairn</t>
  </si>
  <si>
    <t>Wallis and Futuna</t>
  </si>
  <si>
    <t>SB SUM</t>
  </si>
  <si>
    <t>SB0 SUM</t>
  </si>
  <si>
    <t>FFA EEZs</t>
  </si>
  <si>
    <t>Other EEZs</t>
  </si>
  <si>
    <t>New Zealand T&amp;LL</t>
  </si>
  <si>
    <t>Av. Highest 3 annual catches from 2010-2019</t>
  </si>
  <si>
    <t>Av. Of the highest 5 annual catches from  2005-2019</t>
  </si>
  <si>
    <t>NZ*</t>
  </si>
  <si>
    <t xml:space="preserve">TOTAL </t>
  </si>
  <si>
    <t xml:space="preserve"> SB %</t>
  </si>
  <si>
    <t>SB0%</t>
  </si>
  <si>
    <t>TOTAL %</t>
  </si>
  <si>
    <t>OPT9</t>
  </si>
  <si>
    <t>Contribution of Fisheries to GDP</t>
  </si>
  <si>
    <t xml:space="preserve">Index of fisheries depend-ency </t>
  </si>
  <si>
    <t>Dependency factors for OPTION 9</t>
  </si>
  <si>
    <t>TU</t>
  </si>
  <si>
    <t>Longline Only</t>
  </si>
  <si>
    <t>SPA Catches 2020</t>
  </si>
  <si>
    <t>SPA LL Catches 2019</t>
  </si>
  <si>
    <t>SPA LL  Catches 2020</t>
  </si>
  <si>
    <t xml:space="preserve">SB </t>
  </si>
  <si>
    <t>SBO</t>
  </si>
  <si>
    <t>SPACatches 2019</t>
  </si>
  <si>
    <t>Foreign LL access as % govt revenue (2015-2019(</t>
  </si>
  <si>
    <t>KR</t>
  </si>
  <si>
    <t>Av. Highest 3 annual catches from 2006-2015</t>
  </si>
  <si>
    <t>Av. Highest 5 annual catches from  2001-2015</t>
  </si>
  <si>
    <t>Av. Highest 3 annual catches (10yrs) from 2006-2015</t>
  </si>
  <si>
    <t>Av. Of the highest 5 annual catches (15yrs) from  2001-2015</t>
  </si>
  <si>
    <t>Av. Of the highest 5 annual catches (15yrs) from  2001-2015)</t>
  </si>
  <si>
    <t>Longline Only (Original Reference)</t>
  </si>
  <si>
    <t>Av. Of the highest 5 annual catches from (20yrs) 2000-2020</t>
  </si>
  <si>
    <t>Original Reference Period</t>
  </si>
  <si>
    <t>Updated Reference Period</t>
  </si>
  <si>
    <t>* Av. of the highest 5 annual catches (20yrs) from  2000-2020)</t>
  </si>
  <si>
    <t>Revised Reference Period (1)*</t>
  </si>
  <si>
    <t>Note:
5 Allocation factors</t>
  </si>
  <si>
    <t>where do these come from</t>
  </si>
  <si>
    <t>Are these the ones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</si>
</sst>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000"/>
    <numFmt numFmtId="168" formatCode="0.0"/>
    <numFmt numFmtId="169" formatCode="#,##0.000"/>
    <numFmt numFmtId="170" formatCode="0.000"/>
    <numFmt numFmtId="171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CEFE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12" borderId="36" applyNumberFormat="0" applyAlignment="0" applyProtection="0"/>
  </cellStyleXfs>
  <cellXfs count="3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10" fontId="0" fillId="0" borderId="9" xfId="2" applyNumberFormat="1" applyFont="1" applyBorder="1"/>
    <xf numFmtId="0" fontId="0" fillId="2" borderId="11" xfId="0" applyFill="1" applyBorder="1" applyAlignment="1">
      <alignment horizontal="right"/>
    </xf>
    <xf numFmtId="10" fontId="0" fillId="2" borderId="9" xfId="0" applyNumberFormat="1" applyFill="1" applyBorder="1"/>
    <xf numFmtId="166" fontId="0" fillId="2" borderId="9" xfId="1" applyNumberFormat="1" applyFont="1" applyFill="1" applyBorder="1"/>
    <xf numFmtId="0" fontId="2" fillId="2" borderId="0" xfId="0" applyFont="1" applyFill="1"/>
    <xf numFmtId="0" fontId="2" fillId="2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14" xfId="0" applyFont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166" fontId="4" fillId="0" borderId="9" xfId="1" applyNumberFormat="1" applyFont="1" applyBorder="1" applyAlignment="1">
      <alignment horizontal="right" vertical="center" wrapText="1"/>
    </xf>
    <xf numFmtId="166" fontId="0" fillId="0" borderId="9" xfId="1" applyNumberFormat="1" applyFont="1" applyBorder="1" applyAlignment="1">
      <alignment horizontal="right" vertical="center" wrapText="1"/>
    </xf>
    <xf numFmtId="0" fontId="6" fillId="3" borderId="9" xfId="0" applyFont="1" applyFill="1" applyBorder="1" applyAlignment="1">
      <alignment horizontal="justify" vertical="center" wrapText="1"/>
    </xf>
    <xf numFmtId="166" fontId="5" fillId="3" borderId="9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6" fontId="0" fillId="0" borderId="9" xfId="1" applyNumberFormat="1" applyFont="1" applyBorder="1"/>
    <xf numFmtId="0" fontId="0" fillId="0" borderId="0" xfId="0" applyFill="1" applyBorder="1"/>
    <xf numFmtId="10" fontId="0" fillId="4" borderId="9" xfId="2" applyNumberFormat="1" applyFont="1" applyFill="1" applyBorder="1"/>
    <xf numFmtId="0" fontId="0" fillId="4" borderId="9" xfId="0" applyFill="1" applyBorder="1"/>
    <xf numFmtId="165" fontId="0" fillId="4" borderId="9" xfId="2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6" fontId="0" fillId="0" borderId="9" xfId="1" applyNumberFormat="1" applyFont="1" applyFill="1" applyBorder="1"/>
    <xf numFmtId="166" fontId="0" fillId="0" borderId="9" xfId="0" applyNumberFormat="1" applyBorder="1"/>
    <xf numFmtId="166" fontId="0" fillId="0" borderId="11" xfId="1" applyNumberFormat="1" applyFont="1" applyFill="1" applyBorder="1"/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7" xfId="0" quotePrefix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4" fillId="0" borderId="23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1" fontId="0" fillId="0" borderId="0" xfId="2" applyNumberFormat="1" applyFont="1" applyBorder="1"/>
    <xf numFmtId="0" fontId="0" fillId="3" borderId="9" xfId="0" applyFill="1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8" borderId="9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4" borderId="24" xfId="0" applyFont="1" applyFill="1" applyBorder="1" applyAlignment="1">
      <alignment horizontal="justify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left" vertical="center" wrapText="1"/>
    </xf>
    <xf numFmtId="3" fontId="3" fillId="0" borderId="28" xfId="0" applyNumberFormat="1" applyFont="1" applyBorder="1" applyAlignment="1">
      <alignment horizontal="center" vertical="center" wrapText="1"/>
    </xf>
    <xf numFmtId="3" fontId="3" fillId="4" borderId="28" xfId="0" applyNumberFormat="1" applyFont="1" applyFill="1" applyBorder="1" applyAlignment="1">
      <alignment horizontal="center" vertical="center" wrapText="1"/>
    </xf>
    <xf numFmtId="3" fontId="3" fillId="6" borderId="30" xfId="0" applyNumberFormat="1" applyFont="1" applyFill="1" applyBorder="1" applyAlignment="1">
      <alignment horizontal="center" vertical="center" wrapText="1"/>
    </xf>
    <xf numFmtId="3" fontId="3" fillId="6" borderId="31" xfId="0" applyNumberFormat="1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right"/>
    </xf>
    <xf numFmtId="0" fontId="0" fillId="9" borderId="32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3" fillId="0" borderId="24" xfId="0" applyNumberFormat="1" applyFont="1" applyBorder="1" applyAlignment="1">
      <alignment horizontal="center" vertical="center" wrapText="1"/>
    </xf>
    <xf numFmtId="0" fontId="0" fillId="9" borderId="28" xfId="0" applyFill="1" applyBorder="1" applyAlignment="1">
      <alignment horizontal="right"/>
    </xf>
    <xf numFmtId="0" fontId="0" fillId="0" borderId="0" xfId="0" applyFill="1" applyBorder="1" applyAlignment="1">
      <alignment vertical="top" wrapText="1"/>
    </xf>
    <xf numFmtId="3" fontId="10" fillId="0" borderId="7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/>
    <xf numFmtId="0" fontId="3" fillId="5" borderId="7" xfId="0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justify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4" borderId="28" xfId="0" applyFill="1" applyBorder="1" applyAlignment="1">
      <alignment horizontal="right"/>
    </xf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166" fontId="13" fillId="0" borderId="9" xfId="0" applyNumberFormat="1" applyFont="1" applyBorder="1" applyAlignment="1">
      <alignment horizontal="center"/>
    </xf>
    <xf numFmtId="0" fontId="9" fillId="5" borderId="38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15" fillId="12" borderId="11" xfId="4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15" fillId="0" borderId="0" xfId="4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/>
    </xf>
    <xf numFmtId="0" fontId="0" fillId="0" borderId="25" xfId="0" applyBorder="1"/>
    <xf numFmtId="3" fontId="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center" vertical="top" wrapText="1"/>
    </xf>
    <xf numFmtId="3" fontId="0" fillId="0" borderId="0" xfId="0" applyNumberFormat="1" applyFont="1" applyFill="1" applyBorder="1" applyAlignment="1">
      <alignment horizontal="right"/>
    </xf>
    <xf numFmtId="3" fontId="0" fillId="0" borderId="35" xfId="0" applyNumberFormat="1" applyBorder="1" applyAlignment="1">
      <alignment horizontal="right"/>
    </xf>
    <xf numFmtId="3" fontId="0" fillId="4" borderId="35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0" fontId="0" fillId="9" borderId="30" xfId="0" applyFill="1" applyBorder="1" applyAlignment="1">
      <alignment horizontal="right"/>
    </xf>
    <xf numFmtId="3" fontId="0" fillId="9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9" borderId="31" xfId="0" applyNumberForma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2" fillId="0" borderId="0" xfId="0" applyNumberFormat="1" applyFont="1" applyBorder="1"/>
    <xf numFmtId="0" fontId="0" fillId="0" borderId="0" xfId="0" applyNumberFormat="1" applyFont="1" applyBorder="1" applyAlignment="1">
      <alignment horizontal="right"/>
    </xf>
    <xf numFmtId="9" fontId="0" fillId="9" borderId="9" xfId="0" applyNumberFormat="1" applyFill="1" applyBorder="1" applyAlignment="1">
      <alignment horizontal="right"/>
    </xf>
    <xf numFmtId="2" fontId="0" fillId="0" borderId="0" xfId="0" applyNumberFormat="1"/>
    <xf numFmtId="9" fontId="0" fillId="9" borderId="31" xfId="0" applyNumberFormat="1" applyFill="1" applyBorder="1" applyAlignment="1">
      <alignment horizontal="right"/>
    </xf>
    <xf numFmtId="10" fontId="0" fillId="9" borderId="29" xfId="0" applyNumberFormat="1" applyFill="1" applyBorder="1" applyAlignment="1">
      <alignment horizontal="right"/>
    </xf>
    <xf numFmtId="9" fontId="0" fillId="9" borderId="29" xfId="0" applyNumberFormat="1" applyFill="1" applyBorder="1" applyAlignment="1">
      <alignment horizontal="right"/>
    </xf>
    <xf numFmtId="10" fontId="0" fillId="9" borderId="4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2" applyFont="1" applyFill="1" applyBorder="1"/>
    <xf numFmtId="0" fontId="0" fillId="0" borderId="0" xfId="0" applyFont="1" applyFill="1" applyBorder="1" applyAlignment="1">
      <alignment horizontal="right"/>
    </xf>
    <xf numFmtId="9" fontId="0" fillId="0" borderId="0" xfId="0" applyNumberFormat="1" applyFill="1" applyBorder="1"/>
    <xf numFmtId="3" fontId="0" fillId="0" borderId="0" xfId="2" applyNumberFormat="1" applyFont="1" applyFill="1" applyBorder="1"/>
    <xf numFmtId="3" fontId="0" fillId="0" borderId="0" xfId="0" applyNumberFormat="1" applyFill="1" applyBorder="1"/>
    <xf numFmtId="3" fontId="1" fillId="0" borderId="0" xfId="2" applyNumberFormat="1" applyFont="1" applyFill="1" applyBorder="1"/>
    <xf numFmtId="3" fontId="0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5" fontId="0" fillId="0" borderId="0" xfId="2" applyNumberFormat="1" applyFont="1" applyFill="1" applyBorder="1"/>
    <xf numFmtId="166" fontId="0" fillId="0" borderId="0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justify" vertical="center" wrapText="1"/>
    </xf>
    <xf numFmtId="166" fontId="5" fillId="0" borderId="0" xfId="1" applyNumberFormat="1" applyFont="1" applyFill="1" applyBorder="1" applyAlignment="1">
      <alignment horizontal="right" vertical="center" wrapText="1"/>
    </xf>
    <xf numFmtId="0" fontId="0" fillId="10" borderId="3" xfId="0" applyFill="1" applyBorder="1" applyAlignment="1">
      <alignment vertical="top" wrapText="1"/>
    </xf>
    <xf numFmtId="0" fontId="0" fillId="10" borderId="12" xfId="0" applyFill="1" applyBorder="1" applyAlignment="1">
      <alignment vertical="top" wrapText="1"/>
    </xf>
    <xf numFmtId="0" fontId="0" fillId="10" borderId="43" xfId="0" applyFill="1" applyBorder="1" applyAlignment="1">
      <alignment vertical="top" wrapText="1"/>
    </xf>
    <xf numFmtId="0" fontId="0" fillId="10" borderId="27" xfId="0" applyFill="1" applyBorder="1" applyAlignment="1">
      <alignment vertical="top" wrapText="1"/>
    </xf>
    <xf numFmtId="0" fontId="0" fillId="0" borderId="43" xfId="0" applyFill="1" applyBorder="1" applyAlignment="1">
      <alignment horizontal="center"/>
    </xf>
    <xf numFmtId="10" fontId="0" fillId="9" borderId="9" xfId="0" applyNumberFormat="1" applyFill="1" applyBorder="1" applyAlignment="1">
      <alignment horizontal="right"/>
    </xf>
    <xf numFmtId="0" fontId="2" fillId="0" borderId="28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34" xfId="0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10" fontId="0" fillId="0" borderId="0" xfId="0" applyNumberFormat="1"/>
    <xf numFmtId="10" fontId="0" fillId="0" borderId="9" xfId="0" applyNumberFormat="1" applyBorder="1"/>
    <xf numFmtId="0" fontId="0" fillId="0" borderId="38" xfId="0" applyBorder="1"/>
    <xf numFmtId="0" fontId="0" fillId="15" borderId="46" xfId="0" applyFill="1" applyBorder="1"/>
    <xf numFmtId="9" fontId="0" fillId="15" borderId="47" xfId="0" applyNumberFormat="1" applyFill="1" applyBorder="1"/>
    <xf numFmtId="9" fontId="0" fillId="15" borderId="48" xfId="0" applyNumberFormat="1" applyFill="1" applyBorder="1"/>
    <xf numFmtId="0" fontId="2" fillId="15" borderId="30" xfId="0" applyFont="1" applyFill="1" applyBorder="1" applyAlignment="1">
      <alignment horizontal="right"/>
    </xf>
    <xf numFmtId="0" fontId="0" fillId="10" borderId="11" xfId="0" applyFill="1" applyBorder="1" applyAlignment="1">
      <alignment wrapText="1"/>
    </xf>
    <xf numFmtId="0" fontId="0" fillId="10" borderId="45" xfId="0" applyFill="1" applyBorder="1" applyAlignment="1">
      <alignment wrapText="1"/>
    </xf>
    <xf numFmtId="10" fontId="2" fillId="15" borderId="31" xfId="0" applyNumberFormat="1" applyFont="1" applyFill="1" applyBorder="1" applyAlignment="1">
      <alignment horizontal="right"/>
    </xf>
    <xf numFmtId="0" fontId="0" fillId="10" borderId="0" xfId="0" applyFill="1" applyBorder="1" applyAlignment="1">
      <alignment wrapText="1"/>
    </xf>
    <xf numFmtId="9" fontId="0" fillId="15" borderId="0" xfId="0" applyNumberFormat="1" applyFill="1" applyBorder="1"/>
    <xf numFmtId="10" fontId="0" fillId="0" borderId="0" xfId="0" applyNumberFormat="1" applyBorder="1"/>
    <xf numFmtId="10" fontId="2" fillId="15" borderId="0" xfId="0" applyNumberFormat="1" applyFont="1" applyFill="1" applyBorder="1" applyAlignment="1">
      <alignment horizontal="right"/>
    </xf>
    <xf numFmtId="3" fontId="2" fillId="4" borderId="26" xfId="0" applyNumberFormat="1" applyFont="1" applyFill="1" applyBorder="1"/>
    <xf numFmtId="3" fontId="2" fillId="4" borderId="27" xfId="0" applyNumberFormat="1" applyFont="1" applyFill="1" applyBorder="1"/>
    <xf numFmtId="0" fontId="2" fillId="0" borderId="5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9" borderId="0" xfId="0" applyFill="1" applyAlignment="1">
      <alignment horizontal="right"/>
    </xf>
    <xf numFmtId="0" fontId="0" fillId="9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5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9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3" fontId="3" fillId="6" borderId="34" xfId="0" applyNumberFormat="1" applyFont="1" applyFill="1" applyBorder="1" applyAlignment="1">
      <alignment horizontal="center" vertical="center" wrapText="1"/>
    </xf>
    <xf numFmtId="0" fontId="0" fillId="13" borderId="47" xfId="0" applyFill="1" applyBorder="1"/>
    <xf numFmtId="0" fontId="9" fillId="6" borderId="42" xfId="0" applyFont="1" applyFill="1" applyBorder="1" applyAlignment="1">
      <alignment horizontal="left" vertical="center" wrapText="1"/>
    </xf>
    <xf numFmtId="0" fontId="9" fillId="13" borderId="46" xfId="0" applyFont="1" applyFill="1" applyBorder="1" applyAlignment="1">
      <alignment horizontal="left" vertical="center" wrapText="1"/>
    </xf>
    <xf numFmtId="3" fontId="13" fillId="13" borderId="47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3" fontId="9" fillId="4" borderId="28" xfId="0" applyNumberFormat="1" applyFont="1" applyFill="1" applyBorder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3" fontId="9" fillId="6" borderId="30" xfId="0" applyNumberFormat="1" applyFont="1" applyFill="1" applyBorder="1" applyAlignment="1">
      <alignment horizontal="center" vertical="center" wrapText="1"/>
    </xf>
    <xf numFmtId="166" fontId="0" fillId="0" borderId="29" xfId="1" applyNumberFormat="1" applyFont="1" applyBorder="1" applyAlignment="1">
      <alignment horizontal="right"/>
    </xf>
    <xf numFmtId="0" fontId="2" fillId="13" borderId="28" xfId="0" applyFont="1" applyFill="1" applyBorder="1" applyAlignment="1">
      <alignment horizontal="left"/>
    </xf>
    <xf numFmtId="10" fontId="0" fillId="0" borderId="0" xfId="0" applyNumberFormat="1" applyFill="1" applyBorder="1"/>
    <xf numFmtId="0" fontId="0" fillId="0" borderId="46" xfId="0" applyFill="1" applyBorder="1" applyAlignment="1">
      <alignment horizontal="center"/>
    </xf>
    <xf numFmtId="0" fontId="0" fillId="10" borderId="51" xfId="0" applyFill="1" applyBorder="1" applyAlignment="1">
      <alignment vertical="top" wrapText="1"/>
    </xf>
    <xf numFmtId="0" fontId="0" fillId="10" borderId="50" xfId="0" applyFill="1" applyBorder="1" applyAlignment="1">
      <alignment vertical="top" wrapText="1"/>
    </xf>
    <xf numFmtId="0" fontId="0" fillId="10" borderId="46" xfId="0" applyFill="1" applyBorder="1" applyAlignment="1">
      <alignment vertical="top" wrapText="1"/>
    </xf>
    <xf numFmtId="0" fontId="0" fillId="10" borderId="48" xfId="0" applyFill="1" applyBorder="1" applyAlignment="1">
      <alignment vertical="top" wrapText="1"/>
    </xf>
    <xf numFmtId="1" fontId="0" fillId="0" borderId="0" xfId="0" applyNumberFormat="1"/>
    <xf numFmtId="0" fontId="0" fillId="10" borderId="3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3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9" fillId="14" borderId="11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9" borderId="9" xfId="0" applyNumberFormat="1" applyFill="1" applyBorder="1" applyAlignment="1">
      <alignment horizontal="center"/>
    </xf>
    <xf numFmtId="166" fontId="0" fillId="9" borderId="9" xfId="1" applyNumberFormat="1" applyFont="1" applyFill="1" applyBorder="1" applyAlignment="1">
      <alignment horizontal="center"/>
    </xf>
    <xf numFmtId="3" fontId="0" fillId="9" borderId="10" xfId="0" applyNumberFormat="1" applyFill="1" applyBorder="1" applyAlignment="1">
      <alignment horizontal="center"/>
    </xf>
    <xf numFmtId="3" fontId="2" fillId="0" borderId="44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/>
    <xf numFmtId="2" fontId="0" fillId="11" borderId="0" xfId="0" applyNumberFormat="1" applyFill="1" applyBorder="1"/>
    <xf numFmtId="43" fontId="0" fillId="0" borderId="0" xfId="1" applyFont="1" applyBorder="1"/>
    <xf numFmtId="43" fontId="0" fillId="17" borderId="0" xfId="1" applyFont="1" applyFill="1" applyBorder="1" applyAlignment="1">
      <alignment horizontal="right"/>
    </xf>
    <xf numFmtId="43" fontId="2" fillId="0" borderId="0" xfId="1" applyFont="1" applyBorder="1" applyAlignment="1">
      <alignment horizontal="left"/>
    </xf>
    <xf numFmtId="0" fontId="2" fillId="0" borderId="52" xfId="0" applyFont="1" applyFill="1" applyBorder="1" applyAlignment="1">
      <alignment horizontal="left"/>
    </xf>
    <xf numFmtId="43" fontId="2" fillId="0" borderId="40" xfId="1" applyFont="1" applyFill="1" applyBorder="1" applyAlignment="1">
      <alignment horizontal="left"/>
    </xf>
    <xf numFmtId="43" fontId="2" fillId="17" borderId="40" xfId="1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3" fontId="0" fillId="4" borderId="53" xfId="1" applyFont="1" applyFill="1" applyBorder="1" applyAlignment="1">
      <alignment horizontal="center"/>
    </xf>
    <xf numFmtId="43" fontId="0" fillId="4" borderId="4" xfId="1" applyFont="1" applyFill="1" applyBorder="1" applyAlignment="1">
      <alignment horizontal="center"/>
    </xf>
    <xf numFmtId="43" fontId="0" fillId="4" borderId="6" xfId="1" applyFont="1" applyFill="1" applyBorder="1" applyAlignment="1">
      <alignment horizontal="center"/>
    </xf>
    <xf numFmtId="43" fontId="0" fillId="0" borderId="49" xfId="1" applyFont="1" applyFill="1" applyBorder="1" applyAlignment="1">
      <alignment horizontal="center"/>
    </xf>
    <xf numFmtId="43" fontId="0" fillId="17" borderId="51" xfId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2" fillId="0" borderId="44" xfId="0" applyNumberFormat="1" applyFont="1" applyBorder="1" applyAlignment="1">
      <alignment horizontal="center"/>
    </xf>
    <xf numFmtId="2" fontId="0" fillId="0" borderId="9" xfId="2" applyNumberFormat="1" applyFont="1" applyFill="1" applyBorder="1"/>
    <xf numFmtId="3" fontId="0" fillId="9" borderId="0" xfId="0" applyNumberFormat="1" applyFill="1"/>
    <xf numFmtId="166" fontId="0" fillId="0" borderId="0" xfId="0" applyNumberFormat="1" applyBorder="1"/>
    <xf numFmtId="166" fontId="0" fillId="0" borderId="9" xfId="1" applyNumberFormat="1" applyFont="1" applyBorder="1" applyAlignment="1">
      <alignment horizontal="right"/>
    </xf>
    <xf numFmtId="0" fontId="0" fillId="11" borderId="9" xfId="0" applyFill="1" applyBorder="1" applyAlignment="1">
      <alignment wrapText="1"/>
    </xf>
    <xf numFmtId="0" fontId="2" fillId="11" borderId="9" xfId="0" applyFont="1" applyFill="1" applyBorder="1" applyAlignment="1">
      <alignment horizontal="center" wrapText="1"/>
    </xf>
    <xf numFmtId="0" fontId="0" fillId="16" borderId="9" xfId="0" applyFill="1" applyBorder="1" applyAlignment="1">
      <alignment horizontal="right" wrapText="1"/>
    </xf>
    <xf numFmtId="165" fontId="0" fillId="0" borderId="9" xfId="0" applyNumberFormat="1" applyBorder="1"/>
    <xf numFmtId="0" fontId="0" fillId="0" borderId="26" xfId="0" applyBorder="1"/>
    <xf numFmtId="3" fontId="12" fillId="4" borderId="26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0" fillId="16" borderId="29" xfId="0" applyFill="1" applyBorder="1" applyAlignment="1">
      <alignment horizontal="right" wrapText="1"/>
    </xf>
    <xf numFmtId="0" fontId="0" fillId="0" borderId="30" xfId="0" applyBorder="1"/>
    <xf numFmtId="10" fontId="2" fillId="0" borderId="31" xfId="0" applyNumberFormat="1" applyFont="1" applyBorder="1"/>
    <xf numFmtId="166" fontId="2" fillId="0" borderId="31" xfId="1" applyNumberFormat="1" applyFont="1" applyBorder="1"/>
    <xf numFmtId="166" fontId="2" fillId="0" borderId="31" xfId="1" applyNumberFormat="1" applyFont="1" applyBorder="1" applyAlignment="1">
      <alignment horizontal="right"/>
    </xf>
    <xf numFmtId="166" fontId="2" fillId="0" borderId="41" xfId="1" applyNumberFormat="1" applyFont="1" applyBorder="1" applyAlignment="1">
      <alignment horizontal="right"/>
    </xf>
    <xf numFmtId="9" fontId="0" fillId="0" borderId="25" xfId="0" applyNumberFormat="1" applyBorder="1"/>
    <xf numFmtId="167" fontId="0" fillId="0" borderId="0" xfId="0" applyNumberFormat="1"/>
    <xf numFmtId="10" fontId="4" fillId="0" borderId="0" xfId="0" applyNumberFormat="1" applyFont="1" applyBorder="1" applyAlignment="1">
      <alignment horizontal="right" vertical="center" wrapText="1"/>
    </xf>
    <xf numFmtId="10" fontId="0" fillId="0" borderId="0" xfId="0" applyNumberFormat="1" applyBorder="1" applyAlignment="1">
      <alignment horizontal="right"/>
    </xf>
    <xf numFmtId="10" fontId="4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 applyAlignment="1">
      <alignment horizontal="right"/>
    </xf>
    <xf numFmtId="0" fontId="0" fillId="0" borderId="9" xfId="0" applyBorder="1"/>
    <xf numFmtId="168" fontId="0" fillId="0" borderId="0" xfId="0" applyNumberFormat="1"/>
    <xf numFmtId="9" fontId="0" fillId="0" borderId="0" xfId="0" applyNumberFormat="1"/>
    <xf numFmtId="1" fontId="0" fillId="0" borderId="0" xfId="0" applyNumberFormat="1" applyBorder="1"/>
    <xf numFmtId="0" fontId="2" fillId="0" borderId="0" xfId="0" applyFont="1" applyBorder="1"/>
    <xf numFmtId="0" fontId="9" fillId="13" borderId="9" xfId="0" applyFont="1" applyFill="1" applyBorder="1" applyAlignment="1">
      <alignment horizontal="center" vertical="center" wrapText="1"/>
    </xf>
    <xf numFmtId="3" fontId="18" fillId="4" borderId="9" xfId="0" applyNumberFormat="1" applyFont="1" applyFill="1" applyBorder="1" applyAlignment="1">
      <alignment horizontal="center" vertical="center" wrapText="1"/>
    </xf>
    <xf numFmtId="166" fontId="15" fillId="4" borderId="9" xfId="1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0" fontId="0" fillId="0" borderId="0" xfId="2" applyNumberFormat="1" applyFont="1"/>
    <xf numFmtId="165" fontId="0" fillId="0" borderId="9" xfId="2" applyNumberFormat="1" applyFont="1" applyBorder="1"/>
    <xf numFmtId="3" fontId="3" fillId="6" borderId="55" xfId="0" applyNumberFormat="1" applyFont="1" applyFill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 wrapText="1"/>
    </xf>
    <xf numFmtId="166" fontId="13" fillId="13" borderId="11" xfId="1" applyNumberFormat="1" applyFont="1" applyFill="1" applyBorder="1" applyAlignment="1">
      <alignment horizontal="center"/>
    </xf>
    <xf numFmtId="0" fontId="15" fillId="12" borderId="48" xfId="1" applyNumberFormat="1" applyFont="1" applyFill="1" applyBorder="1" applyAlignment="1">
      <alignment horizontal="center"/>
    </xf>
    <xf numFmtId="166" fontId="13" fillId="0" borderId="45" xfId="1" applyNumberFormat="1" applyFont="1" applyBorder="1" applyAlignment="1">
      <alignment horizontal="center"/>
    </xf>
    <xf numFmtId="166" fontId="13" fillId="0" borderId="29" xfId="1" applyNumberFormat="1" applyFont="1" applyBorder="1" applyAlignment="1">
      <alignment horizontal="center"/>
    </xf>
    <xf numFmtId="166" fontId="14" fillId="4" borderId="29" xfId="1" applyNumberFormat="1" applyFont="1" applyFill="1" applyBorder="1" applyAlignment="1">
      <alignment horizontal="center"/>
    </xf>
    <xf numFmtId="166" fontId="13" fillId="0" borderId="29" xfId="1" applyNumberFormat="1" applyFont="1" applyFill="1" applyBorder="1" applyAlignment="1">
      <alignment horizontal="center"/>
    </xf>
    <xf numFmtId="166" fontId="13" fillId="0" borderId="41" xfId="1" applyNumberFormat="1" applyFont="1" applyBorder="1" applyAlignment="1">
      <alignment horizontal="center"/>
    </xf>
    <xf numFmtId="0" fontId="0" fillId="10" borderId="3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3" fontId="0" fillId="9" borderId="24" xfId="0" applyNumberForma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3" fontId="2" fillId="0" borderId="56" xfId="0" applyNumberFormat="1" applyFont="1" applyBorder="1" applyAlignment="1">
      <alignment horizontal="center"/>
    </xf>
    <xf numFmtId="0" fontId="0" fillId="17" borderId="9" xfId="0" applyFill="1" applyBorder="1" applyAlignment="1">
      <alignment horizontal="center" vertical="top" wrapText="1"/>
    </xf>
    <xf numFmtId="1" fontId="0" fillId="0" borderId="9" xfId="2" applyNumberFormat="1" applyFont="1" applyBorder="1"/>
    <xf numFmtId="3" fontId="0" fillId="17" borderId="9" xfId="0" applyNumberFormat="1" applyFill="1" applyBorder="1" applyAlignment="1">
      <alignment horizontal="center"/>
    </xf>
    <xf numFmtId="9" fontId="0" fillId="17" borderId="9" xfId="0" applyNumberFormat="1" applyFill="1" applyBorder="1" applyAlignment="1">
      <alignment horizontal="right"/>
    </xf>
    <xf numFmtId="2" fontId="0" fillId="17" borderId="9" xfId="0" applyNumberFormat="1" applyFill="1" applyBorder="1" applyAlignment="1">
      <alignment horizontal="center"/>
    </xf>
    <xf numFmtId="3" fontId="2" fillId="17" borderId="9" xfId="0" applyNumberFormat="1" applyFont="1" applyFill="1" applyBorder="1" applyAlignment="1">
      <alignment horizontal="center"/>
    </xf>
    <xf numFmtId="9" fontId="0" fillId="17" borderId="9" xfId="0" applyNumberFormat="1" applyFill="1" applyBorder="1"/>
    <xf numFmtId="2" fontId="2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 vertical="center" wrapText="1"/>
    </xf>
    <xf numFmtId="0" fontId="0" fillId="17" borderId="9" xfId="0" applyFill="1" applyBorder="1"/>
    <xf numFmtId="9" fontId="3" fillId="17" borderId="9" xfId="0" applyNumberFormat="1" applyFont="1" applyFill="1" applyBorder="1" applyAlignment="1">
      <alignment horizontal="center" vertical="center" wrapText="1"/>
    </xf>
    <xf numFmtId="0" fontId="9" fillId="13" borderId="26" xfId="0" applyFont="1" applyFill="1" applyBorder="1" applyAlignment="1">
      <alignment horizontal="center" vertical="center" wrapText="1"/>
    </xf>
    <xf numFmtId="0" fontId="9" fillId="13" borderId="54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 wrapText="1"/>
    </xf>
    <xf numFmtId="0" fontId="15" fillId="13" borderId="47" xfId="4" applyFont="1" applyFill="1" applyBorder="1" applyAlignment="1">
      <alignment horizontal="center" vertical="center" wrapText="1"/>
    </xf>
    <xf numFmtId="0" fontId="15" fillId="13" borderId="47" xfId="1" applyNumberFormat="1" applyFont="1" applyFill="1" applyBorder="1" applyAlignment="1">
      <alignment horizontal="center"/>
    </xf>
    <xf numFmtId="3" fontId="3" fillId="17" borderId="9" xfId="0" applyNumberFormat="1" applyFont="1" applyFill="1" applyBorder="1" applyAlignment="1">
      <alignment horizontal="center" vertical="center" wrapText="1"/>
    </xf>
    <xf numFmtId="3" fontId="3" fillId="17" borderId="24" xfId="0" applyNumberFormat="1" applyFont="1" applyFill="1" applyBorder="1" applyAlignment="1">
      <alignment horizontal="center" vertical="center" wrapText="1"/>
    </xf>
    <xf numFmtId="3" fontId="3" fillId="17" borderId="28" xfId="0" applyNumberFormat="1" applyFont="1" applyFill="1" applyBorder="1" applyAlignment="1">
      <alignment horizontal="center" vertical="center" wrapText="1"/>
    </xf>
    <xf numFmtId="3" fontId="3" fillId="17" borderId="11" xfId="0" applyNumberFormat="1" applyFont="1" applyFill="1" applyBorder="1" applyAlignment="1">
      <alignment horizontal="center" vertical="center" wrapText="1"/>
    </xf>
    <xf numFmtId="166" fontId="13" fillId="17" borderId="11" xfId="1" applyNumberFormat="1" applyFont="1" applyFill="1" applyBorder="1" applyAlignment="1">
      <alignment horizontal="center"/>
    </xf>
    <xf numFmtId="166" fontId="13" fillId="17" borderId="9" xfId="1" applyNumberFormat="1" applyFont="1" applyFill="1" applyBorder="1" applyAlignment="1">
      <alignment horizontal="center"/>
    </xf>
    <xf numFmtId="3" fontId="16" fillId="17" borderId="9" xfId="0" applyNumberFormat="1" applyFont="1" applyFill="1" applyBorder="1" applyAlignment="1">
      <alignment horizontal="center" vertical="center" wrapText="1"/>
    </xf>
    <xf numFmtId="166" fontId="14" fillId="17" borderId="9" xfId="1" applyNumberFormat="1" applyFont="1" applyFill="1" applyBorder="1" applyAlignment="1">
      <alignment horizontal="center"/>
    </xf>
    <xf numFmtId="3" fontId="3" fillId="17" borderId="30" xfId="0" applyNumberFormat="1" applyFont="1" applyFill="1" applyBorder="1" applyAlignment="1">
      <alignment horizontal="center" vertical="center" wrapText="1"/>
    </xf>
    <xf numFmtId="3" fontId="3" fillId="17" borderId="31" xfId="0" applyNumberFormat="1" applyFont="1" applyFill="1" applyBorder="1" applyAlignment="1">
      <alignment horizontal="center" vertical="center" wrapText="1"/>
    </xf>
    <xf numFmtId="166" fontId="13" fillId="17" borderId="31" xfId="1" applyNumberFormat="1" applyFont="1" applyFill="1" applyBorder="1" applyAlignment="1">
      <alignment horizontal="center"/>
    </xf>
    <xf numFmtId="3" fontId="0" fillId="17" borderId="57" xfId="0" applyNumberFormat="1" applyFill="1" applyBorder="1" applyAlignment="1">
      <alignment horizontal="center"/>
    </xf>
    <xf numFmtId="3" fontId="0" fillId="9" borderId="21" xfId="0" applyNumberFormat="1" applyFill="1" applyBorder="1" applyAlignment="1">
      <alignment horizontal="center"/>
    </xf>
    <xf numFmtId="3" fontId="0" fillId="9" borderId="50" xfId="0" applyNumberFormat="1" applyFill="1" applyBorder="1" applyAlignment="1">
      <alignment horizontal="center"/>
    </xf>
    <xf numFmtId="169" fontId="0" fillId="9" borderId="9" xfId="0" applyNumberFormat="1" applyFill="1" applyBorder="1" applyAlignment="1">
      <alignment horizontal="center"/>
    </xf>
    <xf numFmtId="169" fontId="0" fillId="9" borderId="10" xfId="0" applyNumberFormat="1" applyFill="1" applyBorder="1" applyAlignment="1">
      <alignment horizontal="center"/>
    </xf>
    <xf numFmtId="169" fontId="0" fillId="9" borderId="24" xfId="0" applyNumberFormat="1" applyFill="1" applyBorder="1" applyAlignment="1">
      <alignment horizontal="center"/>
    </xf>
    <xf numFmtId="169" fontId="0" fillId="9" borderId="57" xfId="0" applyNumberFormat="1" applyFill="1" applyBorder="1" applyAlignment="1">
      <alignment horizontal="center"/>
    </xf>
    <xf numFmtId="169" fontId="0" fillId="9" borderId="11" xfId="0" applyNumberFormat="1" applyFill="1" applyBorder="1" applyAlignment="1">
      <alignment horizontal="center"/>
    </xf>
    <xf numFmtId="169" fontId="0" fillId="9" borderId="50" xfId="0" applyNumberFormat="1" applyFill="1" applyBorder="1" applyAlignment="1">
      <alignment horizontal="center"/>
    </xf>
    <xf numFmtId="170" fontId="0" fillId="4" borderId="9" xfId="2" applyNumberFormat="1" applyFont="1" applyFill="1" applyBorder="1"/>
    <xf numFmtId="170" fontId="0" fillId="9" borderId="29" xfId="0" applyNumberFormat="1" applyFill="1" applyBorder="1" applyAlignment="1">
      <alignment horizontal="center"/>
    </xf>
    <xf numFmtId="169" fontId="0" fillId="9" borderId="24" xfId="1" applyNumberFormat="1" applyFont="1" applyFill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1" fontId="0" fillId="9" borderId="59" xfId="0" applyNumberFormat="1" applyFill="1" applyBorder="1" applyAlignment="1">
      <alignment horizontal="center"/>
    </xf>
    <xf numFmtId="171" fontId="0" fillId="9" borderId="53" xfId="0" applyNumberFormat="1" applyFill="1" applyBorder="1" applyAlignment="1">
      <alignment horizontal="center"/>
    </xf>
    <xf numFmtId="171" fontId="0" fillId="9" borderId="60" xfId="0" applyNumberFormat="1" applyFill="1" applyBorder="1" applyAlignment="1">
      <alignment horizontal="center"/>
    </xf>
    <xf numFmtId="0" fontId="0" fillId="11" borderId="9" xfId="0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3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2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10" borderId="43" xfId="0" applyFill="1" applyBorder="1" applyAlignment="1">
      <alignment horizontal="center" vertical="top" wrapText="1"/>
    </xf>
    <xf numFmtId="0" fontId="0" fillId="10" borderId="38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0" fillId="10" borderId="33" xfId="0" applyFill="1" applyBorder="1" applyAlignment="1">
      <alignment horizontal="center" vertical="top" wrapText="1"/>
    </xf>
    <xf numFmtId="0" fontId="0" fillId="10" borderId="2" xfId="0" applyFill="1" applyBorder="1" applyAlignment="1">
      <alignment horizontal="center" vertical="top" wrapText="1"/>
    </xf>
    <xf numFmtId="0" fontId="0" fillId="10" borderId="13" xfId="0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3" fillId="5" borderId="14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left"/>
    </xf>
    <xf numFmtId="0" fontId="0" fillId="19" borderId="17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 applyAlignment="1">
      <alignment horizontal="left"/>
    </xf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2" fillId="19" borderId="50" xfId="0" applyFont="1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0" xfId="0" applyFill="1"/>
  </cellXfs>
  <cellStyles count="5">
    <cellStyle name="Comma" xfId="1" builtinId="3"/>
    <cellStyle name="Comma 2" xfId="3" xr:uid="{00000000-0005-0000-0000-000001000000}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CEFE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V57"/>
  <sheetViews>
    <sheetView topLeftCell="B4" zoomScale="110" zoomScaleNormal="110" workbookViewId="0">
      <selection activeCell="D14" sqref="D14"/>
    </sheetView>
  </sheetViews>
  <sheetFormatPr defaultRowHeight="14.4" x14ac:dyDescent="0.3"/>
  <cols>
    <col min="1" max="2" width="8.88671875" style="31"/>
    <col min="3" max="3" width="7.5546875" style="31" customWidth="1"/>
    <col min="4" max="4" width="10.6640625" customWidth="1"/>
    <col min="6" max="8" width="12.5546875" customWidth="1"/>
    <col min="9" max="9" width="11.77734375" customWidth="1"/>
    <col min="10" max="10" width="10.6640625" customWidth="1"/>
    <col min="11" max="11" width="7.21875" style="31" customWidth="1"/>
    <col min="12" max="12" width="5.77734375" customWidth="1"/>
    <col min="13" max="13" width="11.44140625" customWidth="1"/>
    <col min="14" max="14" width="10.44140625" style="31" customWidth="1"/>
    <col min="15" max="15" width="11.44140625" customWidth="1"/>
    <col min="16" max="16" width="11" customWidth="1"/>
    <col min="17" max="17" width="9.77734375" customWidth="1"/>
    <col min="18" max="18" width="11.44140625" customWidth="1"/>
    <col min="19" max="19" width="10.33203125" bestFit="1" customWidth="1"/>
  </cols>
  <sheetData>
    <row r="1" spans="4:22" s="31" customFormat="1" x14ac:dyDescent="0.3"/>
    <row r="2" spans="4:22" s="31" customFormat="1" x14ac:dyDescent="0.3"/>
    <row r="3" spans="4:22" s="31" customFormat="1" x14ac:dyDescent="0.3"/>
    <row r="4" spans="4:22" x14ac:dyDescent="0.3">
      <c r="E4" s="31"/>
      <c r="F4" s="31" t="s">
        <v>69</v>
      </c>
      <c r="G4" s="31"/>
      <c r="H4" s="31"/>
      <c r="I4" s="31"/>
      <c r="J4" s="31"/>
      <c r="L4" s="31"/>
      <c r="M4" s="31"/>
      <c r="O4" s="31"/>
      <c r="P4" s="31"/>
      <c r="Q4" s="31"/>
    </row>
    <row r="5" spans="4:22" ht="15" thickBot="1" x14ac:dyDescent="0.35">
      <c r="E5" s="345" t="s">
        <v>121</v>
      </c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</row>
    <row r="6" spans="4:22" ht="15" thickBot="1" x14ac:dyDescent="0.35">
      <c r="D6" t="s">
        <v>70</v>
      </c>
      <c r="E6" s="159"/>
      <c r="F6" s="160">
        <v>0.26</v>
      </c>
      <c r="G6" s="160">
        <v>0.16</v>
      </c>
      <c r="H6" s="160">
        <v>0.14000000000000001</v>
      </c>
      <c r="I6" s="160">
        <v>0.18</v>
      </c>
      <c r="J6" s="161">
        <v>0.26</v>
      </c>
      <c r="K6" s="167"/>
      <c r="L6" s="268"/>
      <c r="M6" s="259"/>
      <c r="N6" s="259"/>
      <c r="O6" s="170">
        <v>25000</v>
      </c>
      <c r="P6" s="170">
        <v>30000</v>
      </c>
      <c r="Q6" s="170">
        <v>40000</v>
      </c>
      <c r="R6" s="260"/>
      <c r="S6" s="171"/>
    </row>
    <row r="7" spans="4:22" ht="72" x14ac:dyDescent="0.3">
      <c r="E7" s="158"/>
      <c r="F7" s="163" t="s">
        <v>109</v>
      </c>
      <c r="G7" s="163" t="s">
        <v>110</v>
      </c>
      <c r="H7" s="163" t="s">
        <v>64</v>
      </c>
      <c r="I7" s="163" t="s">
        <v>65</v>
      </c>
      <c r="J7" s="164" t="s">
        <v>66</v>
      </c>
      <c r="K7" s="166"/>
      <c r="L7" s="261"/>
      <c r="M7" s="255" t="s">
        <v>71</v>
      </c>
      <c r="N7" s="256" t="s">
        <v>73</v>
      </c>
      <c r="O7" s="344" t="s">
        <v>72</v>
      </c>
      <c r="P7" s="344"/>
      <c r="Q7" s="344"/>
      <c r="R7" s="257" t="s">
        <v>123</v>
      </c>
      <c r="S7" s="262" t="s">
        <v>124</v>
      </c>
    </row>
    <row r="8" spans="4:22" x14ac:dyDescent="0.3">
      <c r="E8" s="70" t="s">
        <v>1</v>
      </c>
      <c r="F8" s="157">
        <f>(IF(F$6&gt;0,F$6*datapercentage!C5))</f>
        <v>5.3197488340902856E-3</v>
      </c>
      <c r="G8" s="157">
        <f>(IF(G$6&gt;0,G$6*datapercentage!D5))</f>
        <v>6.0930579558224965E-3</v>
      </c>
      <c r="H8" s="157">
        <f>(IF(H$6&gt;0,H$6*datapercentage!E5))</f>
        <v>5.1313154763632145E-3</v>
      </c>
      <c r="I8" s="157">
        <f>(IF(I$6&gt;0,I$6*datapercentage!F5))</f>
        <v>4.0814916199666727E-2</v>
      </c>
      <c r="J8" s="157">
        <f>(IF(J$6&gt;0,J$6*datapercentage!G5))</f>
        <v>0</v>
      </c>
      <c r="K8" s="168"/>
      <c r="L8" s="70" t="s">
        <v>1</v>
      </c>
      <c r="M8" s="157">
        <f t="shared" ref="M8:M20" si="0">SUM(F8:J8)</f>
        <v>5.7359038465942723E-2</v>
      </c>
      <c r="N8" s="258">
        <f t="shared" ref="N8:N20" si="1">M8*1/M$21</f>
        <v>5.7359038465942723E-2</v>
      </c>
      <c r="O8" s="32">
        <f t="shared" ref="O8:O20" si="2">N8*O$6</f>
        <v>1433.975961648568</v>
      </c>
      <c r="P8" s="32">
        <f t="shared" ref="P8:P20" si="3">N8*P$6</f>
        <v>1720.7711539782817</v>
      </c>
      <c r="Q8" s="32">
        <f t="shared" ref="Q8:Q20" si="4">N8*Q$6</f>
        <v>2294.3615386377091</v>
      </c>
      <c r="R8" s="254">
        <f>Catch_History!AA36</f>
        <v>796</v>
      </c>
      <c r="S8" s="210">
        <f>Catch_History!AB36</f>
        <v>1158</v>
      </c>
      <c r="V8" s="156"/>
    </row>
    <row r="9" spans="4:22" x14ac:dyDescent="0.3">
      <c r="E9" s="70" t="s">
        <v>2</v>
      </c>
      <c r="F9" s="157">
        <f>(IF(F$6&gt;0,F$6*datapercentage!C6))</f>
        <v>4.3927058249763777E-2</v>
      </c>
      <c r="G9" s="157">
        <f>(IF(G$6&gt;0,G$6*datapercentage!D6))</f>
        <v>2.4465913061544421E-2</v>
      </c>
      <c r="H9" s="157">
        <f>(IF(H$6&gt;0,H$6*datapercentage!E6))</f>
        <v>1.9700513653907546E-2</v>
      </c>
      <c r="I9" s="157">
        <f>(IF(I$6&gt;0,I$6*datapercentage!F6))</f>
        <v>2.2936222875293382E-2</v>
      </c>
      <c r="J9" s="157">
        <f>(IF(J$6&gt;0,J$6*datapercentage!G6))</f>
        <v>7.826610475617099E-3</v>
      </c>
      <c r="K9" s="168"/>
      <c r="L9" s="70" t="s">
        <v>2</v>
      </c>
      <c r="M9" s="157">
        <f t="shared" si="0"/>
        <v>0.11885631831612622</v>
      </c>
      <c r="N9" s="258">
        <f t="shared" si="1"/>
        <v>0.11885631831612622</v>
      </c>
      <c r="O9" s="32">
        <f t="shared" si="2"/>
        <v>2971.4079579031554</v>
      </c>
      <c r="P9" s="32">
        <f t="shared" si="3"/>
        <v>3565.6895494837868</v>
      </c>
      <c r="Q9" s="32">
        <f t="shared" si="4"/>
        <v>4754.252732645049</v>
      </c>
      <c r="R9" s="254">
        <f>Catch_History!AA37</f>
        <v>5302</v>
      </c>
      <c r="S9" s="210">
        <f>Catch_History!AB37</f>
        <v>2441</v>
      </c>
      <c r="V9" s="156"/>
    </row>
    <row r="10" spans="4:22" x14ac:dyDescent="0.3">
      <c r="E10" s="70" t="s">
        <v>3</v>
      </c>
      <c r="F10" s="157">
        <f>(IF(F$6&gt;0,F$6*datapercentage!C7))</f>
        <v>3.4246502270856835E-2</v>
      </c>
      <c r="G10" s="157">
        <f>(IF(G$6&gt;0,G$6*datapercentage!D7))</f>
        <v>2.1525530970526292E-2</v>
      </c>
      <c r="H10" s="157">
        <f>(IF(H$6&gt;0,H$6*datapercentage!E7))</f>
        <v>1.4817028932934793E-2</v>
      </c>
      <c r="I10" s="157">
        <f>(IF(I$6&gt;0,I$6*datapercentage!F7))</f>
        <v>1.7769400305165026E-2</v>
      </c>
      <c r="J10" s="157">
        <f>(IF(J$6&gt;0,J$6*datapercentage!G7))</f>
        <v>6.2612883804936785E-3</v>
      </c>
      <c r="K10" s="168"/>
      <c r="L10" s="70" t="s">
        <v>3</v>
      </c>
      <c r="M10" s="157">
        <f t="shared" si="0"/>
        <v>9.461975085997662E-2</v>
      </c>
      <c r="N10" s="258">
        <f t="shared" si="1"/>
        <v>9.461975085997662E-2</v>
      </c>
      <c r="O10" s="32">
        <f t="shared" si="2"/>
        <v>2365.4937714994153</v>
      </c>
      <c r="P10" s="32">
        <f t="shared" si="3"/>
        <v>2838.5925257992985</v>
      </c>
      <c r="Q10" s="32">
        <f t="shared" si="4"/>
        <v>3784.790034399065</v>
      </c>
      <c r="R10" s="254">
        <f>Catch_History!AA38</f>
        <v>5140</v>
      </c>
      <c r="S10" s="210">
        <f>Catch_History!AB38</f>
        <v>3826</v>
      </c>
      <c r="V10" s="156"/>
    </row>
    <row r="11" spans="4:22" x14ac:dyDescent="0.3">
      <c r="E11" s="70" t="s">
        <v>13</v>
      </c>
      <c r="F11" s="157">
        <f>(IF(F$6&gt;0,F$6*datapercentage!C8))</f>
        <v>1.7078672234584084E-2</v>
      </c>
      <c r="G11" s="157">
        <f>(IF(G$6&gt;0,G$6*datapercentage!D8))</f>
        <v>8.3829598360578312E-3</v>
      </c>
      <c r="H11" s="157">
        <f>(IF(H$6&gt;0,H$6*datapercentage!E8))</f>
        <v>5.0784990858701654E-3</v>
      </c>
      <c r="I11" s="157">
        <f>(IF(I$6&gt;0,I$6*datapercentage!F8))</f>
        <v>5.5396079458854258E-3</v>
      </c>
      <c r="J11" s="157">
        <f>(IF(J$6&gt;0,J$6*datapercentage!G8))</f>
        <v>7.0439494280553877E-2</v>
      </c>
      <c r="K11" s="168"/>
      <c r="L11" s="70" t="s">
        <v>13</v>
      </c>
      <c r="M11" s="157">
        <f t="shared" si="0"/>
        <v>0.10651923338295138</v>
      </c>
      <c r="N11" s="258">
        <f t="shared" si="1"/>
        <v>0.10651923338295138</v>
      </c>
      <c r="O11" s="32">
        <f t="shared" si="2"/>
        <v>2662.9808345737847</v>
      </c>
      <c r="P11" s="32">
        <f t="shared" si="3"/>
        <v>3195.5770014885416</v>
      </c>
      <c r="Q11" s="32">
        <f t="shared" si="4"/>
        <v>4260.7693353180557</v>
      </c>
      <c r="R11" s="254">
        <f>Catch_History!AA40</f>
        <v>1127</v>
      </c>
      <c r="S11" s="210">
        <f>Catch_History!AB40</f>
        <v>2837</v>
      </c>
      <c r="V11" s="156"/>
    </row>
    <row r="12" spans="4:22" x14ac:dyDescent="0.3">
      <c r="E12" s="70" t="s">
        <v>4</v>
      </c>
      <c r="F12" s="157">
        <f>(IF(F$6&gt;0,F$6*datapercentage!C9))</f>
        <v>2.2031883439509862E-3</v>
      </c>
      <c r="G12" s="157">
        <f>(IF(G$6&gt;0,G$6*datapercentage!D9))</f>
        <v>1.2896280137122136E-3</v>
      </c>
      <c r="H12" s="157">
        <f>(IF(H$6&gt;0,H$6*datapercentage!E9))</f>
        <v>5.0784990858701654E-3</v>
      </c>
      <c r="I12" s="157">
        <f>(IF(I$6&gt;0,I$6*datapercentage!F9))</f>
        <v>4.4131182216749117E-3</v>
      </c>
      <c r="J12" s="157">
        <f>(IF(J$6&gt;0,J$6*datapercentage!G9))</f>
        <v>1.8470800722456351E-2</v>
      </c>
      <c r="K12" s="168"/>
      <c r="L12" s="70" t="s">
        <v>4</v>
      </c>
      <c r="M12" s="157">
        <f t="shared" si="0"/>
        <v>3.1455234387664628E-2</v>
      </c>
      <c r="N12" s="258">
        <f t="shared" si="1"/>
        <v>3.1455234387664628E-2</v>
      </c>
      <c r="O12" s="32">
        <f t="shared" si="2"/>
        <v>786.38085969161568</v>
      </c>
      <c r="P12" s="32">
        <f t="shared" si="3"/>
        <v>943.65703162993884</v>
      </c>
      <c r="Q12" s="32">
        <f t="shared" si="4"/>
        <v>1258.209375506585</v>
      </c>
      <c r="R12" s="254">
        <f>Catch_History!AA42</f>
        <v>386</v>
      </c>
      <c r="S12" s="210">
        <f>Catch_History!AB42</f>
        <v>165</v>
      </c>
      <c r="V12" s="156"/>
    </row>
    <row r="13" spans="4:22" x14ac:dyDescent="0.3">
      <c r="E13" s="70" t="s">
        <v>5</v>
      </c>
      <c r="F13" s="157">
        <f>(IF(F$6&gt;0,F$6*datapercentage!C10))</f>
        <v>3.4137531624348467E-3</v>
      </c>
      <c r="G13" s="157">
        <f>(IF(G$6&gt;0,G$6*datapercentage!D10))</f>
        <v>2.1342701457158775E-3</v>
      </c>
      <c r="H13" s="157">
        <f>(IF(H$6&gt;0,H$6*datapercentage!E10))</f>
        <v>1.3610377550132042E-2</v>
      </c>
      <c r="I13" s="157">
        <f>(IF(I$6&gt;0,I$6*datapercentage!F10))</f>
        <v>3.438894239810799E-2</v>
      </c>
      <c r="J13" s="157">
        <f>(IF(J$6&gt;0,J$6*datapercentage!G10))</f>
        <v>4.6959662853702583E-4</v>
      </c>
      <c r="K13" s="168"/>
      <c r="L13" s="70" t="s">
        <v>5</v>
      </c>
      <c r="M13" s="157">
        <f t="shared" si="0"/>
        <v>5.4016939884927777E-2</v>
      </c>
      <c r="N13" s="258">
        <f t="shared" si="1"/>
        <v>5.4016939884927777E-2</v>
      </c>
      <c r="O13" s="32">
        <f t="shared" si="2"/>
        <v>1350.4234971231945</v>
      </c>
      <c r="P13" s="32">
        <f t="shared" si="3"/>
        <v>1620.5081965478332</v>
      </c>
      <c r="Q13" s="32">
        <f t="shared" si="4"/>
        <v>2160.677595397111</v>
      </c>
      <c r="R13" s="254">
        <f>Catch_History!AA43</f>
        <v>845</v>
      </c>
      <c r="S13" s="210">
        <f>Catch_History!AB43</f>
        <v>171</v>
      </c>
      <c r="V13" s="156"/>
    </row>
    <row r="14" spans="4:22" x14ac:dyDescent="0.3">
      <c r="E14" s="70" t="s">
        <v>6</v>
      </c>
      <c r="F14" s="157">
        <f>(IF(F$6&gt;0,F$6*datapercentage!C11))</f>
        <v>8.4184777638918514E-3</v>
      </c>
      <c r="G14" s="157">
        <f>(IF(G$6&gt;0,G$6*datapercentage!D11))</f>
        <v>6.7646919945982186E-3</v>
      </c>
      <c r="H14" s="157">
        <f>(IF(H$6&gt;0,H$6*datapercentage!E11))</f>
        <v>5.0784990858701654E-3</v>
      </c>
      <c r="I14" s="157">
        <f>(IF(I$6&gt;0,I$6*datapercentage!F11))</f>
        <v>1.4059234256744255E-2</v>
      </c>
      <c r="J14" s="157">
        <f>(IF(J$6&gt;0,J$6*datapercentage!G11))</f>
        <v>7.826610475617099E-3</v>
      </c>
      <c r="K14" s="168"/>
      <c r="L14" s="70" t="s">
        <v>6</v>
      </c>
      <c r="M14" s="157">
        <f t="shared" si="0"/>
        <v>4.2147513576721585E-2</v>
      </c>
      <c r="N14" s="258">
        <f t="shared" si="1"/>
        <v>4.2147513576721585E-2</v>
      </c>
      <c r="O14" s="32">
        <f t="shared" si="2"/>
        <v>1053.6878394180396</v>
      </c>
      <c r="P14" s="32">
        <f t="shared" si="3"/>
        <v>1264.4254073016475</v>
      </c>
      <c r="Q14" s="32">
        <f t="shared" si="4"/>
        <v>1685.9005430688635</v>
      </c>
      <c r="R14" s="254">
        <f>Catch_History!AA45</f>
        <v>756</v>
      </c>
      <c r="S14" s="210">
        <f>Catch_History!AB45</f>
        <v>753</v>
      </c>
      <c r="V14" s="156"/>
    </row>
    <row r="15" spans="4:22" x14ac:dyDescent="0.3">
      <c r="E15" s="70" t="s">
        <v>7</v>
      </c>
      <c r="F15" s="157">
        <f>(IF(F$6&gt;0,F$6*datapercentage!C12))</f>
        <v>6.0145853019172739E-2</v>
      </c>
      <c r="G15" s="157">
        <f>(IF(G$6&gt;0,G$6*datapercentage!D12))</f>
        <v>3.5879158757590353E-2</v>
      </c>
      <c r="H15" s="157">
        <f>(IF(H$6&gt;0,H$6*datapercentage!E12))</f>
        <v>2.9455294698046957E-2</v>
      </c>
      <c r="I15" s="157">
        <f>(IF(I$6&gt;0,I$6*datapercentage!F12))</f>
        <v>1.4403650164747159E-2</v>
      </c>
      <c r="J15" s="157">
        <f>(IF(J$6&gt;0,J$6*datapercentage!G12))</f>
        <v>3.1306441902468396E-2</v>
      </c>
      <c r="K15" s="168"/>
      <c r="L15" s="70" t="s">
        <v>7</v>
      </c>
      <c r="M15" s="157">
        <f t="shared" si="0"/>
        <v>0.17119039854202558</v>
      </c>
      <c r="N15" s="258">
        <f t="shared" si="1"/>
        <v>0.17119039854202558</v>
      </c>
      <c r="O15" s="32">
        <f t="shared" si="2"/>
        <v>4279.7599635506394</v>
      </c>
      <c r="P15" s="32">
        <f t="shared" si="3"/>
        <v>5135.7119562607677</v>
      </c>
      <c r="Q15" s="32">
        <f t="shared" si="4"/>
        <v>6847.6159416810233</v>
      </c>
      <c r="R15" s="254">
        <f>Catch_History!AA46</f>
        <v>4498</v>
      </c>
      <c r="S15" s="210">
        <f>Catch_History!AB46</f>
        <v>3793</v>
      </c>
      <c r="V15" s="156"/>
    </row>
    <row r="16" spans="4:22" x14ac:dyDescent="0.3">
      <c r="E16" s="70" t="s">
        <v>8</v>
      </c>
      <c r="F16" s="157">
        <f>(IF(F$6&gt;0,F$6*datapercentage!C13))</f>
        <v>1.2450391684701457E-2</v>
      </c>
      <c r="G16" s="157">
        <f>(IF(G$6&gt;0,G$6*datapercentage!D13))</f>
        <v>6.4806263044073619E-3</v>
      </c>
      <c r="H16" s="157">
        <f>(IF(H$6&gt;0,H$6*datapercentage!E13))</f>
        <v>5.0784990858701654E-3</v>
      </c>
      <c r="I16" s="157">
        <f>(IF(I$6&gt;0,I$6*datapercentage!F13))</f>
        <v>1.6754870626002779E-3</v>
      </c>
      <c r="J16" s="157">
        <f>(IF(J$6&gt;0,J$6*datapercentage!G13))</f>
        <v>4.3046357615894044E-2</v>
      </c>
      <c r="K16" s="168"/>
      <c r="L16" s="70" t="s">
        <v>8</v>
      </c>
      <c r="M16" s="157">
        <f t="shared" si="0"/>
        <v>6.8731361753473302E-2</v>
      </c>
      <c r="N16" s="258">
        <f t="shared" si="1"/>
        <v>6.8731361753473302E-2</v>
      </c>
      <c r="O16" s="32">
        <f t="shared" si="2"/>
        <v>1718.2840438368326</v>
      </c>
      <c r="P16" s="32">
        <f t="shared" si="3"/>
        <v>2061.9408526041989</v>
      </c>
      <c r="Q16" s="32">
        <f t="shared" si="4"/>
        <v>2749.254470138932</v>
      </c>
      <c r="R16" s="254">
        <f>Catch_History!AA47</f>
        <v>1970</v>
      </c>
      <c r="S16" s="210">
        <f>Catch_History!AB47</f>
        <v>1066</v>
      </c>
      <c r="V16" s="156"/>
    </row>
    <row r="17" spans="5:22" x14ac:dyDescent="0.3">
      <c r="E17" s="70" t="s">
        <v>9</v>
      </c>
      <c r="F17" s="157">
        <f>(IF(F$6&gt;0,F$6*datapercentage!C14))</f>
        <v>7.5070869021855099E-3</v>
      </c>
      <c r="G17" s="157">
        <f>(IF(G$6&gt;0,G$6*datapercentage!D14))</f>
        <v>3.8938153384140296E-3</v>
      </c>
      <c r="H17" s="157">
        <f>(IF(H$6&gt;0,H$6*datapercentage!E14))</f>
        <v>5.0784990858701654E-3</v>
      </c>
      <c r="I17" s="157">
        <f>(IF(I$6&gt;0,I$6*datapercentage!F14))</f>
        <v>9.1493287952787959E-3</v>
      </c>
      <c r="J17" s="157">
        <f>(IF(J$6&gt;0,J$6*datapercentage!G14))</f>
        <v>1.9566526189042747E-2</v>
      </c>
      <c r="K17" s="168"/>
      <c r="L17" s="70" t="s">
        <v>9</v>
      </c>
      <c r="M17" s="157">
        <f t="shared" si="0"/>
        <v>4.5195256310791243E-2</v>
      </c>
      <c r="N17" s="258">
        <f t="shared" si="1"/>
        <v>4.5195256310791243E-2</v>
      </c>
      <c r="O17" s="32">
        <f t="shared" si="2"/>
        <v>1129.8814077697812</v>
      </c>
      <c r="P17" s="32">
        <f t="shared" si="3"/>
        <v>1355.8576893237373</v>
      </c>
      <c r="Q17" s="32">
        <f t="shared" si="4"/>
        <v>1807.8102524316498</v>
      </c>
      <c r="R17" s="254">
        <f>Catch_History!AA48</f>
        <v>1213</v>
      </c>
      <c r="S17" s="210">
        <f>Catch_History!AB48</f>
        <v>829</v>
      </c>
      <c r="V17" s="156"/>
    </row>
    <row r="18" spans="5:22" x14ac:dyDescent="0.3">
      <c r="E18" s="70" t="s">
        <v>10</v>
      </c>
      <c r="F18" s="157">
        <f>(IF(F$6&gt;0,F$6*datapercentage!C15))</f>
        <v>8.7969030999481817E-3</v>
      </c>
      <c r="G18" s="157">
        <f>(IF(G$6&gt;0,G$6*datapercentage!D15))</f>
        <v>5.1449131654248241E-3</v>
      </c>
      <c r="H18" s="157">
        <f>(IF(H$6&gt;0,H$6*datapercentage!E15))</f>
        <v>5.0784990858701654E-3</v>
      </c>
      <c r="I18" s="157">
        <f>(IF(I$6&gt;0,I$6*datapercentage!F15))</f>
        <v>4.392224246398113E-3</v>
      </c>
      <c r="J18" s="157">
        <f>(IF(J$6&gt;0,J$6*datapercentage!G15))</f>
        <v>3.1306441902468396E-2</v>
      </c>
      <c r="K18" s="168"/>
      <c r="L18" s="70" t="s">
        <v>10</v>
      </c>
      <c r="M18" s="157">
        <f t="shared" si="0"/>
        <v>5.4718981500109676E-2</v>
      </c>
      <c r="N18" s="258">
        <f t="shared" si="1"/>
        <v>5.4718981500109676E-2</v>
      </c>
      <c r="O18" s="32">
        <f t="shared" si="2"/>
        <v>1367.9745375027419</v>
      </c>
      <c r="P18" s="32">
        <f t="shared" si="3"/>
        <v>1641.5694450032902</v>
      </c>
      <c r="Q18" s="32">
        <f t="shared" si="4"/>
        <v>2188.7592600043872</v>
      </c>
      <c r="R18" s="254">
        <f>Catch_History!AA49</f>
        <v>1448</v>
      </c>
      <c r="S18" s="210">
        <f>Catch_History!AB49</f>
        <v>665</v>
      </c>
      <c r="V18" s="156"/>
    </row>
    <row r="19" spans="5:22" x14ac:dyDescent="0.3">
      <c r="E19" s="70" t="s">
        <v>11</v>
      </c>
      <c r="F19" s="157">
        <f>(IF(F$6&gt;0,F$6*datapercentage!C16))</f>
        <v>4.4190569085865827E-2</v>
      </c>
      <c r="G19" s="157">
        <f>(IF(G$6&gt;0,G$6*datapercentage!D16))</f>
        <v>2.8189742282158071E-2</v>
      </c>
      <c r="H19" s="157">
        <f>(IF(H$6&gt;0,H$6*datapercentage!E16))</f>
        <v>1.7015003337299401E-2</v>
      </c>
      <c r="I19" s="157">
        <f>(IF(I$6&gt;0,I$6*datapercentage!F16))</f>
        <v>8.6478973410157624E-3</v>
      </c>
      <c r="J19" s="157">
        <f>(IF(J$6&gt;0,J$6*datapercentage!G16))</f>
        <v>7.826610475617099E-3</v>
      </c>
      <c r="K19" s="168"/>
      <c r="L19" s="70" t="s">
        <v>11</v>
      </c>
      <c r="M19" s="157">
        <f t="shared" si="0"/>
        <v>0.10586982252195615</v>
      </c>
      <c r="N19" s="258">
        <f t="shared" si="1"/>
        <v>0.10586982252195615</v>
      </c>
      <c r="O19" s="32">
        <f t="shared" si="2"/>
        <v>2646.7455630489035</v>
      </c>
      <c r="P19" s="32">
        <f t="shared" si="3"/>
        <v>3176.0946756586845</v>
      </c>
      <c r="Q19" s="32">
        <f t="shared" si="4"/>
        <v>4234.7929008782457</v>
      </c>
      <c r="R19" s="254">
        <f>Catch_History!AA50</f>
        <v>3195</v>
      </c>
      <c r="S19" s="210">
        <f>Catch_History!AB50</f>
        <v>5180</v>
      </c>
      <c r="V19" s="156"/>
    </row>
    <row r="20" spans="5:22" x14ac:dyDescent="0.3">
      <c r="E20" s="70" t="s">
        <v>12</v>
      </c>
      <c r="F20" s="157">
        <f>(IF(F$6&gt;0,F$6*datapercentage!C17))</f>
        <v>1.2301795348553662E-2</v>
      </c>
      <c r="G20" s="157">
        <f>(IF(G$6&gt;0,G$6*datapercentage!D17))</f>
        <v>9.7556921740280089E-3</v>
      </c>
      <c r="H20" s="157">
        <f>(IF(H$6&gt;0,H$6*datapercentage!E17))</f>
        <v>9.7994718360950705E-3</v>
      </c>
      <c r="I20" s="157">
        <f>(IF(I$6&gt;0,I$6*datapercentage!F17))</f>
        <v>1.809970187422165E-3</v>
      </c>
      <c r="J20" s="157">
        <f>(IF(J$6&gt;0,J$6*datapercentage!G17))</f>
        <v>1.5653220951234198E-2</v>
      </c>
      <c r="K20" s="168"/>
      <c r="L20" s="70" t="s">
        <v>12</v>
      </c>
      <c r="M20" s="157">
        <f t="shared" si="0"/>
        <v>4.9320150497333105E-2</v>
      </c>
      <c r="N20" s="258">
        <f t="shared" si="1"/>
        <v>4.9320150497333105E-2</v>
      </c>
      <c r="O20" s="32">
        <f t="shared" si="2"/>
        <v>1233.0037624333277</v>
      </c>
      <c r="P20" s="32">
        <f t="shared" si="3"/>
        <v>1479.6045149199931</v>
      </c>
      <c r="Q20" s="32">
        <f t="shared" si="4"/>
        <v>1972.8060198933242</v>
      </c>
      <c r="R20" s="254">
        <f>Catch_History!AA51</f>
        <v>1442</v>
      </c>
      <c r="S20" s="210">
        <f>Catch_History!AB51</f>
        <v>700</v>
      </c>
      <c r="V20" s="156"/>
    </row>
    <row r="21" spans="5:22" ht="15" thickBot="1" x14ac:dyDescent="0.35">
      <c r="E21" s="162" t="s">
        <v>23</v>
      </c>
      <c r="F21" s="165">
        <f>SUM(F8:F20)</f>
        <v>0.26000000000000006</v>
      </c>
      <c r="G21" s="165">
        <f>SUM(G8:G20)</f>
        <v>0.16</v>
      </c>
      <c r="H21" s="165">
        <f>SUM(H8:H20)</f>
        <v>0.14000000000000001</v>
      </c>
      <c r="I21" s="165">
        <f>SUM(I8:I20)</f>
        <v>0.18</v>
      </c>
      <c r="J21" s="165">
        <f>SUM(J8:J20)</f>
        <v>0.26</v>
      </c>
      <c r="K21" s="169"/>
      <c r="L21" s="263"/>
      <c r="M21" s="264">
        <f>SUM(M8:M20)</f>
        <v>1</v>
      </c>
      <c r="N21" s="264">
        <f t="shared" ref="N21:Q21" si="5">SUM(N8:N20)</f>
        <v>1</v>
      </c>
      <c r="O21" s="265">
        <f t="shared" si="5"/>
        <v>25000</v>
      </c>
      <c r="P21" s="265">
        <f t="shared" si="5"/>
        <v>30000</v>
      </c>
      <c r="Q21" s="265">
        <f t="shared" si="5"/>
        <v>39999.999999999993</v>
      </c>
      <c r="R21" s="266">
        <f>SUM(R8:R20)</f>
        <v>28118</v>
      </c>
      <c r="S21" s="267">
        <f>SUM(S8:S20)</f>
        <v>23584</v>
      </c>
    </row>
    <row r="24" spans="5:22" ht="15" thickBot="1" x14ac:dyDescent="0.35">
      <c r="E24" s="345" t="s">
        <v>135</v>
      </c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</row>
    <row r="25" spans="5:22" ht="15" thickBot="1" x14ac:dyDescent="0.35">
      <c r="E25" s="159"/>
      <c r="F25" s="160">
        <v>0.26</v>
      </c>
      <c r="G25" s="160">
        <v>0.16</v>
      </c>
      <c r="H25" s="160">
        <v>0.14000000000000001</v>
      </c>
      <c r="I25" s="160">
        <v>0.18</v>
      </c>
      <c r="J25" s="161">
        <v>0.26</v>
      </c>
      <c r="L25" s="98"/>
      <c r="M25" s="259"/>
      <c r="N25" s="259"/>
      <c r="O25" s="170">
        <v>25000</v>
      </c>
      <c r="P25" s="170">
        <v>30000</v>
      </c>
      <c r="Q25" s="170">
        <v>40000</v>
      </c>
      <c r="R25" s="260"/>
      <c r="S25" s="171"/>
    </row>
    <row r="26" spans="5:22" ht="87" thickBot="1" x14ac:dyDescent="0.35">
      <c r="E26" s="158"/>
      <c r="F26" s="214" t="s">
        <v>132</v>
      </c>
      <c r="G26" s="215" t="s">
        <v>134</v>
      </c>
      <c r="H26" s="163" t="s">
        <v>64</v>
      </c>
      <c r="I26" s="163" t="s">
        <v>65</v>
      </c>
      <c r="J26" s="164" t="s">
        <v>66</v>
      </c>
      <c r="L26" s="261"/>
      <c r="M26" s="255" t="s">
        <v>71</v>
      </c>
      <c r="N26" s="256" t="s">
        <v>73</v>
      </c>
      <c r="O26" s="344" t="s">
        <v>72</v>
      </c>
      <c r="P26" s="344"/>
      <c r="Q26" s="344"/>
      <c r="R26" s="257" t="s">
        <v>127</v>
      </c>
      <c r="S26" s="262" t="s">
        <v>122</v>
      </c>
    </row>
    <row r="27" spans="5:22" ht="43.8" customHeight="1" x14ac:dyDescent="0.3">
      <c r="E27" s="70" t="s">
        <v>1</v>
      </c>
      <c r="F27" s="157">
        <f>(IF(F$25&gt;0,F$25*datapercentage!K5))</f>
        <v>1.0965328794122918E-2</v>
      </c>
      <c r="G27" s="157">
        <f>(IF(G$25&gt;0,G$25*datapercentage!L5))</f>
        <v>6.0605202952899832E-3</v>
      </c>
      <c r="H27" s="157">
        <f>(IF(H$25&gt;0,H$25*datapercentage!M5))</f>
        <v>5.1313154763632145E-3</v>
      </c>
      <c r="I27" s="157">
        <f>(IF(I$25&gt;0,I$25*datapercentage!N5))</f>
        <v>4.0814916199666727E-2</v>
      </c>
      <c r="J27" s="157">
        <f>(IF(J$25&gt;0,J$25*datapercentage!O5))</f>
        <v>3.9602686226378767E-4</v>
      </c>
      <c r="L27" s="70" t="s">
        <v>1</v>
      </c>
      <c r="M27" s="157">
        <f t="shared" ref="M27:M39" si="6">SUM(F27:J27)</f>
        <v>6.336810762770663E-2</v>
      </c>
      <c r="N27" s="258">
        <f>M27*1/M$40</f>
        <v>6.3368107627706616E-2</v>
      </c>
      <c r="O27" s="32">
        <f t="shared" ref="O27:O39" si="7">N27*O$6</f>
        <v>1584.2026906926653</v>
      </c>
      <c r="P27" s="32">
        <f t="shared" ref="P27:P39" si="8">N27*P$6</f>
        <v>1901.0432288311986</v>
      </c>
      <c r="Q27" s="32">
        <f t="shared" ref="Q27:Q39" si="9">N27*Q$6</f>
        <v>2534.7243051082646</v>
      </c>
      <c r="R27" s="254">
        <f>Catch_History!AA36</f>
        <v>796</v>
      </c>
      <c r="S27" s="210">
        <f>Catch_History!AB36</f>
        <v>1158</v>
      </c>
    </row>
    <row r="28" spans="5:22" x14ac:dyDescent="0.3">
      <c r="E28" s="70" t="s">
        <v>2</v>
      </c>
      <c r="F28" s="157">
        <f>(IF(F$25&gt;0,F$25*datapercentage!K6))</f>
        <v>4.279564594158753E-2</v>
      </c>
      <c r="G28" s="157">
        <f>(IF(G$25&gt;0,G$25*datapercentage!L6))</f>
        <v>2.3811882355715935E-2</v>
      </c>
      <c r="H28" s="157">
        <f>(IF(H$25&gt;0,H$25*datapercentage!M6))</f>
        <v>1.9700513653907546E-2</v>
      </c>
      <c r="I28" s="157">
        <f>(IF(I$25&gt;0,I$25*datapercentage!N6))</f>
        <v>2.2936222875293382E-2</v>
      </c>
      <c r="J28" s="157">
        <f>(IF(J$25&gt;0,J$25*datapercentage!O6))</f>
        <v>7.9205372452757529E-3</v>
      </c>
      <c r="L28" s="70" t="s">
        <v>2</v>
      </c>
      <c r="M28" s="157">
        <f t="shared" si="6"/>
        <v>0.11716480207178014</v>
      </c>
      <c r="N28" s="258">
        <f t="shared" ref="N28:N39" si="10">M28*1/M$40</f>
        <v>0.11716480207178011</v>
      </c>
      <c r="O28" s="32">
        <f t="shared" si="7"/>
        <v>2929.1200517945026</v>
      </c>
      <c r="P28" s="32">
        <f t="shared" si="8"/>
        <v>3514.9440621534031</v>
      </c>
      <c r="Q28" s="32">
        <f t="shared" si="9"/>
        <v>4686.5920828712042</v>
      </c>
      <c r="R28" s="254">
        <f>Catch_History!AA37</f>
        <v>5302</v>
      </c>
      <c r="S28" s="210">
        <f>Catch_History!AB37</f>
        <v>2441</v>
      </c>
    </row>
    <row r="29" spans="5:22" x14ac:dyDescent="0.3">
      <c r="E29" s="70" t="s">
        <v>3</v>
      </c>
      <c r="F29" s="157">
        <f>(IF(F$25&gt;0,F$25*datapercentage!K7))</f>
        <v>3.3367676043719763E-2</v>
      </c>
      <c r="G29" s="157">
        <f>(IF(G$25&gt;0,G$25*datapercentage!L7))</f>
        <v>2.356659355173471E-2</v>
      </c>
      <c r="H29" s="157">
        <f>(IF(H$25&gt;0,H$25*datapercentage!M7))</f>
        <v>1.4817028932934793E-2</v>
      </c>
      <c r="I29" s="157">
        <f>(IF(I$25&gt;0,I$25*datapercentage!N7))</f>
        <v>1.7769400305165026E-2</v>
      </c>
      <c r="J29" s="157">
        <f>(IF(J$25&gt;0,J$25*datapercentage!O7))</f>
        <v>6.7324566584843907E-3</v>
      </c>
      <c r="L29" s="70" t="s">
        <v>3</v>
      </c>
      <c r="M29" s="157">
        <f t="shared" si="6"/>
        <v>9.6253155492038681E-2</v>
      </c>
      <c r="N29" s="258">
        <f t="shared" si="10"/>
        <v>9.6253155492038653E-2</v>
      </c>
      <c r="O29" s="32">
        <f t="shared" si="7"/>
        <v>2406.3288873009665</v>
      </c>
      <c r="P29" s="32">
        <f t="shared" si="8"/>
        <v>2887.5946647611595</v>
      </c>
      <c r="Q29" s="32">
        <f t="shared" si="9"/>
        <v>3850.126219681546</v>
      </c>
      <c r="R29" s="254">
        <f>Catch_History!AA38</f>
        <v>5140</v>
      </c>
      <c r="S29" s="210">
        <f>Catch_History!AB38</f>
        <v>3826</v>
      </c>
    </row>
    <row r="30" spans="5:22" x14ac:dyDescent="0.3">
      <c r="E30" s="70" t="s">
        <v>13</v>
      </c>
      <c r="F30" s="157">
        <f>(IF(F$25&gt;0,F$25*datapercentage!K8))</f>
        <v>9.8996595592187788E-3</v>
      </c>
      <c r="G30" s="157">
        <f>(IF(G$25&gt;0,G$25*datapercentage!L8))</f>
        <v>5.6454161654756006E-3</v>
      </c>
      <c r="H30" s="157">
        <f>(IF(H$25&gt;0,H$25*datapercentage!M8))</f>
        <v>5.0784990858701654E-3</v>
      </c>
      <c r="I30" s="157">
        <f>(IF(I$25&gt;0,I$25*datapercentage!N8))</f>
        <v>5.5396079458854258E-3</v>
      </c>
      <c r="J30" s="157">
        <f>(IF(J$25&gt;0,J$25*datapercentage!O8))</f>
        <v>7.0492781482954209E-2</v>
      </c>
      <c r="L30" s="70" t="s">
        <v>13</v>
      </c>
      <c r="M30" s="157">
        <f t="shared" si="6"/>
        <v>9.6655964239404174E-2</v>
      </c>
      <c r="N30" s="258">
        <f t="shared" si="10"/>
        <v>9.6655964239404146E-2</v>
      </c>
      <c r="O30" s="32">
        <f t="shared" si="7"/>
        <v>2416.3991059851037</v>
      </c>
      <c r="P30" s="32">
        <f t="shared" si="8"/>
        <v>2899.6789271821244</v>
      </c>
      <c r="Q30" s="32">
        <f t="shared" si="9"/>
        <v>3866.2385695761659</v>
      </c>
      <c r="R30" s="254">
        <f>Catch_History!AA40</f>
        <v>1127</v>
      </c>
      <c r="S30" s="210">
        <f>Catch_History!AB40</f>
        <v>2837</v>
      </c>
    </row>
    <row r="31" spans="5:22" x14ac:dyDescent="0.3">
      <c r="E31" s="70" t="s">
        <v>4</v>
      </c>
      <c r="F31" s="157">
        <f>(IF(F$25&gt;0,F$25*datapercentage!K9))</f>
        <v>1.8576419996416413E-3</v>
      </c>
      <c r="G31" s="157">
        <f>(IF(G$25&gt;0,G$25*datapercentage!L9))</f>
        <v>1.0679497157951839E-3</v>
      </c>
      <c r="H31" s="157">
        <f>(IF(H$25&gt;0,H$25*datapercentage!M9))</f>
        <v>5.0784990858701654E-3</v>
      </c>
      <c r="I31" s="157">
        <f>(IF(I$25&gt;0,I$25*datapercentage!N9))</f>
        <v>4.4131182216749117E-3</v>
      </c>
      <c r="J31" s="157">
        <f>(IF(J$25&gt;0,J$25*datapercentage!O9))</f>
        <v>1.8217235664134232E-2</v>
      </c>
      <c r="L31" s="70" t="s">
        <v>4</v>
      </c>
      <c r="M31" s="157">
        <f t="shared" si="6"/>
        <v>3.0634444687116135E-2</v>
      </c>
      <c r="N31" s="258">
        <f t="shared" si="10"/>
        <v>3.0634444687116128E-2</v>
      </c>
      <c r="O31" s="32">
        <f t="shared" si="7"/>
        <v>765.86111717790322</v>
      </c>
      <c r="P31" s="32">
        <f t="shared" si="8"/>
        <v>919.0333406134838</v>
      </c>
      <c r="Q31" s="32">
        <f t="shared" si="9"/>
        <v>1225.3777874846451</v>
      </c>
      <c r="R31" s="254">
        <f>Catch_History!AA42</f>
        <v>386</v>
      </c>
      <c r="S31" s="210">
        <f>Catch_History!AB42</f>
        <v>165</v>
      </c>
    </row>
    <row r="32" spans="5:22" x14ac:dyDescent="0.3">
      <c r="E32" s="70" t="s">
        <v>5</v>
      </c>
      <c r="F32" s="157">
        <f>(IF(F$25&gt;0,F$25*datapercentage!K10))</f>
        <v>2.4574449023472499E-3</v>
      </c>
      <c r="G32" s="157">
        <f>(IF(G$25&gt;0,G$25*datapercentage!L10))</f>
        <v>7.4718743366588838E-3</v>
      </c>
      <c r="H32" s="157">
        <f>(IF(H$25&gt;0,H$25*datapercentage!M10))</f>
        <v>1.3610377550132042E-2</v>
      </c>
      <c r="I32" s="157">
        <f>(IF(I$25&gt;0,I$25*datapercentage!N10))</f>
        <v>3.438894239810799E-2</v>
      </c>
      <c r="J32" s="157">
        <f>(IF(J$25&gt;0,J$25*datapercentage!O10))</f>
        <v>4.6203133930775231E-4</v>
      </c>
      <c r="L32" s="70" t="s">
        <v>5</v>
      </c>
      <c r="M32" s="157">
        <f t="shared" si="6"/>
        <v>5.8390670526553917E-2</v>
      </c>
      <c r="N32" s="258">
        <f t="shared" si="10"/>
        <v>5.8390670526553903E-2</v>
      </c>
      <c r="O32" s="32">
        <f t="shared" si="7"/>
        <v>1459.7667631638476</v>
      </c>
      <c r="P32" s="32">
        <f t="shared" si="8"/>
        <v>1751.7201157966172</v>
      </c>
      <c r="Q32" s="32">
        <f t="shared" si="9"/>
        <v>2335.6268210621561</v>
      </c>
      <c r="R32" s="254">
        <f>Catch_History!AA56</f>
        <v>2752</v>
      </c>
      <c r="S32" s="210">
        <f>Catch_History!AB56</f>
        <v>3030</v>
      </c>
    </row>
    <row r="33" spans="5:19" x14ac:dyDescent="0.3">
      <c r="E33" s="70" t="s">
        <v>6</v>
      </c>
      <c r="F33" s="157">
        <f>(IF(F$25&gt;0,F$25*datapercentage!K11))</f>
        <v>8.8747536283820105E-3</v>
      </c>
      <c r="G33" s="157">
        <f>(IF(G$25&gt;0,G$25*datapercentage!L11))</f>
        <v>6.2529776645675605E-3</v>
      </c>
      <c r="H33" s="157">
        <f>(IF(H$25&gt;0,H$25*datapercentage!M11))</f>
        <v>5.0784990858701654E-3</v>
      </c>
      <c r="I33" s="157">
        <f>(IF(I$25&gt;0,I$25*datapercentage!N11))</f>
        <v>1.4059234256744255E-2</v>
      </c>
      <c r="J33" s="157">
        <f>(IF(J$25&gt;0,J$25*datapercentage!O11))</f>
        <v>7.9205372452757529E-3</v>
      </c>
      <c r="L33" s="70" t="s">
        <v>6</v>
      </c>
      <c r="M33" s="157">
        <f t="shared" si="6"/>
        <v>4.2186001880839749E-2</v>
      </c>
      <c r="N33" s="258">
        <f t="shared" si="10"/>
        <v>4.2186001880839742E-2</v>
      </c>
      <c r="O33" s="32">
        <f t="shared" si="7"/>
        <v>1054.6500470209935</v>
      </c>
      <c r="P33" s="32">
        <f t="shared" si="8"/>
        <v>1265.5800564251922</v>
      </c>
      <c r="Q33" s="32">
        <f t="shared" si="9"/>
        <v>1687.4400752335896</v>
      </c>
      <c r="R33" s="254">
        <f>Catch_History!AA45</f>
        <v>756</v>
      </c>
      <c r="S33" s="210">
        <f>Catch_History!AB45</f>
        <v>753</v>
      </c>
    </row>
    <row r="34" spans="5:19" x14ac:dyDescent="0.3">
      <c r="E34" s="70" t="s">
        <v>7</v>
      </c>
      <c r="F34" s="157">
        <f>(IF(F$25&gt;0,F$25*datapercentage!K12))</f>
        <v>6.8214477692169859E-2</v>
      </c>
      <c r="G34" s="157">
        <f>(IF(G$25&gt;0,G$25*datapercentage!L12))</f>
        <v>3.9446213354088544E-2</v>
      </c>
      <c r="H34" s="157">
        <f>(IF(H$25&gt;0,H$25*datapercentage!M12))</f>
        <v>2.9455294698046957E-2</v>
      </c>
      <c r="I34" s="157">
        <f>(IF(I$25&gt;0,I$25*datapercentage!N12))</f>
        <v>1.4403650164747159E-2</v>
      </c>
      <c r="J34" s="157">
        <f>(IF(J$25&gt;0,J$25*datapercentage!O12))</f>
        <v>3.1682148981103019E-2</v>
      </c>
      <c r="L34" s="70" t="s">
        <v>7</v>
      </c>
      <c r="M34" s="157">
        <f t="shared" si="6"/>
        <v>0.18320178489015554</v>
      </c>
      <c r="N34" s="258">
        <f t="shared" si="10"/>
        <v>0.18320178489015551</v>
      </c>
      <c r="O34" s="32">
        <f t="shared" si="7"/>
        <v>4580.0446222538876</v>
      </c>
      <c r="P34" s="32">
        <f t="shared" si="8"/>
        <v>5496.0535467046657</v>
      </c>
      <c r="Q34" s="32">
        <f t="shared" si="9"/>
        <v>7328.0713956062209</v>
      </c>
      <c r="R34" s="254">
        <f>Catch_History!AA46</f>
        <v>4498</v>
      </c>
      <c r="S34" s="210">
        <f>Catch_History!AB46</f>
        <v>3793</v>
      </c>
    </row>
    <row r="35" spans="5:19" x14ac:dyDescent="0.3">
      <c r="E35" s="70" t="s">
        <v>8</v>
      </c>
      <c r="F35" s="157">
        <f>(IF(F$25&gt;0,F$25*datapercentage!K13))</f>
        <v>1.0441229170399571E-2</v>
      </c>
      <c r="G35" s="157">
        <f>(IF(G$25&gt;0,G$25*datapercentage!L13))</f>
        <v>1.4792801717021628E-3</v>
      </c>
      <c r="H35" s="157">
        <f>(IF(H$25&gt;0,H$25*datapercentage!M13))</f>
        <v>5.0784990858701654E-3</v>
      </c>
      <c r="I35" s="157">
        <f>(IF(I$25&gt;0,I$25*datapercentage!N13))</f>
        <v>1.6754870626002779E-3</v>
      </c>
      <c r="J35" s="157">
        <f>(IF(J$25&gt;0,J$25*datapercentage!O13))</f>
        <v>4.449538245145554E-2</v>
      </c>
      <c r="L35" s="70" t="s">
        <v>8</v>
      </c>
      <c r="M35" s="157">
        <f t="shared" si="6"/>
        <v>6.3169877942027719E-2</v>
      </c>
      <c r="N35" s="258">
        <f t="shared" si="10"/>
        <v>6.3169877942027705E-2</v>
      </c>
      <c r="O35" s="32">
        <f t="shared" si="7"/>
        <v>1579.2469485506927</v>
      </c>
      <c r="P35" s="32">
        <f t="shared" si="8"/>
        <v>1895.0963382608311</v>
      </c>
      <c r="Q35" s="32">
        <f t="shared" si="9"/>
        <v>2526.7951176811084</v>
      </c>
      <c r="R35" s="254">
        <f>Catch_History!AA47</f>
        <v>1970</v>
      </c>
      <c r="S35" s="210">
        <f>Catch_History!AB47</f>
        <v>1066</v>
      </c>
    </row>
    <row r="36" spans="5:19" x14ac:dyDescent="0.3">
      <c r="E36" s="70" t="s">
        <v>9</v>
      </c>
      <c r="F36" s="157">
        <f>(IF(F$25&gt;0,F$25*datapercentage!K14))</f>
        <v>5.6486292779071856E-3</v>
      </c>
      <c r="G36" s="157">
        <f>(IF(G$25&gt;0,G$25*datapercentage!L14))</f>
        <v>3.6453689945517582E-3</v>
      </c>
      <c r="H36" s="157">
        <f>(IF(H$25&gt;0,H$25*datapercentage!M14))</f>
        <v>5.0784990858701654E-3</v>
      </c>
      <c r="I36" s="157">
        <f>(IF(I$25&gt;0,I$25*datapercentage!N14))</f>
        <v>9.1493287952787959E-3</v>
      </c>
      <c r="J36" s="157">
        <f>(IF(J$25&gt;0,J$25*datapercentage!O14))</f>
        <v>1.9009289388661806E-2</v>
      </c>
      <c r="L36" s="70" t="s">
        <v>9</v>
      </c>
      <c r="M36" s="157">
        <f t="shared" si="6"/>
        <v>4.253111554226971E-2</v>
      </c>
      <c r="N36" s="258">
        <f t="shared" si="10"/>
        <v>4.2531115542269703E-2</v>
      </c>
      <c r="O36" s="32">
        <f t="shared" si="7"/>
        <v>1063.2778885567425</v>
      </c>
      <c r="P36" s="32">
        <f t="shared" si="8"/>
        <v>1275.933466268091</v>
      </c>
      <c r="Q36" s="32">
        <f t="shared" si="9"/>
        <v>1701.2446216907881</v>
      </c>
      <c r="R36" s="254">
        <f>Catch_History!AA48</f>
        <v>1213</v>
      </c>
      <c r="S36" s="210">
        <f>Catch_History!AB48</f>
        <v>829</v>
      </c>
    </row>
    <row r="37" spans="5:19" x14ac:dyDescent="0.3">
      <c r="E37" s="70" t="s">
        <v>10</v>
      </c>
      <c r="F37" s="157">
        <f>(IF(F$25&gt;0,F$25*datapercentage!K15))</f>
        <v>5.9572657229887121E-3</v>
      </c>
      <c r="G37" s="157">
        <f>(IF(G$25&gt;0,G$25*datapercentage!L15))</f>
        <v>3.0340338215523949E-3</v>
      </c>
      <c r="H37" s="157">
        <f>(IF(H$25&gt;0,H$25*datapercentage!M15))</f>
        <v>5.0784990858701654E-3</v>
      </c>
      <c r="I37" s="157">
        <f>(IF(I$25&gt;0,I$25*datapercentage!N15))</f>
        <v>4.392224246398113E-3</v>
      </c>
      <c r="J37" s="157">
        <f>(IF(J$25&gt;0,J$25*datapercentage!O15))</f>
        <v>2.9702014669784074E-2</v>
      </c>
      <c r="L37" s="70" t="s">
        <v>10</v>
      </c>
      <c r="M37" s="157">
        <f t="shared" si="6"/>
        <v>4.8164037546593458E-2</v>
      </c>
      <c r="N37" s="258">
        <f t="shared" si="10"/>
        <v>4.8164037546593444E-2</v>
      </c>
      <c r="O37" s="32">
        <f t="shared" si="7"/>
        <v>1204.1009386648361</v>
      </c>
      <c r="P37" s="32">
        <f t="shared" si="8"/>
        <v>1444.9211263978034</v>
      </c>
      <c r="Q37" s="32">
        <f t="shared" si="9"/>
        <v>1926.5615018637377</v>
      </c>
      <c r="R37" s="254">
        <f>Catch_History!AA49</f>
        <v>1448</v>
      </c>
      <c r="S37" s="210">
        <f>Catch_History!AB49</f>
        <v>665</v>
      </c>
    </row>
    <row r="38" spans="5:19" x14ac:dyDescent="0.3">
      <c r="E38" s="70" t="s">
        <v>11</v>
      </c>
      <c r="F38" s="157">
        <f>(IF(F$25&gt;0,F$25*datapercentage!K16))</f>
        <v>4.3104282386669059E-2</v>
      </c>
      <c r="G38" s="157">
        <f>(IF(G$25&gt;0,G$25*datapercentage!L16))</f>
        <v>2.5321351918677328E-2</v>
      </c>
      <c r="H38" s="157">
        <f>(IF(H$25&gt;0,H$25*datapercentage!M16))</f>
        <v>1.7015003337299401E-2</v>
      </c>
      <c r="I38" s="157">
        <f>(IF(I$25&gt;0,I$25*datapercentage!N16))</f>
        <v>8.6478973410157624E-3</v>
      </c>
      <c r="J38" s="157">
        <f>(IF(J$25&gt;0,J$25*datapercentage!O16))</f>
        <v>9.108617832067116E-3</v>
      </c>
      <c r="L38" s="70" t="s">
        <v>11</v>
      </c>
      <c r="M38" s="157">
        <f t="shared" si="6"/>
        <v>0.10319715281572867</v>
      </c>
      <c r="N38" s="258">
        <f t="shared" si="10"/>
        <v>0.10319715281572864</v>
      </c>
      <c r="O38" s="32">
        <f t="shared" si="7"/>
        <v>2579.928820393216</v>
      </c>
      <c r="P38" s="32">
        <f t="shared" si="8"/>
        <v>3095.9145844718591</v>
      </c>
      <c r="Q38" s="32">
        <f t="shared" si="9"/>
        <v>4127.8861126291458</v>
      </c>
      <c r="R38" s="254">
        <f>Catch_History!AA50</f>
        <v>3195</v>
      </c>
      <c r="S38" s="210">
        <f>Catch_History!AB50</f>
        <v>5180</v>
      </c>
    </row>
    <row r="39" spans="5:19" x14ac:dyDescent="0.3">
      <c r="E39" s="70" t="s">
        <v>12</v>
      </c>
      <c r="F39" s="157">
        <f>(IF(F$25&gt;0,F$25*datapercentage!K17))</f>
        <v>1.6415964880845728E-2</v>
      </c>
      <c r="G39" s="157">
        <f>(IF(G$25&gt;0,G$25*datapercentage!L17))</f>
        <v>1.3196537654189957E-2</v>
      </c>
      <c r="H39" s="157">
        <f>(IF(H$25&gt;0,H$25*datapercentage!M17))</f>
        <v>9.7994718360950705E-3</v>
      </c>
      <c r="I39" s="157">
        <f>(IF(I$25&gt;0,I$25*datapercentage!N17))</f>
        <v>1.809970187422165E-3</v>
      </c>
      <c r="J39" s="157">
        <f>(IF(J$25&gt;0,J$25*datapercentage!O17))</f>
        <v>1.386094017923257E-2</v>
      </c>
      <c r="L39" s="70" t="s">
        <v>12</v>
      </c>
      <c r="M39" s="157">
        <f t="shared" si="6"/>
        <v>5.5082884737785484E-2</v>
      </c>
      <c r="N39" s="258">
        <f t="shared" si="10"/>
        <v>5.508288473778547E-2</v>
      </c>
      <c r="O39" s="32">
        <f t="shared" si="7"/>
        <v>1377.0721184446368</v>
      </c>
      <c r="P39" s="32">
        <f t="shared" si="8"/>
        <v>1652.4865421335642</v>
      </c>
      <c r="Q39" s="32">
        <f t="shared" si="9"/>
        <v>2203.3153895114187</v>
      </c>
      <c r="R39" s="254">
        <f>Catch_History!AA51</f>
        <v>1442</v>
      </c>
      <c r="S39" s="210">
        <f>Catch_History!AB51</f>
        <v>700</v>
      </c>
    </row>
    <row r="40" spans="5:19" ht="15" thickBot="1" x14ac:dyDescent="0.35">
      <c r="E40" s="162" t="s">
        <v>23</v>
      </c>
      <c r="F40" s="165">
        <f>SUM(F27:F39)</f>
        <v>0.26</v>
      </c>
      <c r="G40" s="165">
        <f>SUM(G27:G39)</f>
        <v>0.16</v>
      </c>
      <c r="H40" s="165">
        <f>SUM(H27:H39)</f>
        <v>0.14000000000000001</v>
      </c>
      <c r="I40" s="165">
        <f>SUM(I27:I39)</f>
        <v>0.18</v>
      </c>
      <c r="J40" s="165">
        <f>SUM(J27:J39)</f>
        <v>0.26</v>
      </c>
      <c r="L40" s="263"/>
      <c r="M40" s="264">
        <f t="shared" ref="M40" si="11">SUM(M27:M39)</f>
        <v>1.0000000000000002</v>
      </c>
      <c r="N40" s="264">
        <f>SUM(N27:N39)</f>
        <v>0.99999999999999967</v>
      </c>
      <c r="O40" s="265">
        <f t="shared" ref="O40" si="12">SUM(O27:O39)</f>
        <v>24999.999999999993</v>
      </c>
      <c r="P40" s="265">
        <f t="shared" ref="P40" si="13">SUM(P27:P39)</f>
        <v>29999.999999999993</v>
      </c>
      <c r="Q40" s="265">
        <f t="shared" ref="Q40" si="14">SUM(Q27:Q39)</f>
        <v>39999.999999999985</v>
      </c>
      <c r="R40" s="266">
        <f>SUM(R27:R39)</f>
        <v>30025</v>
      </c>
      <c r="S40" s="267">
        <f>SUM(S27:S39)</f>
        <v>26443</v>
      </c>
    </row>
    <row r="41" spans="5:19" ht="15" thickBot="1" x14ac:dyDescent="0.35"/>
    <row r="42" spans="5:19" ht="15" thickBot="1" x14ac:dyDescent="0.35">
      <c r="E42" s="276">
        <v>0.42</v>
      </c>
      <c r="F42" s="160">
        <v>0.26</v>
      </c>
      <c r="G42" s="160">
        <v>0.16</v>
      </c>
      <c r="H42" s="160">
        <v>0.14000000000000001</v>
      </c>
      <c r="I42" s="160">
        <v>0.18</v>
      </c>
      <c r="J42" s="161">
        <v>0.26</v>
      </c>
    </row>
    <row r="43" spans="5:19" ht="86.4" x14ac:dyDescent="0.3">
      <c r="E43" s="158"/>
      <c r="F43" s="163" t="s">
        <v>63</v>
      </c>
      <c r="G43" s="163" t="s">
        <v>136</v>
      </c>
      <c r="H43" s="163" t="s">
        <v>64</v>
      </c>
      <c r="I43" s="163" t="s">
        <v>65</v>
      </c>
      <c r="J43" s="164" t="s">
        <v>66</v>
      </c>
    </row>
    <row r="44" spans="5:19" x14ac:dyDescent="0.3">
      <c r="E44" s="70" t="s">
        <v>1</v>
      </c>
      <c r="F44" s="284">
        <f>(IF(F$25&gt;0,F$25*datapercentage!K5))</f>
        <v>1.0965328794122918E-2</v>
      </c>
      <c r="G44" s="284">
        <f>(IF(E$42&gt;0,E$42*datapercentage!D21))</f>
        <v>0</v>
      </c>
      <c r="H44" s="284">
        <v>5.1313154763632145E-3</v>
      </c>
      <c r="I44" s="284">
        <v>4.0814916199666727E-2</v>
      </c>
      <c r="J44" s="284">
        <v>3.9602686226378767E-4</v>
      </c>
      <c r="M44" s="156">
        <f>SUM(G44:J44)</f>
        <v>4.6342258538293733E-2</v>
      </c>
      <c r="N44" s="282">
        <f>M44*1/M$57</f>
        <v>7.9900445755678853E-2</v>
      </c>
    </row>
    <row r="45" spans="5:19" x14ac:dyDescent="0.3">
      <c r="E45" s="70" t="s">
        <v>2</v>
      </c>
      <c r="F45" s="284">
        <f>(IF(F$25&gt;0,F$25*datapercentage!K6))</f>
        <v>4.279564594158753E-2</v>
      </c>
      <c r="G45" s="284">
        <f>(IF(E$42&gt;0,E$42*datapercentage!D22))</f>
        <v>0</v>
      </c>
      <c r="H45" s="284">
        <v>1.9700513653907546E-2</v>
      </c>
      <c r="I45" s="284">
        <v>2.2936222875293382E-2</v>
      </c>
      <c r="J45" s="284">
        <v>7.9205372452757529E-3</v>
      </c>
      <c r="M45" s="156">
        <f t="shared" ref="M45:M56" si="15">SUM(G45:J45)</f>
        <v>5.0557273774476677E-2</v>
      </c>
      <c r="N45" s="282">
        <f t="shared" ref="N45:N56" si="16">M45*1/M$57</f>
        <v>8.7167713404270139E-2</v>
      </c>
    </row>
    <row r="46" spans="5:19" x14ac:dyDescent="0.3">
      <c r="E46" s="70" t="s">
        <v>3</v>
      </c>
      <c r="F46" s="284">
        <f>(IF(F$25&gt;0,F$25*datapercentage!K7))</f>
        <v>3.3367676043719763E-2</v>
      </c>
      <c r="G46" s="284">
        <f>(IF(E$42&gt;0,E$42*datapercentage!D23))</f>
        <v>0</v>
      </c>
      <c r="H46" s="284">
        <v>1.4817028932934793E-2</v>
      </c>
      <c r="I46" s="284">
        <v>1.7769400305165026E-2</v>
      </c>
      <c r="J46" s="284">
        <v>6.7324566584843907E-3</v>
      </c>
      <c r="M46" s="156">
        <f t="shared" si="15"/>
        <v>3.9318885896584208E-2</v>
      </c>
      <c r="N46" s="282">
        <f t="shared" si="16"/>
        <v>6.7791182580317605E-2</v>
      </c>
    </row>
    <row r="47" spans="5:19" x14ac:dyDescent="0.3">
      <c r="E47" s="70" t="s">
        <v>13</v>
      </c>
      <c r="F47" s="284">
        <f>(IF(F$25&gt;0,F$25*datapercentage!K8))</f>
        <v>9.8996595592187788E-3</v>
      </c>
      <c r="G47" s="284">
        <f>(IF(E$42&gt;0,E$42*datapercentage!D24))</f>
        <v>0</v>
      </c>
      <c r="H47" s="284">
        <v>5.0784990858701654E-3</v>
      </c>
      <c r="I47" s="284">
        <v>5.5396079458854258E-3</v>
      </c>
      <c r="J47" s="284">
        <v>7.0492781482954209E-2</v>
      </c>
      <c r="M47" s="156">
        <f t="shared" si="15"/>
        <v>8.1110888514709795E-2</v>
      </c>
      <c r="N47" s="282">
        <f t="shared" si="16"/>
        <v>0.13984635950812035</v>
      </c>
    </row>
    <row r="48" spans="5:19" x14ac:dyDescent="0.3">
      <c r="E48" s="70" t="s">
        <v>4</v>
      </c>
      <c r="F48" s="284">
        <f>(IF(F$25&gt;0,F$25*datapercentage!K9))</f>
        <v>1.8576419996416413E-3</v>
      </c>
      <c r="G48" s="284">
        <f>(IF(E$42&gt;0,E$42*datapercentage!D25))</f>
        <v>0</v>
      </c>
      <c r="H48" s="284">
        <v>5.0784990858701654E-3</v>
      </c>
      <c r="I48" s="284">
        <v>4.4131182216749117E-3</v>
      </c>
      <c r="J48" s="284">
        <v>1.8217235664134232E-2</v>
      </c>
      <c r="M48" s="156">
        <f t="shared" si="15"/>
        <v>2.7708852971679309E-2</v>
      </c>
      <c r="N48" s="282">
        <f t="shared" si="16"/>
        <v>4.7773884433929846E-2</v>
      </c>
    </row>
    <row r="49" spans="5:14" x14ac:dyDescent="0.3">
      <c r="E49" s="70" t="s">
        <v>5</v>
      </c>
      <c r="F49" s="284">
        <f>(IF(F$25&gt;0,F$25*datapercentage!K10))</f>
        <v>2.4574449023472499E-3</v>
      </c>
      <c r="G49" s="284">
        <f>(IF(E$42&gt;0,E$42*datapercentage!D26))</f>
        <v>0</v>
      </c>
      <c r="H49" s="284">
        <v>1.3610377550132042E-2</v>
      </c>
      <c r="I49" s="284">
        <v>3.438894239810799E-2</v>
      </c>
      <c r="J49" s="284">
        <v>4.6203133930775231E-4</v>
      </c>
      <c r="M49" s="156">
        <f t="shared" si="15"/>
        <v>4.8461351287547784E-2</v>
      </c>
      <c r="N49" s="282">
        <f t="shared" si="16"/>
        <v>8.3554053944047912E-2</v>
      </c>
    </row>
    <row r="50" spans="5:14" x14ac:dyDescent="0.3">
      <c r="E50" s="70" t="s">
        <v>6</v>
      </c>
      <c r="F50" s="284">
        <f>(IF(F$25&gt;0,F$25*datapercentage!K11))</f>
        <v>8.8747536283820105E-3</v>
      </c>
      <c r="G50" s="284">
        <f>(IF(E$42&gt;0,E$42*datapercentage!D27))</f>
        <v>0</v>
      </c>
      <c r="H50" s="284">
        <v>5.0784990858701654E-3</v>
      </c>
      <c r="I50" s="284">
        <v>1.4059234256744255E-2</v>
      </c>
      <c r="J50" s="284">
        <v>7.9205372452757529E-3</v>
      </c>
      <c r="M50" s="156">
        <f t="shared" si="15"/>
        <v>2.7058270587890173E-2</v>
      </c>
      <c r="N50" s="282">
        <f t="shared" si="16"/>
        <v>4.6652190668776163E-2</v>
      </c>
    </row>
    <row r="51" spans="5:14" x14ac:dyDescent="0.3">
      <c r="E51" s="70" t="s">
        <v>7</v>
      </c>
      <c r="F51" s="284">
        <f>(IF(F$25&gt;0,F$25*datapercentage!K12))</f>
        <v>6.8214477692169859E-2</v>
      </c>
      <c r="G51" s="284">
        <f>(IF(E$42&gt;0,E$42*datapercentage!D28))</f>
        <v>0</v>
      </c>
      <c r="H51" s="284">
        <v>2.9455294698046957E-2</v>
      </c>
      <c r="I51" s="284">
        <v>1.4403650164747159E-2</v>
      </c>
      <c r="J51" s="284">
        <v>3.1682148981103019E-2</v>
      </c>
      <c r="M51" s="156">
        <f t="shared" si="15"/>
        <v>7.5541093843897136E-2</v>
      </c>
      <c r="N51" s="282">
        <f t="shared" si="16"/>
        <v>0.13024326524809851</v>
      </c>
    </row>
    <row r="52" spans="5:14" x14ac:dyDescent="0.3">
      <c r="E52" s="70" t="s">
        <v>8</v>
      </c>
      <c r="F52" s="284">
        <f>(IF(F$25&gt;0,F$25*datapercentage!K13))</f>
        <v>1.0441229170399571E-2</v>
      </c>
      <c r="G52" s="284">
        <f>(IF(E$42&gt;0,E$42*datapercentage!D29))</f>
        <v>0</v>
      </c>
      <c r="H52" s="284">
        <v>5.0784990858701654E-3</v>
      </c>
      <c r="I52" s="284">
        <v>1.6754870626002779E-3</v>
      </c>
      <c r="J52" s="284">
        <v>4.449538245145554E-2</v>
      </c>
      <c r="M52" s="156">
        <f t="shared" si="15"/>
        <v>5.124936859992598E-2</v>
      </c>
      <c r="N52" s="282">
        <f t="shared" si="16"/>
        <v>8.8360980344699969E-2</v>
      </c>
    </row>
    <row r="53" spans="5:14" x14ac:dyDescent="0.3">
      <c r="E53" s="70" t="s">
        <v>9</v>
      </c>
      <c r="F53" s="284">
        <f>(IF(F$25&gt;0,F$25*datapercentage!K14))</f>
        <v>5.6486292779071856E-3</v>
      </c>
      <c r="G53" s="284">
        <f>(IF(E$42&gt;0,E$42*datapercentage!D30))</f>
        <v>0</v>
      </c>
      <c r="H53" s="284">
        <v>5.0784990858701654E-3</v>
      </c>
      <c r="I53" s="284">
        <v>9.1493287952787959E-3</v>
      </c>
      <c r="J53" s="284">
        <v>1.9009289388661806E-2</v>
      </c>
      <c r="M53" s="156">
        <f t="shared" si="15"/>
        <v>3.3237117269810768E-2</v>
      </c>
      <c r="N53" s="282">
        <f t="shared" si="16"/>
        <v>5.7305374603122017E-2</v>
      </c>
    </row>
    <row r="54" spans="5:14" x14ac:dyDescent="0.3">
      <c r="E54" s="70" t="s">
        <v>10</v>
      </c>
      <c r="F54" s="284">
        <f>(IF(F$25&gt;0,F$25*datapercentage!K15))</f>
        <v>5.9572657229887121E-3</v>
      </c>
      <c r="G54" s="284">
        <f>(IF(E$42&gt;0,E$42*datapercentage!D31))</f>
        <v>0</v>
      </c>
      <c r="H54" s="284">
        <v>5.0784990858701654E-3</v>
      </c>
      <c r="I54" s="284">
        <v>4.392224246398113E-3</v>
      </c>
      <c r="J54" s="284">
        <v>2.9702014669784074E-2</v>
      </c>
      <c r="M54" s="156">
        <f t="shared" si="15"/>
        <v>3.9172738002052357E-2</v>
      </c>
      <c r="N54" s="282">
        <f t="shared" si="16"/>
        <v>6.7539203451814411E-2</v>
      </c>
    </row>
    <row r="55" spans="5:14" x14ac:dyDescent="0.3">
      <c r="E55" s="70" t="s">
        <v>11</v>
      </c>
      <c r="F55" s="284">
        <f>(IF(F$25&gt;0,F$25*datapercentage!K16))</f>
        <v>4.3104282386669059E-2</v>
      </c>
      <c r="G55" s="284">
        <f>(IF(E$42&gt;0,E$42*datapercentage!D32))</f>
        <v>0</v>
      </c>
      <c r="H55" s="284">
        <v>1.7015003337299401E-2</v>
      </c>
      <c r="I55" s="284">
        <v>8.6478973410157624E-3</v>
      </c>
      <c r="J55" s="284">
        <v>9.108617832067116E-3</v>
      </c>
      <c r="M55" s="156">
        <f t="shared" si="15"/>
        <v>3.4771518510382279E-2</v>
      </c>
      <c r="N55" s="282">
        <f t="shared" si="16"/>
        <v>5.9950893983417727E-2</v>
      </c>
    </row>
    <row r="56" spans="5:14" x14ac:dyDescent="0.3">
      <c r="E56" s="70" t="s">
        <v>12</v>
      </c>
      <c r="F56" s="284">
        <f>(IF(F$25&gt;0,F$25*datapercentage!K17))</f>
        <v>1.6415964880845728E-2</v>
      </c>
      <c r="G56" s="284">
        <f>(IF(E$42&gt;0,E$42*datapercentage!D33))</f>
        <v>0</v>
      </c>
      <c r="H56" s="284">
        <v>9.7994718360950705E-3</v>
      </c>
      <c r="I56" s="284">
        <v>1.809970187422165E-3</v>
      </c>
      <c r="J56" s="284">
        <v>1.386094017923257E-2</v>
      </c>
      <c r="M56" s="156">
        <f t="shared" si="15"/>
        <v>2.5470382202749806E-2</v>
      </c>
      <c r="N56" s="282">
        <f t="shared" si="16"/>
        <v>4.3914452073706568E-2</v>
      </c>
    </row>
    <row r="57" spans="5:14" ht="15" thickBot="1" x14ac:dyDescent="0.35">
      <c r="E57" s="162" t="s">
        <v>23</v>
      </c>
      <c r="F57" s="156">
        <f>SUM(F44:F56)</f>
        <v>0.26</v>
      </c>
      <c r="G57" s="156">
        <f>SUM(G44:G56)</f>
        <v>0</v>
      </c>
      <c r="H57" s="156">
        <f t="shared" ref="H57:J57" si="17">SUM(H44:H56)</f>
        <v>0.14000000000000001</v>
      </c>
      <c r="I57" s="156">
        <f t="shared" si="17"/>
        <v>0.18</v>
      </c>
      <c r="J57" s="156">
        <f t="shared" si="17"/>
        <v>0.26</v>
      </c>
      <c r="M57" s="156">
        <f>SUM(M44:M56)</f>
        <v>0.57999999999999996</v>
      </c>
      <c r="N57" s="283">
        <f>SUM(N44:N56)</f>
        <v>1</v>
      </c>
    </row>
  </sheetData>
  <mergeCells count="4">
    <mergeCell ref="O7:Q7"/>
    <mergeCell ref="O26:Q26"/>
    <mergeCell ref="E24:S24"/>
    <mergeCell ref="E5:S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6"/>
  <sheetViews>
    <sheetView workbookViewId="0">
      <selection activeCell="C12" sqref="C12"/>
    </sheetView>
  </sheetViews>
  <sheetFormatPr defaultRowHeight="14.4" x14ac:dyDescent="0.3"/>
  <cols>
    <col min="3" max="3" width="13" customWidth="1"/>
    <col min="4" max="4" width="12.109375" customWidth="1"/>
    <col min="5" max="5" width="11.44140625" customWidth="1"/>
    <col min="6" max="6" width="10.109375" customWidth="1"/>
    <col min="7" max="7" width="10.33203125" customWidth="1"/>
    <col min="10" max="10" width="10.33203125" customWidth="1"/>
    <col min="11" max="11" width="15.21875" customWidth="1"/>
    <col min="12" max="12" width="14.21875" customWidth="1"/>
    <col min="15" max="15" width="11.109375" customWidth="1"/>
  </cols>
  <sheetData>
    <row r="2" spans="2:15" x14ac:dyDescent="0.3">
      <c r="I2" s="33"/>
      <c r="J2" s="33"/>
      <c r="K2" s="33"/>
      <c r="L2" s="33"/>
      <c r="M2" s="33"/>
      <c r="N2" s="33"/>
    </row>
    <row r="3" spans="2:15" s="31" customFormat="1" ht="15" thickBot="1" x14ac:dyDescent="0.35">
      <c r="I3" s="33"/>
      <c r="J3" s="33"/>
      <c r="K3" s="133"/>
      <c r="L3" s="33"/>
      <c r="M3" s="33"/>
      <c r="N3" s="33"/>
    </row>
    <row r="4" spans="2:15" ht="84" customHeight="1" thickBot="1" x14ac:dyDescent="0.35">
      <c r="B4" s="150"/>
      <c r="C4" s="146" t="s">
        <v>109</v>
      </c>
      <c r="D4" s="147" t="s">
        <v>110</v>
      </c>
      <c r="E4" s="147" t="s">
        <v>64</v>
      </c>
      <c r="F4" s="148" t="s">
        <v>65</v>
      </c>
      <c r="G4" s="149" t="s">
        <v>66</v>
      </c>
      <c r="I4" s="71"/>
      <c r="J4" s="213"/>
      <c r="K4" s="214" t="s">
        <v>132</v>
      </c>
      <c r="L4" s="215" t="s">
        <v>134</v>
      </c>
      <c r="M4" s="215" t="s">
        <v>64</v>
      </c>
      <c r="N4" s="216" t="s">
        <v>65</v>
      </c>
      <c r="O4" s="217" t="s">
        <v>66</v>
      </c>
    </row>
    <row r="5" spans="2:15" x14ac:dyDescent="0.3">
      <c r="B5" s="70" t="s">
        <v>1</v>
      </c>
      <c r="C5" s="151">
        <f>datanumbers!C7/datanumbers!C20</f>
        <v>2.0460572438808791E-2</v>
      </c>
      <c r="D5" s="151">
        <f>datanumbers!D7/datanumbers!$D$20</f>
        <v>3.8081612223890601E-2</v>
      </c>
      <c r="E5" s="151">
        <f>datanumbers!E7/datanumbers!$E$20</f>
        <v>3.6652253402594384E-2</v>
      </c>
      <c r="F5" s="151">
        <f>datanumbers!F7/datanumbers!$F$20</f>
        <v>0.22674953444259294</v>
      </c>
      <c r="G5" s="125">
        <f>datanumbers!G7/datanumbers!G$20</f>
        <v>0</v>
      </c>
      <c r="I5" s="212"/>
      <c r="J5" s="70" t="s">
        <v>1</v>
      </c>
      <c r="K5" s="151">
        <f>datanumbers!J7/datanumbers!$J$20</f>
        <v>4.2174341515857375E-2</v>
      </c>
      <c r="L5" s="151">
        <f>datanumbers!K7/datanumbers!$K$20</f>
        <v>3.7878251845562393E-2</v>
      </c>
      <c r="M5" s="151">
        <f>datanumbers!L7/datanumbers!$L$20</f>
        <v>3.6652253402594384E-2</v>
      </c>
      <c r="N5" s="151">
        <f>datanumbers!M7/datanumbers!$M$20</f>
        <v>0.22674953444259294</v>
      </c>
      <c r="O5" s="125">
        <f>datanumbers!N7/datanumbers!N$20</f>
        <v>1.5231802394761063E-3</v>
      </c>
    </row>
    <row r="6" spans="2:15" x14ac:dyDescent="0.3">
      <c r="B6" s="70" t="s">
        <v>2</v>
      </c>
      <c r="C6" s="151">
        <f>datanumbers!C8/datanumbers!C20</f>
        <v>0.16895022403755297</v>
      </c>
      <c r="D6" s="151">
        <f>datanumbers!D8/datanumbers!$D$20</f>
        <v>0.15291195663465262</v>
      </c>
      <c r="E6" s="151">
        <f>datanumbers!E8/datanumbers!$E$20</f>
        <v>0.14071795467076817</v>
      </c>
      <c r="F6" s="151">
        <f>datanumbers!F8/datanumbers!$F$20</f>
        <v>0.12742346041829658</v>
      </c>
      <c r="G6" s="125">
        <f>datanumbers!G8/datanumbers!G$20</f>
        <v>3.0102347983142687E-2</v>
      </c>
      <c r="I6" s="212"/>
      <c r="J6" s="70" t="s">
        <v>2</v>
      </c>
      <c r="K6" s="151">
        <f>datanumbers!J8/datanumbers!$J$20</f>
        <v>0.16459863823687512</v>
      </c>
      <c r="L6" s="151">
        <f>datanumbers!K8/datanumbers!$K$20</f>
        <v>0.1488242647232246</v>
      </c>
      <c r="M6" s="151">
        <f>datanumbers!L8/datanumbers!$L$20</f>
        <v>0.14071795467076817</v>
      </c>
      <c r="N6" s="151">
        <f>datanumbers!M8/datanumbers!$M$20</f>
        <v>0.12742346041829658</v>
      </c>
      <c r="O6" s="125">
        <f>datanumbers!N8/datanumbers!N$20</f>
        <v>3.0463604789522127E-2</v>
      </c>
    </row>
    <row r="7" spans="2:15" x14ac:dyDescent="0.3">
      <c r="B7" s="70" t="s">
        <v>3</v>
      </c>
      <c r="C7" s="151">
        <f>datanumbers!C9/datanumbers!C20</f>
        <v>0.13171731642637244</v>
      </c>
      <c r="D7" s="151">
        <f>datanumbers!D9/datanumbers!$D$20</f>
        <v>0.13453456856578933</v>
      </c>
      <c r="E7" s="151">
        <f>datanumbers!E9/datanumbers!$E$20</f>
        <v>0.10583592094953423</v>
      </c>
      <c r="F7" s="151">
        <f>datanumbers!F9/datanumbers!$F$20</f>
        <v>9.8718890584250152E-2</v>
      </c>
      <c r="G7" s="125">
        <f>datanumbers!G9/datanumbers!G$20</f>
        <v>2.4081878386514148E-2</v>
      </c>
      <c r="I7" s="212"/>
      <c r="J7" s="70" t="s">
        <v>3</v>
      </c>
      <c r="K7" s="151">
        <f>datanumbers!J9/datanumbers!$J$20</f>
        <v>0.12833721555276831</v>
      </c>
      <c r="L7" s="151">
        <f>datanumbers!K9/datanumbers!$K$20</f>
        <v>0.14729120969834195</v>
      </c>
      <c r="M7" s="151">
        <f>datanumbers!L9/datanumbers!$L$20</f>
        <v>0.10583592094953423</v>
      </c>
      <c r="N7" s="151">
        <f>datanumbers!M9/datanumbers!$M$20</f>
        <v>9.8718890584250152E-2</v>
      </c>
      <c r="O7" s="125">
        <f>datanumbers!N9/datanumbers!N$20</f>
        <v>2.5894064071093809E-2</v>
      </c>
    </row>
    <row r="8" spans="2:15" x14ac:dyDescent="0.3">
      <c r="B8" s="70" t="s">
        <v>13</v>
      </c>
      <c r="C8" s="151">
        <f>datanumbers!C10/datanumbers!C20</f>
        <v>6.5687200902246473E-2</v>
      </c>
      <c r="D8" s="151">
        <f>datanumbers!D10/datanumbers!$D$20</f>
        <v>5.2393498975361448E-2</v>
      </c>
      <c r="E8" s="151">
        <f>datanumbers!E10/datanumbers!$E$20</f>
        <v>3.6274993470501178E-2</v>
      </c>
      <c r="F8" s="151">
        <f>datanumbers!F10/datanumbers!$F$20</f>
        <v>3.0775599699363478E-2</v>
      </c>
      <c r="G8" s="125">
        <f>datanumbers!G10/datanumbers!G$20</f>
        <v>0.27092113184828415</v>
      </c>
      <c r="I8" s="212"/>
      <c r="J8" s="70" t="s">
        <v>13</v>
      </c>
      <c r="K8" s="151">
        <f>datanumbers!J10/datanumbers!$J$20</f>
        <v>3.8075613689302991E-2</v>
      </c>
      <c r="L8" s="151">
        <f>datanumbers!K10/datanumbers!$K$20</f>
        <v>3.5283851034222505E-2</v>
      </c>
      <c r="M8" s="151">
        <f>datanumbers!L10/datanumbers!$L$20</f>
        <v>3.6274993470501178E-2</v>
      </c>
      <c r="N8" s="151">
        <f>datanumbers!M10/datanumbers!$M$20</f>
        <v>3.0775599699363478E-2</v>
      </c>
      <c r="O8" s="125">
        <f>datanumbers!N10/datanumbers!N$20</f>
        <v>0.27112608262674692</v>
      </c>
    </row>
    <row r="9" spans="2:15" x14ac:dyDescent="0.3">
      <c r="B9" s="70" t="s">
        <v>4</v>
      </c>
      <c r="C9" s="151">
        <f>datanumbers!C11/datanumbers!C20</f>
        <v>8.4738013228884083E-3</v>
      </c>
      <c r="D9" s="151">
        <f>datanumbers!D11/datanumbers!$D$20</f>
        <v>8.0601750857013342E-3</v>
      </c>
      <c r="E9" s="151">
        <f>datanumbers!E11/datanumbers!$E$20</f>
        <v>3.6274993470501178E-2</v>
      </c>
      <c r="F9" s="151">
        <f>datanumbers!F11/datanumbers!$F$20</f>
        <v>2.4517323453749511E-2</v>
      </c>
      <c r="G9" s="125">
        <f>datanumbers!G11/datanumbers!G$20</f>
        <v>7.1041541240216735E-2</v>
      </c>
      <c r="I9" s="212"/>
      <c r="J9" s="70" t="s">
        <v>4</v>
      </c>
      <c r="K9" s="151">
        <f>datanumbers!J11/datanumbers!$J$20</f>
        <v>7.1447769216986205E-3</v>
      </c>
      <c r="L9" s="151">
        <f>datanumbers!K11/datanumbers!$K$20</f>
        <v>6.6746857237198988E-3</v>
      </c>
      <c r="M9" s="151">
        <f>datanumbers!L11/datanumbers!$L$20</f>
        <v>3.6274993470501178E-2</v>
      </c>
      <c r="N9" s="151">
        <f>datanumbers!M11/datanumbers!$M$20</f>
        <v>2.4517323453749511E-2</v>
      </c>
      <c r="O9" s="125">
        <f>datanumbers!N11/datanumbers!N$20</f>
        <v>7.0066291015900894E-2</v>
      </c>
    </row>
    <row r="10" spans="2:15" x14ac:dyDescent="0.3">
      <c r="B10" s="70" t="s">
        <v>5</v>
      </c>
      <c r="C10" s="151">
        <f>datanumbers!C12/datanumbers!C20</f>
        <v>1.3129819855518641E-2</v>
      </c>
      <c r="D10" s="151">
        <f>datanumbers!D12/datanumbers!$D$20</f>
        <v>1.3339188410724234E-2</v>
      </c>
      <c r="E10" s="151">
        <f>datanumbers!E12/datanumbers!$E$20</f>
        <v>9.7216982500943155E-2</v>
      </c>
      <c r="F10" s="151">
        <f>datanumbers!F12/datanumbers!$F$20</f>
        <v>0.19104967998948885</v>
      </c>
      <c r="G10" s="125">
        <f>datanumbers!G12/datanumbers!G$20</f>
        <v>1.8061408789885609E-3</v>
      </c>
      <c r="I10" s="212"/>
      <c r="J10" s="70" t="s">
        <v>5</v>
      </c>
      <c r="K10" s="151">
        <f>datanumbers!J12/datanumbers!$J$20</f>
        <v>9.451711162874037E-3</v>
      </c>
      <c r="L10" s="151">
        <f>datanumbers!K12/datanumbers!$K$20</f>
        <v>4.6699214604118022E-2</v>
      </c>
      <c r="M10" s="151">
        <f>datanumbers!L12/datanumbers!$L$20</f>
        <v>9.7216982500943155E-2</v>
      </c>
      <c r="N10" s="151">
        <f>datanumbers!M12/datanumbers!$M$20</f>
        <v>0.19104967998948885</v>
      </c>
      <c r="O10" s="125">
        <f>datanumbers!N12/datanumbers!N$20</f>
        <v>1.7770436127221242E-3</v>
      </c>
    </row>
    <row r="11" spans="2:15" x14ac:dyDescent="0.3">
      <c r="B11" s="70" t="s">
        <v>6</v>
      </c>
      <c r="C11" s="151">
        <f>datanumbers!C13/datanumbers!C20</f>
        <v>3.2378760630353276E-2</v>
      </c>
      <c r="D11" s="151">
        <f>datanumbers!D13/datanumbers!$D$20</f>
        <v>4.2279324966238867E-2</v>
      </c>
      <c r="E11" s="151">
        <f>datanumbers!E13/datanumbers!$E$20</f>
        <v>3.6274993470501178E-2</v>
      </c>
      <c r="F11" s="151">
        <f>datanumbers!F13/datanumbers!$F$20</f>
        <v>7.8106856981912526E-2</v>
      </c>
      <c r="G11" s="125">
        <f>datanumbers!G13/datanumbers!G$20</f>
        <v>3.0102347983142687E-2</v>
      </c>
      <c r="I11" s="212"/>
      <c r="J11" s="70" t="s">
        <v>6</v>
      </c>
      <c r="K11" s="151">
        <f>datanumbers!J13/datanumbers!$J$20</f>
        <v>3.4133667801469272E-2</v>
      </c>
      <c r="L11" s="151">
        <f>datanumbers!K13/datanumbers!$K$20</f>
        <v>3.9081110403547253E-2</v>
      </c>
      <c r="M11" s="151">
        <f>datanumbers!L13/datanumbers!$L$20</f>
        <v>3.6274993470501178E-2</v>
      </c>
      <c r="N11" s="151">
        <f>datanumbers!M13/datanumbers!$M$20</f>
        <v>7.8106856981912526E-2</v>
      </c>
      <c r="O11" s="125">
        <f>datanumbers!N13/datanumbers!N$20</f>
        <v>3.0463604789522127E-2</v>
      </c>
    </row>
    <row r="12" spans="2:15" x14ac:dyDescent="0.3">
      <c r="B12" s="70" t="s">
        <v>7</v>
      </c>
      <c r="C12" s="151">
        <f>datanumbers!C14/datanumbers!C20</f>
        <v>0.23133020391989514</v>
      </c>
      <c r="D12" s="151">
        <f>datanumbers!D14/datanumbers!$D$20</f>
        <v>0.2242447422349397</v>
      </c>
      <c r="E12" s="151">
        <f>datanumbers!E14/datanumbers!$E$20</f>
        <v>0.21039496212890682</v>
      </c>
      <c r="F12" s="151">
        <f>datanumbers!F14/datanumbers!$F$20</f>
        <v>8.0020278693039779E-2</v>
      </c>
      <c r="G12" s="125">
        <f>datanumbers!G14/datanumbers!G$20</f>
        <v>0.12040939193257075</v>
      </c>
      <c r="I12" s="212"/>
      <c r="J12" s="70" t="s">
        <v>7</v>
      </c>
      <c r="K12" s="151">
        <f>datanumbers!J14/datanumbers!$J$20</f>
        <v>0.26236337573911483</v>
      </c>
      <c r="L12" s="151">
        <f>datanumbers!K14/datanumbers!$K$20</f>
        <v>0.24653883346305339</v>
      </c>
      <c r="M12" s="151">
        <f>datanumbers!L14/datanumbers!$L$20</f>
        <v>0.21039496212890682</v>
      </c>
      <c r="N12" s="151">
        <f>datanumbers!M14/datanumbers!$M$20</f>
        <v>8.0020278693039779E-2</v>
      </c>
      <c r="O12" s="125">
        <f>datanumbers!N14/datanumbers!N$20</f>
        <v>0.12185441915808853</v>
      </c>
    </row>
    <row r="13" spans="2:15" x14ac:dyDescent="0.3">
      <c r="B13" s="70" t="s">
        <v>8</v>
      </c>
      <c r="C13" s="151">
        <f>datanumbers!C15/datanumbers!C20</f>
        <v>4.7886121864236374E-2</v>
      </c>
      <c r="D13" s="151">
        <f>datanumbers!D15/datanumbers!$D$20</f>
        <v>4.0503914402546012E-2</v>
      </c>
      <c r="E13" s="151">
        <f>datanumbers!E15/datanumbers!$E$20</f>
        <v>3.6274993470501178E-2</v>
      </c>
      <c r="F13" s="151">
        <f>datanumbers!F15/datanumbers!$F$20</f>
        <v>9.3082614588904326E-3</v>
      </c>
      <c r="G13" s="125">
        <f>datanumbers!G15/datanumbers!G$20</f>
        <v>0.16556291390728478</v>
      </c>
      <c r="I13" s="212"/>
      <c r="J13" s="70" t="s">
        <v>8</v>
      </c>
      <c r="K13" s="151">
        <f>datanumbers!J15/datanumbers!$J$20</f>
        <v>4.0158573732306038E-2</v>
      </c>
      <c r="L13" s="151">
        <f>datanumbers!K15/datanumbers!$K$20</f>
        <v>9.2455010731385175E-3</v>
      </c>
      <c r="M13" s="151">
        <f>datanumbers!L15/datanumbers!$L$20</f>
        <v>3.6274993470501178E-2</v>
      </c>
      <c r="N13" s="151">
        <f>datanumbers!M15/datanumbers!$M$20</f>
        <v>9.3082614588904326E-3</v>
      </c>
      <c r="O13" s="125">
        <f>datanumbers!N15/datanumbers!N$20</f>
        <v>0.17113608635175206</v>
      </c>
    </row>
    <row r="14" spans="2:15" x14ac:dyDescent="0.3">
      <c r="B14" s="70" t="s">
        <v>9</v>
      </c>
      <c r="C14" s="151">
        <f>datanumbers!C16/datanumbers!C20</f>
        <v>2.887341116225196E-2</v>
      </c>
      <c r="D14" s="151">
        <f>datanumbers!D16/datanumbers!$D$20</f>
        <v>2.4336345865087684E-2</v>
      </c>
      <c r="E14" s="151">
        <f>datanumbers!E16/datanumbers!$E$20</f>
        <v>3.6274993470501178E-2</v>
      </c>
      <c r="F14" s="151">
        <f>datanumbers!F16/datanumbers!$F$20</f>
        <v>5.0829604418215539E-2</v>
      </c>
      <c r="G14" s="125">
        <f>datanumbers!G16/datanumbers!G$20</f>
        <v>7.5255869957856714E-2</v>
      </c>
      <c r="I14" s="212"/>
      <c r="J14" s="70" t="s">
        <v>9</v>
      </c>
      <c r="K14" s="151">
        <f>datanumbers!J16/datanumbers!$J$20</f>
        <v>2.1725497222719943E-2</v>
      </c>
      <c r="L14" s="151">
        <f>datanumbers!K16/datanumbers!$K$20</f>
        <v>2.2783556215948488E-2</v>
      </c>
      <c r="M14" s="151">
        <f>datanumbers!L16/datanumbers!$L$20</f>
        <v>3.6274993470501178E-2</v>
      </c>
      <c r="N14" s="151">
        <f>datanumbers!M16/datanumbers!$M$20</f>
        <v>5.0829604418215539E-2</v>
      </c>
      <c r="O14" s="125">
        <f>datanumbers!N16/datanumbers!N$20</f>
        <v>7.3112651494853104E-2</v>
      </c>
    </row>
    <row r="15" spans="2:15" x14ac:dyDescent="0.3">
      <c r="B15" s="70" t="s">
        <v>10</v>
      </c>
      <c r="C15" s="151">
        <f>datanumbers!C17/datanumbers!C20</f>
        <v>3.3834242692108392E-2</v>
      </c>
      <c r="D15" s="151">
        <f>datanumbers!D17/datanumbers!$D$20</f>
        <v>3.2155707283905148E-2</v>
      </c>
      <c r="E15" s="151">
        <f>datanumbers!E17/datanumbers!$E$20</f>
        <v>3.6274993470501178E-2</v>
      </c>
      <c r="F15" s="151">
        <f>datanumbers!F17/datanumbers!$F$20</f>
        <v>2.4401245813322849E-2</v>
      </c>
      <c r="G15" s="125">
        <f>datanumbers!G17/datanumbers!G$20</f>
        <v>0.12040939193257075</v>
      </c>
      <c r="I15" s="212"/>
      <c r="J15" s="70" t="s">
        <v>10</v>
      </c>
      <c r="K15" s="151">
        <f>datanumbers!J17/datanumbers!$J$20</f>
        <v>2.2912560473033507E-2</v>
      </c>
      <c r="L15" s="151">
        <f>datanumbers!K17/datanumbers!$K$20</f>
        <v>1.8962711384702468E-2</v>
      </c>
      <c r="M15" s="151">
        <f>datanumbers!L17/datanumbers!$L$20</f>
        <v>3.6274993470501178E-2</v>
      </c>
      <c r="N15" s="151">
        <f>datanumbers!M17/datanumbers!$M$20</f>
        <v>2.4401245813322849E-2</v>
      </c>
      <c r="O15" s="125">
        <f>datanumbers!N17/datanumbers!N$20</f>
        <v>0.11423851796070797</v>
      </c>
    </row>
    <row r="16" spans="2:15" x14ac:dyDescent="0.3">
      <c r="B16" s="70" t="s">
        <v>11</v>
      </c>
      <c r="C16" s="151">
        <f>datanumbers!C18/datanumbers!C20</f>
        <v>0.16996372725333009</v>
      </c>
      <c r="D16" s="151">
        <f>datanumbers!D18/datanumbers!$D$20</f>
        <v>0.17618588926348794</v>
      </c>
      <c r="E16" s="151">
        <f>datanumbers!E18/datanumbers!$E$20</f>
        <v>0.12153573812356713</v>
      </c>
      <c r="F16" s="151">
        <f>datanumbers!F18/datanumbers!$F$20</f>
        <v>4.8043874116754239E-2</v>
      </c>
      <c r="G16" s="125">
        <f>datanumbers!G18/datanumbers!G$20</f>
        <v>3.0102347983142687E-2</v>
      </c>
      <c r="I16" s="212"/>
      <c r="J16" s="70" t="s">
        <v>11</v>
      </c>
      <c r="K16" s="151">
        <f>datanumbers!J18/datanumbers!$J$20</f>
        <v>0.16578570148718869</v>
      </c>
      <c r="L16" s="151">
        <f>datanumbers!K18/datanumbers!$K$20</f>
        <v>0.15825844949173329</v>
      </c>
      <c r="M16" s="151">
        <f>datanumbers!L18/datanumbers!$L$20</f>
        <v>0.12153573812356713</v>
      </c>
      <c r="N16" s="151">
        <f>datanumbers!M18/datanumbers!$M$20</f>
        <v>4.8043874116754239E-2</v>
      </c>
      <c r="O16" s="125">
        <f>datanumbers!N18/datanumbers!N$20</f>
        <v>3.5033145507950447E-2</v>
      </c>
    </row>
    <row r="17" spans="2:15" ht="15" thickBot="1" x14ac:dyDescent="0.35">
      <c r="B17" s="111" t="s">
        <v>12</v>
      </c>
      <c r="C17" s="151">
        <f>datanumbers!C19/datanumbers!C20</f>
        <v>4.7314597494437165E-2</v>
      </c>
      <c r="D17" s="151">
        <f>datanumbers!D19/datanumbers!$D$20</f>
        <v>6.0973076087675056E-2</v>
      </c>
      <c r="E17" s="151">
        <f>datanumbers!E19/datanumbers!$E$20</f>
        <v>6.9996227400679067E-2</v>
      </c>
      <c r="F17" s="151">
        <f>datanumbers!F19/datanumbers!$F$20</f>
        <v>1.005538993012314E-2</v>
      </c>
      <c r="G17" s="125">
        <f>datanumbers!G19/datanumbers!G$20</f>
        <v>6.0204695966285374E-2</v>
      </c>
      <c r="I17" s="212"/>
      <c r="J17" s="111" t="s">
        <v>12</v>
      </c>
      <c r="K17" s="151">
        <f>datanumbers!J19/datanumbers!$J$20</f>
        <v>6.3138326464791256E-2</v>
      </c>
      <c r="L17" s="151">
        <f>datanumbers!K19/datanumbers!$K$20</f>
        <v>8.2478360338687232E-2</v>
      </c>
      <c r="M17" s="151">
        <f>datanumbers!L19/datanumbers!$L$20</f>
        <v>6.9996227400679067E-2</v>
      </c>
      <c r="N17" s="151">
        <f>datanumbers!M19/datanumbers!$M$20</f>
        <v>1.005538993012314E-2</v>
      </c>
      <c r="O17" s="125">
        <f>datanumbers!N19/datanumbers!N$20</f>
        <v>5.331130838166373E-2</v>
      </c>
    </row>
    <row r="18" spans="2:15" x14ac:dyDescent="0.3">
      <c r="C18" s="156">
        <f>SUM(C5:C17)</f>
        <v>1.0000000000000002</v>
      </c>
      <c r="D18" s="156">
        <f>SUM(D5:D17)</f>
        <v>1</v>
      </c>
      <c r="E18" s="156">
        <f>SUM(E5:E17)</f>
        <v>1</v>
      </c>
      <c r="F18" s="156">
        <f>SUM(F5:F17)</f>
        <v>0.99999999999999989</v>
      </c>
      <c r="G18" s="156">
        <f>SUM(G5:G17)</f>
        <v>1</v>
      </c>
      <c r="I18" s="212"/>
      <c r="J18" s="31"/>
      <c r="K18" s="156">
        <f>SUM(K5:K17)</f>
        <v>0.99999999999999989</v>
      </c>
      <c r="L18" s="156">
        <f>SUM(L5:L17)</f>
        <v>1</v>
      </c>
      <c r="M18" s="156">
        <f>SUM(M5:M17)</f>
        <v>1</v>
      </c>
      <c r="N18" s="156">
        <f>SUM(N5:N17)</f>
        <v>0.99999999999999989</v>
      </c>
      <c r="O18" s="156">
        <f>SUM(O5:O17)</f>
        <v>1</v>
      </c>
    </row>
    <row r="19" spans="2:15" x14ac:dyDescent="0.3">
      <c r="I19" s="33"/>
      <c r="J19" s="33"/>
      <c r="K19" s="33"/>
      <c r="L19" s="33"/>
      <c r="M19" s="33"/>
      <c r="N19" s="33"/>
      <c r="O19" s="33"/>
    </row>
    <row r="20" spans="2:15" x14ac:dyDescent="0.3">
      <c r="C20" s="31"/>
      <c r="D20" s="31"/>
      <c r="E20" s="31"/>
      <c r="F20" s="31"/>
      <c r="G20" s="31"/>
      <c r="H20" s="31"/>
    </row>
    <row r="21" spans="2:15" x14ac:dyDescent="0.3">
      <c r="C21" s="31"/>
      <c r="D21" s="31"/>
      <c r="E21" s="31"/>
      <c r="F21" s="31"/>
      <c r="G21" s="31"/>
      <c r="H21" s="31"/>
    </row>
    <row r="22" spans="2:15" x14ac:dyDescent="0.3">
      <c r="C22" s="31"/>
      <c r="D22" s="31"/>
      <c r="E22" s="31"/>
      <c r="F22" s="31"/>
      <c r="G22" s="31"/>
      <c r="H22" s="31"/>
    </row>
    <row r="23" spans="2:15" x14ac:dyDescent="0.3">
      <c r="C23" s="31"/>
      <c r="D23" s="31"/>
      <c r="E23" s="31"/>
      <c r="F23" s="31"/>
      <c r="G23" s="31"/>
      <c r="H23" s="31"/>
    </row>
    <row r="24" spans="2:15" x14ac:dyDescent="0.3">
      <c r="C24" s="31"/>
      <c r="D24" s="31"/>
      <c r="E24" s="31"/>
      <c r="F24" s="31"/>
      <c r="G24" s="31"/>
      <c r="H24" s="31"/>
    </row>
    <row r="25" spans="2:15" x14ac:dyDescent="0.3">
      <c r="C25" s="31"/>
      <c r="D25" s="31"/>
      <c r="E25" s="31"/>
      <c r="F25" s="31"/>
      <c r="G25" s="31"/>
      <c r="H25" s="31"/>
    </row>
    <row r="26" spans="2:15" x14ac:dyDescent="0.3">
      <c r="C26" s="31"/>
      <c r="D26" s="31"/>
      <c r="E26" s="31"/>
      <c r="F26" s="31"/>
      <c r="G26" s="31"/>
      <c r="H26" s="31"/>
    </row>
    <row r="27" spans="2:15" x14ac:dyDescent="0.3">
      <c r="C27" s="31"/>
      <c r="D27" s="31"/>
      <c r="E27" s="31"/>
      <c r="F27" s="31"/>
      <c r="G27" s="31"/>
      <c r="H27" s="31"/>
    </row>
    <row r="28" spans="2:15" x14ac:dyDescent="0.3">
      <c r="C28" s="31"/>
      <c r="D28" s="31"/>
      <c r="E28" s="31"/>
      <c r="F28" s="31"/>
      <c r="G28" s="31"/>
      <c r="H28" s="31"/>
    </row>
    <row r="29" spans="2:15" x14ac:dyDescent="0.3">
      <c r="C29" s="31"/>
      <c r="D29" s="31"/>
      <c r="E29" s="31"/>
      <c r="F29" s="31"/>
      <c r="G29" s="31"/>
      <c r="H29" s="31"/>
    </row>
    <row r="30" spans="2:15" x14ac:dyDescent="0.3">
      <c r="C30" s="31"/>
      <c r="D30" s="31"/>
      <c r="E30" s="31"/>
      <c r="F30" s="31"/>
      <c r="G30" s="31"/>
      <c r="H30" s="31"/>
    </row>
    <row r="31" spans="2:15" x14ac:dyDescent="0.3">
      <c r="C31" s="31"/>
      <c r="D31" s="31"/>
      <c r="E31" s="31"/>
      <c r="F31" s="31"/>
      <c r="G31" s="31"/>
      <c r="H31" s="31"/>
    </row>
    <row r="32" spans="2:15" x14ac:dyDescent="0.3">
      <c r="C32" s="31"/>
      <c r="D32" s="31"/>
      <c r="E32" s="31"/>
      <c r="F32" s="31"/>
      <c r="G32" s="31"/>
      <c r="H32" s="31"/>
    </row>
    <row r="33" spans="3:8" x14ac:dyDescent="0.3">
      <c r="C33" s="31"/>
      <c r="D33" s="31"/>
      <c r="E33" s="31"/>
      <c r="F33" s="31"/>
      <c r="G33" s="31"/>
      <c r="H33" s="31"/>
    </row>
    <row r="34" spans="3:8" x14ac:dyDescent="0.3">
      <c r="C34" s="31"/>
      <c r="D34" s="31"/>
      <c r="E34" s="31"/>
      <c r="F34" s="31"/>
      <c r="G34" s="31"/>
      <c r="H34" s="31"/>
    </row>
    <row r="35" spans="3:8" x14ac:dyDescent="0.3">
      <c r="C35" s="31"/>
      <c r="D35" s="31"/>
      <c r="E35" s="31"/>
      <c r="F35" s="31"/>
      <c r="G35" s="31"/>
      <c r="H35" s="31"/>
    </row>
    <row r="36" spans="3:8" x14ac:dyDescent="0.3">
      <c r="C36" s="31"/>
      <c r="D36" s="31"/>
      <c r="E36" s="31"/>
      <c r="F36" s="31"/>
      <c r="G36" s="31"/>
      <c r="H3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42"/>
  <sheetViews>
    <sheetView workbookViewId="0">
      <selection activeCell="H8" sqref="H8"/>
    </sheetView>
  </sheetViews>
  <sheetFormatPr defaultRowHeight="14.4" x14ac:dyDescent="0.3"/>
  <cols>
    <col min="3" max="3" width="12.77734375" customWidth="1"/>
    <col min="4" max="4" width="12" customWidth="1"/>
    <col min="5" max="5" width="11.21875" customWidth="1"/>
    <col min="6" max="6" width="11.109375" customWidth="1"/>
    <col min="7" max="7" width="12" customWidth="1"/>
    <col min="10" max="10" width="12.6640625" customWidth="1"/>
    <col min="11" max="11" width="12.21875" customWidth="1"/>
    <col min="14" max="14" width="11.21875" customWidth="1"/>
    <col min="19" max="19" width="9.5546875" bestFit="1" customWidth="1"/>
  </cols>
  <sheetData>
    <row r="3" spans="2:20" x14ac:dyDescent="0.3">
      <c r="B3" t="s">
        <v>60</v>
      </c>
    </row>
    <row r="4" spans="2:20" ht="15" thickBot="1" x14ac:dyDescent="0.35">
      <c r="B4" s="347"/>
      <c r="C4" s="347"/>
    </row>
    <row r="5" spans="2:20" ht="90" customHeight="1" x14ac:dyDescent="0.3">
      <c r="B5" s="150"/>
      <c r="C5" s="219" t="s">
        <v>109</v>
      </c>
      <c r="D5" s="220" t="s">
        <v>110</v>
      </c>
      <c r="E5" s="220" t="s">
        <v>64</v>
      </c>
      <c r="F5" s="221" t="s">
        <v>65</v>
      </c>
      <c r="G5" s="222" t="s">
        <v>66</v>
      </c>
      <c r="I5" s="150"/>
      <c r="J5" s="219" t="s">
        <v>132</v>
      </c>
      <c r="K5" s="220" t="s">
        <v>133</v>
      </c>
      <c r="L5" s="220" t="s">
        <v>64</v>
      </c>
      <c r="M5" s="221" t="s">
        <v>65</v>
      </c>
      <c r="N5" s="222" t="s">
        <v>66</v>
      </c>
    </row>
    <row r="6" spans="2:20" ht="15" thickBot="1" x14ac:dyDescent="0.35">
      <c r="B6" s="152" t="s">
        <v>14</v>
      </c>
      <c r="C6" s="224"/>
      <c r="D6" s="224"/>
      <c r="E6" s="224"/>
      <c r="F6" s="224"/>
      <c r="G6" s="339"/>
      <c r="I6" s="152" t="s">
        <v>14</v>
      </c>
      <c r="J6" s="224"/>
      <c r="K6" s="224"/>
      <c r="L6" s="224"/>
      <c r="M6" s="224"/>
      <c r="N6" s="225"/>
    </row>
    <row r="7" spans="2:20" x14ac:dyDescent="0.3">
      <c r="B7" s="153" t="s">
        <v>1</v>
      </c>
      <c r="C7" s="330">
        <v>895</v>
      </c>
      <c r="D7" s="330">
        <v>1613</v>
      </c>
      <c r="E7" s="330">
        <v>2526</v>
      </c>
      <c r="F7" s="338">
        <f>'Biomass Esitmation_ 2021'!X8</f>
        <v>14362.219073708944</v>
      </c>
      <c r="G7" s="341">
        <v>0</v>
      </c>
      <c r="H7" t="s">
        <v>142</v>
      </c>
      <c r="I7" s="153" t="s">
        <v>1</v>
      </c>
      <c r="J7" s="226">
        <v>1883</v>
      </c>
      <c r="K7" s="226">
        <v>1606</v>
      </c>
      <c r="L7" s="226">
        <v>2526</v>
      </c>
      <c r="M7" s="227">
        <f>'Biomass Esitmation_ 2021'!X8</f>
        <v>14362.219073708944</v>
      </c>
      <c r="N7" s="337">
        <f>'Index of Fisheries Dependency '!C5</f>
        <v>1E-3</v>
      </c>
    </row>
    <row r="8" spans="2:20" x14ac:dyDescent="0.3">
      <c r="B8" s="153" t="s">
        <v>2</v>
      </c>
      <c r="C8" s="330">
        <v>7390.333333333333</v>
      </c>
      <c r="D8" s="330">
        <v>6476.8</v>
      </c>
      <c r="E8" s="330">
        <v>9698</v>
      </c>
      <c r="F8" s="338">
        <f>'Biomass Esitmation_ 2021'!X9</f>
        <v>8070.9477889622094</v>
      </c>
      <c r="G8" s="342">
        <v>0.02</v>
      </c>
      <c r="I8" s="153" t="s">
        <v>2</v>
      </c>
      <c r="J8" s="226">
        <v>7349</v>
      </c>
      <c r="K8" s="226">
        <v>6310</v>
      </c>
      <c r="L8" s="226">
        <v>9698</v>
      </c>
      <c r="M8" s="227">
        <f>'Biomass Esitmation_ 2021'!X9</f>
        <v>8070.9477889622094</v>
      </c>
      <c r="N8" s="337">
        <f>'Index of Fisheries Dependency '!C6</f>
        <v>0.02</v>
      </c>
      <c r="S8" s="218"/>
      <c r="T8" s="218"/>
    </row>
    <row r="9" spans="2:20" x14ac:dyDescent="0.3">
      <c r="B9" s="153" t="s">
        <v>3</v>
      </c>
      <c r="C9" s="330">
        <v>5761.666666666667</v>
      </c>
      <c r="D9" s="330">
        <v>5698.4</v>
      </c>
      <c r="E9" s="330">
        <v>7294</v>
      </c>
      <c r="F9" s="338">
        <f>'Biomass Esitmation_ 2021'!X10</f>
        <v>6252.8125438928273</v>
      </c>
      <c r="G9" s="342">
        <v>1.6E-2</v>
      </c>
      <c r="I9" s="153" t="s">
        <v>3</v>
      </c>
      <c r="J9" s="226">
        <v>5730</v>
      </c>
      <c r="K9" s="226">
        <v>6245</v>
      </c>
      <c r="L9" s="226">
        <v>7294</v>
      </c>
      <c r="M9" s="227">
        <f>'Biomass Esitmation_ 2021'!X10</f>
        <v>6252.8125438928273</v>
      </c>
      <c r="N9" s="337">
        <f>'Index of Fisheries Dependency '!C7</f>
        <v>1.7000000000000001E-2</v>
      </c>
      <c r="S9" s="218"/>
      <c r="T9" s="218"/>
    </row>
    <row r="10" spans="2:20" x14ac:dyDescent="0.3">
      <c r="B10" s="153" t="s">
        <v>13</v>
      </c>
      <c r="C10" s="330">
        <v>2873.3333333333335</v>
      </c>
      <c r="D10" s="330">
        <v>2219.1999999999998</v>
      </c>
      <c r="E10" s="330">
        <v>2500</v>
      </c>
      <c r="F10" s="338">
        <f>'Biomass Esitmation_ 2021'!X11</f>
        <v>1949.3133959176166</v>
      </c>
      <c r="G10" s="342">
        <v>0.18</v>
      </c>
      <c r="I10" s="153" t="s">
        <v>13</v>
      </c>
      <c r="J10" s="226">
        <v>1700</v>
      </c>
      <c r="K10" s="226">
        <v>1496</v>
      </c>
      <c r="L10" s="226">
        <v>2500</v>
      </c>
      <c r="M10" s="227">
        <f>'Biomass Esitmation_ 2021'!X11</f>
        <v>1949.3133959176166</v>
      </c>
      <c r="N10" s="337">
        <f>'Index of Fisheries Dependency '!C8</f>
        <v>0.17799999999999999</v>
      </c>
      <c r="S10" s="218"/>
      <c r="T10" s="218"/>
    </row>
    <row r="11" spans="2:20" x14ac:dyDescent="0.3">
      <c r="B11" s="153" t="s">
        <v>4</v>
      </c>
      <c r="C11" s="330">
        <v>370.66666666666669</v>
      </c>
      <c r="D11" s="330">
        <v>341.4</v>
      </c>
      <c r="E11" s="330">
        <v>2500</v>
      </c>
      <c r="F11" s="338">
        <f>'Biomass Esitmation_ 2021'!X12</f>
        <v>1552.9168402014129</v>
      </c>
      <c r="G11" s="342">
        <v>4.7199999999999999E-2</v>
      </c>
      <c r="I11" s="153" t="s">
        <v>4</v>
      </c>
      <c r="J11" s="226">
        <v>319</v>
      </c>
      <c r="K11" s="226">
        <v>283</v>
      </c>
      <c r="L11" s="226">
        <v>2500</v>
      </c>
      <c r="M11" s="227">
        <f>'Biomass Esitmation_ 2021'!X12</f>
        <v>1552.9168402014129</v>
      </c>
      <c r="N11" s="337">
        <f>'Index of Fisheries Dependency '!C9</f>
        <v>4.5999999999999999E-2</v>
      </c>
      <c r="S11" s="218"/>
      <c r="T11" s="218"/>
    </row>
    <row r="12" spans="2:20" x14ac:dyDescent="0.3">
      <c r="B12" s="153" t="s">
        <v>5</v>
      </c>
      <c r="C12" s="330">
        <v>574.33333333333337</v>
      </c>
      <c r="D12" s="330">
        <v>565</v>
      </c>
      <c r="E12" s="330">
        <v>6700</v>
      </c>
      <c r="F12" s="338">
        <f>'Biomass Esitmation_ 2021'!X13</f>
        <v>12101.005476003347</v>
      </c>
      <c r="G12" s="342">
        <v>1.1999999999999999E-3</v>
      </c>
      <c r="I12" s="153" t="s">
        <v>5</v>
      </c>
      <c r="J12" s="226">
        <v>422</v>
      </c>
      <c r="K12" s="226">
        <v>1980</v>
      </c>
      <c r="L12" s="226">
        <v>6700</v>
      </c>
      <c r="M12" s="227">
        <f>'Biomass Esitmation_ 2021'!X13</f>
        <v>12101.005476003347</v>
      </c>
      <c r="N12" s="337">
        <f>'Index of Fisheries Dependency '!C10</f>
        <v>1.1666666666666668E-3</v>
      </c>
      <c r="S12" s="218"/>
      <c r="T12" s="218"/>
    </row>
    <row r="13" spans="2:20" x14ac:dyDescent="0.3">
      <c r="B13" s="153" t="s">
        <v>6</v>
      </c>
      <c r="C13" s="330">
        <v>1416.3333333333333</v>
      </c>
      <c r="D13" s="330">
        <v>1790.8</v>
      </c>
      <c r="E13" s="330">
        <v>2500</v>
      </c>
      <c r="F13" s="338">
        <f>'Biomass Esitmation_ 2021'!X14</f>
        <v>4947.2551019375442</v>
      </c>
      <c r="G13" s="342">
        <v>0.02</v>
      </c>
      <c r="I13" s="153" t="s">
        <v>6</v>
      </c>
      <c r="J13" s="226">
        <v>1524</v>
      </c>
      <c r="K13" s="226">
        <v>1657</v>
      </c>
      <c r="L13" s="226">
        <v>2500</v>
      </c>
      <c r="M13" s="227">
        <f>'Biomass Esitmation_ 2021'!X14</f>
        <v>4947.2551019375442</v>
      </c>
      <c r="N13" s="337">
        <f>'Index of Fisheries Dependency '!C11</f>
        <v>0.02</v>
      </c>
      <c r="S13" s="218"/>
      <c r="T13" s="218"/>
    </row>
    <row r="14" spans="2:20" x14ac:dyDescent="0.3">
      <c r="B14" s="153" t="s">
        <v>7</v>
      </c>
      <c r="C14" s="330">
        <v>10119</v>
      </c>
      <c r="D14" s="330">
        <v>9498.2000000000007</v>
      </c>
      <c r="E14" s="330">
        <v>14500</v>
      </c>
      <c r="F14" s="338">
        <f>'Biomass Esitmation_ 2021'!X15</f>
        <v>5068.450419331054</v>
      </c>
      <c r="G14" s="342">
        <v>0.08</v>
      </c>
      <c r="I14" s="153" t="s">
        <v>7</v>
      </c>
      <c r="J14" s="226">
        <v>11714</v>
      </c>
      <c r="K14" s="226">
        <v>10453</v>
      </c>
      <c r="L14" s="226">
        <v>14500</v>
      </c>
      <c r="M14" s="227">
        <f>'Biomass Esitmation_ 2021'!X15</f>
        <v>5068.450419331054</v>
      </c>
      <c r="N14" s="337">
        <f>'Index of Fisheries Dependency '!C12</f>
        <v>8.0000000000000016E-2</v>
      </c>
      <c r="S14" s="218"/>
      <c r="T14" s="218"/>
    </row>
    <row r="15" spans="2:20" ht="15" thickBot="1" x14ac:dyDescent="0.35">
      <c r="B15" s="153" t="s">
        <v>8</v>
      </c>
      <c r="C15" s="330">
        <v>2094.6666666666702</v>
      </c>
      <c r="D15" s="331">
        <v>1715.6</v>
      </c>
      <c r="E15" s="330">
        <v>2500</v>
      </c>
      <c r="F15" s="338">
        <f>'Biomass Esitmation_ 2021'!X16</f>
        <v>589.58132194883137</v>
      </c>
      <c r="G15" s="342">
        <v>0.11</v>
      </c>
      <c r="I15" s="153" t="s">
        <v>8</v>
      </c>
      <c r="J15" s="226">
        <v>1793</v>
      </c>
      <c r="K15" s="226">
        <v>392</v>
      </c>
      <c r="L15" s="226">
        <v>2500</v>
      </c>
      <c r="M15" s="227">
        <f>'Biomass Esitmation_ 2021'!X16</f>
        <v>589.58132194883137</v>
      </c>
      <c r="N15" s="337">
        <f>'Index of Fisheries Dependency '!C13</f>
        <v>0.11235445544554455</v>
      </c>
      <c r="S15" s="218"/>
      <c r="T15" s="218"/>
    </row>
    <row r="16" spans="2:20" ht="15" thickBot="1" x14ac:dyDescent="0.35">
      <c r="B16" s="153" t="s">
        <v>9</v>
      </c>
      <c r="C16" s="332">
        <v>1263</v>
      </c>
      <c r="D16" s="335">
        <v>1030.8</v>
      </c>
      <c r="E16" s="333">
        <v>2500</v>
      </c>
      <c r="F16" s="338">
        <f>'Biomass Esitmation_ 2021'!X17</f>
        <v>3219.5255257258273</v>
      </c>
      <c r="G16" s="342">
        <v>0.05</v>
      </c>
      <c r="I16" s="153" t="s">
        <v>9</v>
      </c>
      <c r="J16" s="226">
        <v>970</v>
      </c>
      <c r="K16" s="226">
        <v>966</v>
      </c>
      <c r="L16" s="226">
        <v>2500</v>
      </c>
      <c r="M16" s="227">
        <f>'Biomass Esitmation_ 2021'!X17</f>
        <v>3219.5255257258273</v>
      </c>
      <c r="N16" s="337">
        <f>'Index of Fisheries Dependency '!C14</f>
        <v>4.8000000000000001E-2</v>
      </c>
      <c r="S16" s="218"/>
      <c r="T16" s="218"/>
    </row>
    <row r="17" spans="2:20" x14ac:dyDescent="0.3">
      <c r="B17" s="153" t="s">
        <v>10</v>
      </c>
      <c r="C17" s="330">
        <v>1480</v>
      </c>
      <c r="D17" s="334">
        <v>1362</v>
      </c>
      <c r="E17" s="330">
        <v>2500</v>
      </c>
      <c r="F17" s="338">
        <f>'Biomass Esitmation_ 2021'!X18</f>
        <v>1545.5645318252782</v>
      </c>
      <c r="G17" s="342">
        <v>0.08</v>
      </c>
      <c r="I17" s="153" t="s">
        <v>10</v>
      </c>
      <c r="J17" s="226">
        <v>1023</v>
      </c>
      <c r="K17" s="226">
        <v>804</v>
      </c>
      <c r="L17" s="226">
        <v>2500</v>
      </c>
      <c r="M17" s="227">
        <f>'Biomass Esitmation_ 2021'!X18</f>
        <v>1545.5645318252782</v>
      </c>
      <c r="N17" s="337">
        <f>'Index of Fisheries Dependency '!C15</f>
        <v>7.4999999999999997E-2</v>
      </c>
      <c r="S17" s="218"/>
      <c r="T17" s="218"/>
    </row>
    <row r="18" spans="2:20" x14ac:dyDescent="0.3">
      <c r="B18" s="153" t="s">
        <v>11</v>
      </c>
      <c r="C18" s="330">
        <v>7434.666666666667</v>
      </c>
      <c r="D18" s="330">
        <v>7462.6</v>
      </c>
      <c r="E18" s="330">
        <v>8376</v>
      </c>
      <c r="F18" s="338">
        <f>'Biomass Esitmation_ 2021'!X19</f>
        <v>3043.0785532184341</v>
      </c>
      <c r="G18" s="342">
        <v>0.02</v>
      </c>
      <c r="I18" s="153" t="s">
        <v>11</v>
      </c>
      <c r="J18" s="226">
        <v>7402</v>
      </c>
      <c r="K18" s="226">
        <v>6710</v>
      </c>
      <c r="L18" s="226">
        <v>8376</v>
      </c>
      <c r="M18" s="227">
        <f>'Biomass Esitmation_ 2021'!X19</f>
        <v>3043.0785532184341</v>
      </c>
      <c r="N18" s="337">
        <f>'Index of Fisheries Dependency '!C16</f>
        <v>2.3E-2</v>
      </c>
      <c r="S18" s="218"/>
      <c r="T18" s="218"/>
    </row>
    <row r="19" spans="2:20" ht="15" thickBot="1" x14ac:dyDescent="0.35">
      <c r="B19" s="154" t="s">
        <v>12</v>
      </c>
      <c r="C19" s="331">
        <v>2069.6666666666665</v>
      </c>
      <c r="D19" s="331">
        <v>2582.6</v>
      </c>
      <c r="E19" s="331">
        <v>4824</v>
      </c>
      <c r="F19" s="338">
        <f>'Biomass Esitmation_ 2021'!X20</f>
        <v>636.90412155866284</v>
      </c>
      <c r="G19" s="343">
        <v>0.04</v>
      </c>
      <c r="I19" s="154" t="s">
        <v>12</v>
      </c>
      <c r="J19" s="228">
        <v>2819</v>
      </c>
      <c r="K19" s="228">
        <v>3497</v>
      </c>
      <c r="L19" s="228">
        <v>4824</v>
      </c>
      <c r="M19" s="227">
        <f>'Biomass Esitmation_ 2021'!X20</f>
        <v>636.90412155866284</v>
      </c>
      <c r="N19" s="337">
        <f>'Index of Fisheries Dependency '!C17</f>
        <v>3.5000000000000003E-2</v>
      </c>
      <c r="S19" s="218"/>
      <c r="T19" s="218"/>
    </row>
    <row r="20" spans="2:20" ht="15" thickBot="1" x14ac:dyDescent="0.35">
      <c r="B20" s="155" t="s">
        <v>45</v>
      </c>
      <c r="C20" s="229">
        <f>SUM(C6:C19)</f>
        <v>43742.666666666664</v>
      </c>
      <c r="D20" s="229">
        <f>SUM(D6:D19)</f>
        <v>42356.4</v>
      </c>
      <c r="E20" s="229">
        <f>SUM(E6:E19)</f>
        <v>68918</v>
      </c>
      <c r="F20" s="230">
        <f>SUM(F6:F19)</f>
        <v>63339.574694231989</v>
      </c>
      <c r="G20" s="340">
        <f>SUM(G7:G19)</f>
        <v>0.66439999999999999</v>
      </c>
      <c r="I20" s="155" t="s">
        <v>45</v>
      </c>
      <c r="J20" s="229">
        <f>SUM(J7:J19)</f>
        <v>44648</v>
      </c>
      <c r="K20" s="229">
        <f t="shared" ref="K20:M20" si="0">SUM(K6:K19)</f>
        <v>42399</v>
      </c>
      <c r="L20" s="229">
        <f t="shared" si="0"/>
        <v>68918</v>
      </c>
      <c r="M20" s="230">
        <f t="shared" si="0"/>
        <v>63339.574694231989</v>
      </c>
      <c r="N20" s="250">
        <f>SUM(N7:N19)</f>
        <v>0.65652112211221125</v>
      </c>
      <c r="S20" s="218"/>
      <c r="T20" s="218"/>
    </row>
    <row r="21" spans="2:20" ht="15" thickTop="1" x14ac:dyDescent="0.3">
      <c r="B21" s="346" t="s">
        <v>68</v>
      </c>
      <c r="C21" s="346"/>
      <c r="D21" s="346"/>
      <c r="E21" s="346"/>
      <c r="F21" s="346"/>
      <c r="G21" s="346"/>
      <c r="H21" s="346"/>
      <c r="I21" s="346"/>
      <c r="S21" s="218"/>
    </row>
    <row r="23" spans="2:20" x14ac:dyDescent="0.3">
      <c r="I23" s="31"/>
      <c r="J23" s="31"/>
      <c r="K23" s="31"/>
      <c r="L23" s="31"/>
      <c r="M23" s="31"/>
      <c r="N23" s="31"/>
      <c r="O23" s="31"/>
    </row>
    <row r="24" spans="2:20" x14ac:dyDescent="0.3">
      <c r="I24" s="31"/>
      <c r="J24" s="31"/>
      <c r="K24" s="31"/>
      <c r="L24" s="31"/>
      <c r="M24" s="31"/>
      <c r="N24" s="31"/>
      <c r="O24" s="31"/>
    </row>
    <row r="25" spans="2:20" x14ac:dyDescent="0.3">
      <c r="I25" s="31"/>
      <c r="J25" s="31"/>
      <c r="K25" s="31"/>
      <c r="L25" s="31"/>
      <c r="M25" s="31"/>
      <c r="N25" s="31"/>
      <c r="O25" s="31"/>
    </row>
    <row r="26" spans="2:20" x14ac:dyDescent="0.3">
      <c r="I26" s="31"/>
      <c r="J26" s="31"/>
      <c r="K26" s="31"/>
      <c r="L26" s="31"/>
      <c r="M26" s="31"/>
      <c r="N26" s="31"/>
      <c r="O26" s="31"/>
    </row>
    <row r="27" spans="2:20" x14ac:dyDescent="0.3">
      <c r="D27" s="218"/>
      <c r="E27" s="218"/>
      <c r="H27" s="123"/>
      <c r="I27" s="123"/>
      <c r="J27" s="123"/>
      <c r="K27" s="123"/>
      <c r="L27" s="123"/>
      <c r="M27" s="123"/>
      <c r="N27" s="123"/>
      <c r="O27" s="123"/>
    </row>
    <row r="28" spans="2:20" x14ac:dyDescent="0.3">
      <c r="D28" s="218"/>
      <c r="E28" s="218"/>
      <c r="H28" s="123"/>
      <c r="I28" s="123"/>
      <c r="J28" s="123"/>
      <c r="K28" s="123"/>
      <c r="L28" s="123"/>
      <c r="M28" s="123"/>
      <c r="N28" s="123"/>
      <c r="O28" s="123"/>
    </row>
    <row r="29" spans="2:20" x14ac:dyDescent="0.3">
      <c r="D29" s="218"/>
      <c r="E29" s="218"/>
      <c r="H29" s="123"/>
      <c r="I29" s="123"/>
      <c r="J29" s="123"/>
      <c r="K29" s="123"/>
      <c r="L29" s="123"/>
      <c r="M29" s="123"/>
      <c r="N29" s="123"/>
      <c r="O29" s="123"/>
    </row>
    <row r="30" spans="2:20" x14ac:dyDescent="0.3">
      <c r="E30" s="218"/>
      <c r="H30" s="123"/>
      <c r="I30" s="123"/>
      <c r="J30" s="123"/>
      <c r="K30" s="123"/>
      <c r="L30" s="123"/>
      <c r="M30" s="123"/>
      <c r="N30" s="123"/>
      <c r="O30" s="123"/>
    </row>
    <row r="31" spans="2:20" x14ac:dyDescent="0.3">
      <c r="D31" s="218"/>
      <c r="E31" s="218"/>
      <c r="H31" s="123"/>
      <c r="I31" s="123"/>
      <c r="J31" s="123"/>
      <c r="K31" s="123"/>
      <c r="L31" s="123"/>
      <c r="M31" s="123"/>
      <c r="N31" s="123"/>
      <c r="O31" s="123"/>
    </row>
    <row r="32" spans="2:20" x14ac:dyDescent="0.3">
      <c r="E32" s="218"/>
      <c r="H32" s="123"/>
      <c r="I32" s="123"/>
      <c r="J32" s="123"/>
      <c r="K32" s="123"/>
      <c r="L32" s="123"/>
      <c r="M32" s="123"/>
      <c r="N32" s="123"/>
      <c r="O32" s="123"/>
    </row>
    <row r="33" spans="4:15" x14ac:dyDescent="0.3">
      <c r="D33" s="218"/>
      <c r="E33" s="218"/>
      <c r="H33" s="123"/>
      <c r="I33" s="123"/>
      <c r="J33" s="123"/>
      <c r="K33" s="123"/>
      <c r="L33" s="123"/>
      <c r="M33" s="123"/>
      <c r="N33" s="123"/>
      <c r="O33" s="123"/>
    </row>
    <row r="34" spans="4:15" x14ac:dyDescent="0.3">
      <c r="D34" s="218"/>
      <c r="E34" s="218"/>
      <c r="H34" s="123"/>
      <c r="I34" s="123"/>
      <c r="J34" s="123"/>
      <c r="K34" s="123"/>
      <c r="L34" s="123"/>
      <c r="M34" s="123"/>
      <c r="N34" s="123"/>
      <c r="O34" s="123"/>
    </row>
    <row r="35" spans="4:15" x14ac:dyDescent="0.3">
      <c r="D35" s="218"/>
      <c r="E35" s="218"/>
      <c r="H35" s="123"/>
      <c r="I35" s="123"/>
      <c r="J35" s="123"/>
      <c r="K35" s="123"/>
      <c r="L35" s="123"/>
      <c r="M35" s="123"/>
      <c r="N35" s="123"/>
      <c r="O35" s="123"/>
    </row>
    <row r="36" spans="4:15" x14ac:dyDescent="0.3">
      <c r="D36" s="218"/>
      <c r="E36" s="218"/>
      <c r="H36" s="123"/>
      <c r="I36" s="123"/>
      <c r="J36" s="123"/>
      <c r="K36" s="123"/>
      <c r="L36" s="123"/>
      <c r="M36" s="123"/>
      <c r="N36" s="123"/>
      <c r="O36" s="123"/>
    </row>
    <row r="37" spans="4:15" x14ac:dyDescent="0.3">
      <c r="D37" s="218"/>
      <c r="E37" s="218"/>
      <c r="H37" s="123"/>
      <c r="I37" s="123"/>
      <c r="J37" s="123"/>
      <c r="K37" s="123"/>
      <c r="L37" s="123"/>
      <c r="M37" s="123"/>
      <c r="N37" s="123"/>
      <c r="O37" s="123"/>
    </row>
    <row r="38" spans="4:15" x14ac:dyDescent="0.3">
      <c r="D38" s="218"/>
      <c r="E38" s="218"/>
      <c r="H38" s="123"/>
      <c r="I38" s="123"/>
      <c r="J38" s="123"/>
      <c r="K38" s="123"/>
      <c r="L38" s="123"/>
      <c r="M38" s="123"/>
      <c r="N38" s="123"/>
      <c r="O38" s="123"/>
    </row>
    <row r="39" spans="4:15" x14ac:dyDescent="0.3">
      <c r="D39" s="218"/>
      <c r="E39" s="218"/>
      <c r="H39" s="123"/>
      <c r="I39" s="123"/>
      <c r="J39" s="123"/>
      <c r="K39" s="123"/>
      <c r="L39" s="123"/>
      <c r="M39" s="123"/>
      <c r="N39" s="123"/>
      <c r="O39" s="123"/>
    </row>
    <row r="40" spans="4:15" x14ac:dyDescent="0.3">
      <c r="D40" s="218"/>
      <c r="E40" s="218"/>
      <c r="H40" s="123"/>
      <c r="I40" s="123"/>
      <c r="J40" s="123"/>
      <c r="K40" s="123"/>
      <c r="L40" s="123"/>
      <c r="M40" s="123"/>
      <c r="N40" s="123"/>
      <c r="O40" s="123"/>
    </row>
    <row r="41" spans="4:15" x14ac:dyDescent="0.3">
      <c r="D41" s="218"/>
      <c r="E41" s="218"/>
      <c r="H41" s="123"/>
      <c r="I41" s="123"/>
      <c r="J41" s="123"/>
      <c r="K41" s="123"/>
      <c r="L41" s="123"/>
      <c r="M41" s="123"/>
      <c r="N41" s="123"/>
      <c r="O41" s="123"/>
    </row>
    <row r="42" spans="4:15" x14ac:dyDescent="0.3">
      <c r="D42" s="218"/>
      <c r="E42" s="218"/>
      <c r="H42" s="123"/>
      <c r="I42" s="123"/>
      <c r="J42" s="123"/>
      <c r="K42" s="123"/>
      <c r="L42" s="123"/>
      <c r="M42" s="123"/>
      <c r="N42" s="123"/>
      <c r="O42" s="123"/>
    </row>
  </sheetData>
  <mergeCells count="2">
    <mergeCell ref="B21:I21"/>
    <mergeCell ref="B4:C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8"/>
  <sheetViews>
    <sheetView topLeftCell="F1" zoomScale="70" zoomScaleNormal="70" workbookViewId="0">
      <pane ySplit="5" topLeftCell="A6" activePane="bottomLeft" state="frozen"/>
      <selection activeCell="G1" sqref="G1"/>
      <selection pane="bottomLeft" activeCell="AF17" sqref="AF17"/>
    </sheetView>
  </sheetViews>
  <sheetFormatPr defaultRowHeight="14.4" x14ac:dyDescent="0.3"/>
  <cols>
    <col min="1" max="1" width="6.44140625" style="31" customWidth="1"/>
    <col min="2" max="2" width="10.109375" style="31" customWidth="1"/>
    <col min="3" max="3" width="11.5546875" style="31" customWidth="1"/>
    <col min="4" max="5" width="8.6640625" style="31"/>
    <col min="6" max="6" width="15.5546875" customWidth="1"/>
    <col min="7" max="7" width="5.5546875" customWidth="1"/>
    <col min="8" max="17" width="6.6640625" customWidth="1"/>
    <col min="18" max="18" width="6.6640625" style="12" customWidth="1"/>
    <col min="19" max="23" width="6.6640625" customWidth="1"/>
    <col min="24" max="26" width="6.6640625" style="31" customWidth="1"/>
    <col min="27" max="29" width="8" style="31" customWidth="1"/>
    <col min="30" max="30" width="9" style="31" customWidth="1"/>
    <col min="31" max="31" width="11.33203125" style="31" customWidth="1"/>
    <col min="32" max="32" width="11.5546875" style="31" customWidth="1"/>
    <col min="33" max="33" width="8.77734375" style="31" customWidth="1"/>
    <col min="34" max="35" width="10" style="31" customWidth="1"/>
    <col min="36" max="36" width="3.5546875" style="31" hidden="1" customWidth="1"/>
    <col min="37" max="37" width="10" customWidth="1"/>
    <col min="38" max="38" width="9.77734375" customWidth="1"/>
    <col min="39" max="40" width="9.33203125" customWidth="1"/>
  </cols>
  <sheetData>
    <row r="1" spans="1:62" s="31" customFormat="1" x14ac:dyDescent="0.3">
      <c r="F1" s="50" t="s">
        <v>62</v>
      </c>
      <c r="G1" s="50"/>
      <c r="H1" s="50"/>
      <c r="I1" s="50"/>
      <c r="J1" s="50"/>
      <c r="R1" s="12"/>
    </row>
    <row r="2" spans="1:62" s="31" customFormat="1" x14ac:dyDescent="0.3">
      <c r="R2" s="12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spans="1:62" s="31" customFormat="1" ht="15" thickBot="1" x14ac:dyDescent="0.35">
      <c r="R3" s="12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</row>
    <row r="4" spans="1:62" ht="29.4" thickBot="1" x14ac:dyDescent="0.35">
      <c r="A4" s="1"/>
      <c r="B4" s="2"/>
      <c r="C4" s="45" t="s">
        <v>58</v>
      </c>
      <c r="D4" s="10" t="s">
        <v>18</v>
      </c>
      <c r="F4" s="362" t="s">
        <v>24</v>
      </c>
      <c r="G4" s="26"/>
      <c r="H4" s="368" t="s">
        <v>55</v>
      </c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370"/>
      <c r="Y4" s="370"/>
      <c r="Z4" s="370"/>
      <c r="AA4" s="37"/>
      <c r="AB4" s="37"/>
      <c r="AC4" s="37"/>
      <c r="AD4" s="37">
        <f>945+910+830</f>
        <v>2685</v>
      </c>
      <c r="AE4" s="37"/>
      <c r="AF4" s="37"/>
      <c r="AG4" s="37"/>
      <c r="AH4" s="37"/>
      <c r="AI4" s="37"/>
      <c r="AJ4" s="37"/>
      <c r="AK4" s="47"/>
      <c r="AL4" s="47"/>
      <c r="AM4" s="47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62" ht="15" thickBot="1" x14ac:dyDescent="0.35">
      <c r="A5" s="4" t="s">
        <v>19</v>
      </c>
      <c r="B5" s="9" t="s">
        <v>20</v>
      </c>
      <c r="C5" s="44" t="s">
        <v>56</v>
      </c>
      <c r="D5" s="6" t="s">
        <v>0</v>
      </c>
      <c r="F5" s="363"/>
      <c r="G5" s="54" t="s">
        <v>53</v>
      </c>
      <c r="H5" s="64">
        <v>2000</v>
      </c>
      <c r="I5" s="65">
        <v>2001</v>
      </c>
      <c r="J5" s="65">
        <v>2002</v>
      </c>
      <c r="K5" s="65">
        <v>2003</v>
      </c>
      <c r="L5" s="65">
        <v>2004</v>
      </c>
      <c r="M5" s="65">
        <v>2004</v>
      </c>
      <c r="N5" s="65">
        <v>2006</v>
      </c>
      <c r="O5" s="65">
        <v>2007</v>
      </c>
      <c r="P5" s="65">
        <v>2008</v>
      </c>
      <c r="Q5" s="65">
        <v>2009</v>
      </c>
      <c r="R5" s="311">
        <f>SUM(2010)</f>
        <v>2010</v>
      </c>
      <c r="S5" s="311">
        <v>2011</v>
      </c>
      <c r="T5" s="311">
        <v>2012</v>
      </c>
      <c r="U5" s="311">
        <v>2013</v>
      </c>
      <c r="V5" s="312">
        <v>2014</v>
      </c>
      <c r="W5" s="313">
        <v>2015</v>
      </c>
      <c r="X5" s="311">
        <v>2016</v>
      </c>
      <c r="Y5" s="311">
        <v>2017</v>
      </c>
      <c r="Z5" s="314">
        <v>2018</v>
      </c>
      <c r="AA5" s="315">
        <v>2019</v>
      </c>
      <c r="AB5" s="289">
        <v>2020</v>
      </c>
      <c r="AC5" s="92"/>
      <c r="AD5" s="37">
        <f>AD4/3</f>
        <v>895</v>
      </c>
      <c r="AE5" s="37"/>
      <c r="AF5" s="37"/>
      <c r="AG5" s="37"/>
      <c r="AH5" s="37"/>
      <c r="AI5" s="37"/>
      <c r="AJ5" s="37"/>
      <c r="AK5" s="3"/>
      <c r="AL5" s="3"/>
      <c r="AM5" s="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ht="17.55" customHeight="1" thickBot="1" x14ac:dyDescent="0.35">
      <c r="A6" s="42" t="s">
        <v>14</v>
      </c>
      <c r="B6" s="31" t="s">
        <v>22</v>
      </c>
      <c r="C6" s="40">
        <f>W6</f>
        <v>1760</v>
      </c>
      <c r="D6" s="34" t="str">
        <f t="shared" ref="D6:D22" si="0">IF($B6="CMA",$C6/D$24,"")</f>
        <v/>
      </c>
      <c r="F6" s="13" t="s">
        <v>25</v>
      </c>
      <c r="G6" s="55" t="s">
        <v>14</v>
      </c>
      <c r="H6" s="60">
        <v>626</v>
      </c>
      <c r="I6" s="57">
        <v>3217</v>
      </c>
      <c r="J6" s="57">
        <v>5334</v>
      </c>
      <c r="K6" s="57">
        <v>3204</v>
      </c>
      <c r="L6" s="57">
        <v>2019</v>
      </c>
      <c r="M6" s="57">
        <v>2880</v>
      </c>
      <c r="N6" s="57">
        <v>4078</v>
      </c>
      <c r="O6" s="57">
        <v>4667</v>
      </c>
      <c r="P6" s="57">
        <v>2803</v>
      </c>
      <c r="Q6" s="57">
        <v>3188</v>
      </c>
      <c r="R6" s="316">
        <v>2838</v>
      </c>
      <c r="S6" s="316">
        <v>1784</v>
      </c>
      <c r="T6" s="316">
        <v>2416</v>
      </c>
      <c r="U6" s="316">
        <v>1769</v>
      </c>
      <c r="V6" s="317">
        <v>1377</v>
      </c>
      <c r="W6" s="318">
        <v>1760</v>
      </c>
      <c r="X6" s="316">
        <v>1511</v>
      </c>
      <c r="Y6" s="316">
        <v>1511</v>
      </c>
      <c r="Z6" s="319">
        <v>1552</v>
      </c>
      <c r="AA6" s="320">
        <v>1062</v>
      </c>
      <c r="AB6" s="290">
        <v>513</v>
      </c>
      <c r="AC6" s="84"/>
      <c r="AD6" s="150"/>
      <c r="AE6" s="295" t="s">
        <v>109</v>
      </c>
      <c r="AF6" s="296" t="s">
        <v>110</v>
      </c>
      <c r="AG6" s="300"/>
      <c r="AH6" s="300"/>
      <c r="AI6" s="300"/>
      <c r="AJ6" s="90"/>
      <c r="AK6" s="301"/>
      <c r="AL6" s="48"/>
      <c r="AM6" s="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ht="15" thickBot="1" x14ac:dyDescent="0.35">
      <c r="A7" s="43" t="s">
        <v>1</v>
      </c>
      <c r="B7" s="31" t="s">
        <v>18</v>
      </c>
      <c r="C7" s="38">
        <f>W7</f>
        <v>945</v>
      </c>
      <c r="D7" s="34">
        <f t="shared" si="0"/>
        <v>1.4968637141227904E-2</v>
      </c>
      <c r="F7" s="13" t="s">
        <v>26</v>
      </c>
      <c r="G7" s="55" t="s">
        <v>1</v>
      </c>
      <c r="H7" s="60">
        <v>359</v>
      </c>
      <c r="I7" s="57">
        <v>554</v>
      </c>
      <c r="J7" s="57">
        <v>505</v>
      </c>
      <c r="K7" s="57">
        <v>391</v>
      </c>
      <c r="L7" s="57">
        <v>587</v>
      </c>
      <c r="M7" s="57">
        <v>619</v>
      </c>
      <c r="N7" s="57">
        <v>2526</v>
      </c>
      <c r="O7" s="57">
        <v>1867</v>
      </c>
      <c r="P7" s="57">
        <v>1256</v>
      </c>
      <c r="Q7" s="57">
        <v>1471</v>
      </c>
      <c r="R7" s="316">
        <v>745</v>
      </c>
      <c r="S7" s="316">
        <v>652</v>
      </c>
      <c r="T7" s="316">
        <v>702</v>
      </c>
      <c r="U7" s="316">
        <v>757</v>
      </c>
      <c r="V7" s="317">
        <v>728</v>
      </c>
      <c r="W7" s="318">
        <v>945</v>
      </c>
      <c r="X7" s="316">
        <v>910</v>
      </c>
      <c r="Y7" s="316">
        <v>830</v>
      </c>
      <c r="Z7" s="316">
        <v>751</v>
      </c>
      <c r="AA7" s="321">
        <v>796</v>
      </c>
      <c r="AB7" s="291">
        <v>1158</v>
      </c>
      <c r="AC7" s="84"/>
      <c r="AD7" s="153" t="s">
        <v>1</v>
      </c>
      <c r="AE7" s="226">
        <f>SUM(W7,X7,Y7)/3</f>
        <v>895</v>
      </c>
      <c r="AF7" s="297">
        <f>SUM(N7,Q7,O7,P7,W7)/5</f>
        <v>1613</v>
      </c>
      <c r="AG7" s="302"/>
      <c r="AH7" s="303"/>
      <c r="AI7" s="304"/>
      <c r="AJ7" s="90"/>
      <c r="AK7" s="301"/>
      <c r="AL7" s="3"/>
      <c r="AM7" s="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ht="15" thickBot="1" x14ac:dyDescent="0.35">
      <c r="A8" s="43" t="s">
        <v>2</v>
      </c>
      <c r="B8" s="31" t="s">
        <v>17</v>
      </c>
      <c r="C8" s="38">
        <f>W8</f>
        <v>4556</v>
      </c>
      <c r="D8" s="34" t="str">
        <f t="shared" si="0"/>
        <v/>
      </c>
      <c r="F8" s="13" t="s">
        <v>27</v>
      </c>
      <c r="G8" s="55" t="s">
        <v>2</v>
      </c>
      <c r="H8" s="60"/>
      <c r="I8" s="57">
        <v>9</v>
      </c>
      <c r="J8" s="57">
        <v>1136</v>
      </c>
      <c r="K8" s="57">
        <v>1874</v>
      </c>
      <c r="L8" s="57">
        <v>2172</v>
      </c>
      <c r="M8" s="57">
        <v>2292</v>
      </c>
      <c r="N8" s="57">
        <v>1993</v>
      </c>
      <c r="O8" s="57">
        <v>2999</v>
      </c>
      <c r="P8" s="57">
        <v>2467</v>
      </c>
      <c r="Q8" s="57">
        <v>4643</v>
      </c>
      <c r="R8" s="316">
        <v>4911</v>
      </c>
      <c r="S8" s="316">
        <v>5559</v>
      </c>
      <c r="T8" s="316">
        <v>10627</v>
      </c>
      <c r="U8" s="316">
        <v>5985</v>
      </c>
      <c r="V8" s="317">
        <v>4483</v>
      </c>
      <c r="W8" s="318">
        <v>4556</v>
      </c>
      <c r="X8" s="316">
        <v>4757</v>
      </c>
      <c r="Y8" s="316">
        <v>3310</v>
      </c>
      <c r="Z8" s="316">
        <v>4715</v>
      </c>
      <c r="AA8" s="321">
        <v>5302</v>
      </c>
      <c r="AB8" s="291">
        <v>2441</v>
      </c>
      <c r="AC8" s="84"/>
      <c r="AD8" s="153" t="s">
        <v>2</v>
      </c>
      <c r="AE8" s="226">
        <f>SUM(T8,U8,S8)/3</f>
        <v>7390.333333333333</v>
      </c>
      <c r="AF8" s="297">
        <f>SUM(T8,S8,U8,AA8,R8)/5</f>
        <v>6476.8</v>
      </c>
      <c r="AG8" s="302"/>
      <c r="AH8" s="303"/>
      <c r="AI8" s="304"/>
      <c r="AJ8" s="90"/>
      <c r="AK8" s="301"/>
      <c r="AL8" s="3"/>
      <c r="AM8" s="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ht="15" thickBot="1" x14ac:dyDescent="0.35">
      <c r="A9" s="43" t="s">
        <v>3</v>
      </c>
      <c r="B9" s="31" t="s">
        <v>18</v>
      </c>
      <c r="C9" s="38">
        <f>W9</f>
        <v>5643</v>
      </c>
      <c r="D9" s="34">
        <f t="shared" si="0"/>
        <v>8.93841475004752E-2</v>
      </c>
      <c r="F9" s="13" t="s">
        <v>28</v>
      </c>
      <c r="G9" s="55" t="s">
        <v>3</v>
      </c>
      <c r="H9" s="60">
        <v>4503</v>
      </c>
      <c r="I9" s="57">
        <v>7294</v>
      </c>
      <c r="J9" s="57">
        <v>6284</v>
      </c>
      <c r="K9" s="57">
        <v>4053</v>
      </c>
      <c r="L9" s="57">
        <v>6066</v>
      </c>
      <c r="M9" s="57">
        <v>5598</v>
      </c>
      <c r="N9" s="57">
        <v>5473</v>
      </c>
      <c r="O9" s="57">
        <v>3998</v>
      </c>
      <c r="P9" s="57">
        <v>4520</v>
      </c>
      <c r="Q9" s="57">
        <v>5609</v>
      </c>
      <c r="R9" s="316">
        <v>5771</v>
      </c>
      <c r="S9" s="316">
        <v>4165</v>
      </c>
      <c r="T9" s="316">
        <v>4165</v>
      </c>
      <c r="U9" s="316">
        <v>3642</v>
      </c>
      <c r="V9" s="317">
        <v>3916</v>
      </c>
      <c r="W9" s="318">
        <v>5643</v>
      </c>
      <c r="X9" s="316">
        <v>4783</v>
      </c>
      <c r="Y9" s="316">
        <v>5871</v>
      </c>
      <c r="Z9" s="316">
        <v>5466</v>
      </c>
      <c r="AA9" s="321">
        <v>5140</v>
      </c>
      <c r="AB9" s="291">
        <v>3826</v>
      </c>
      <c r="AC9" s="84"/>
      <c r="AD9" s="153" t="s">
        <v>3</v>
      </c>
      <c r="AE9" s="226">
        <f>SUM(Y9,W9,R9)/3</f>
        <v>5761.666666666667</v>
      </c>
      <c r="AF9" s="297">
        <f>SUM(R9,W9,Y9,Q9,M9)/5</f>
        <v>5698.4</v>
      </c>
      <c r="AG9" s="302"/>
      <c r="AH9" s="303"/>
      <c r="AI9" s="304"/>
      <c r="AJ9" s="90"/>
      <c r="AK9" s="301"/>
      <c r="AL9" s="3"/>
      <c r="AM9" s="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ht="15" thickBot="1" x14ac:dyDescent="0.35">
      <c r="A10" s="43" t="s">
        <v>47</v>
      </c>
      <c r="B10" s="31" t="s">
        <v>22</v>
      </c>
      <c r="C10" s="38">
        <f>W10+W27</f>
        <v>23222</v>
      </c>
      <c r="D10" s="34" t="str">
        <f t="shared" si="0"/>
        <v/>
      </c>
      <c r="F10" s="53" t="s">
        <v>40</v>
      </c>
      <c r="G10" s="56" t="s">
        <v>47</v>
      </c>
      <c r="H10" s="61">
        <v>12828</v>
      </c>
      <c r="I10" s="58">
        <v>22174</v>
      </c>
      <c r="J10" s="58">
        <v>28042</v>
      </c>
      <c r="K10" s="58">
        <v>25659</v>
      </c>
      <c r="L10" s="58">
        <v>23827</v>
      </c>
      <c r="M10" s="58">
        <v>23315</v>
      </c>
      <c r="N10" s="58">
        <v>19167</v>
      </c>
      <c r="O10" s="58">
        <v>16276</v>
      </c>
      <c r="P10" s="58">
        <v>23030</v>
      </c>
      <c r="Q10" s="58">
        <v>30260</v>
      </c>
      <c r="R10" s="316">
        <v>40349</v>
      </c>
      <c r="S10" s="316">
        <v>22910</v>
      </c>
      <c r="T10" s="316">
        <v>29764</v>
      </c>
      <c r="U10" s="316">
        <v>29698</v>
      </c>
      <c r="V10" s="317">
        <v>19984</v>
      </c>
      <c r="W10" s="318">
        <v>23045</v>
      </c>
      <c r="X10" s="316">
        <v>16818</v>
      </c>
      <c r="Y10" s="316">
        <v>35799</v>
      </c>
      <c r="Z10" s="322">
        <v>27400</v>
      </c>
      <c r="AA10" s="323">
        <v>31355</v>
      </c>
      <c r="AB10" s="292">
        <v>28199</v>
      </c>
      <c r="AC10" s="93"/>
      <c r="AD10" s="153" t="s">
        <v>13</v>
      </c>
      <c r="AE10" s="226">
        <f>SUM(X11,W11,R11)/3</f>
        <v>2873.3333333333335</v>
      </c>
      <c r="AF10" s="297">
        <f>SUM(X11,W11,R11,V11,T11)/5</f>
        <v>2219.1999999999998</v>
      </c>
      <c r="AG10" s="302"/>
      <c r="AH10" s="303"/>
      <c r="AI10" s="304"/>
      <c r="AJ10" s="90"/>
      <c r="AK10" s="301"/>
      <c r="AL10" s="3"/>
      <c r="AM10" s="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ht="15" thickBot="1" x14ac:dyDescent="0.35">
      <c r="A11" s="43" t="s">
        <v>13</v>
      </c>
      <c r="B11" s="31" t="s">
        <v>21</v>
      </c>
      <c r="C11" s="38">
        <f>W11</f>
        <v>2578</v>
      </c>
      <c r="D11" s="34" t="str">
        <f t="shared" si="0"/>
        <v/>
      </c>
      <c r="F11" s="13" t="s">
        <v>41</v>
      </c>
      <c r="G11" s="55" t="s">
        <v>13</v>
      </c>
      <c r="H11" s="60">
        <v>269</v>
      </c>
      <c r="I11" s="57">
        <v>726</v>
      </c>
      <c r="J11" s="57">
        <v>758</v>
      </c>
      <c r="K11" s="57">
        <v>673</v>
      </c>
      <c r="L11" s="57">
        <v>832</v>
      </c>
      <c r="M11" s="57">
        <v>239</v>
      </c>
      <c r="N11" s="57">
        <v>299</v>
      </c>
      <c r="O11" s="57">
        <v>675</v>
      </c>
      <c r="P11" s="57">
        <v>360</v>
      </c>
      <c r="Q11" s="57">
        <v>1125</v>
      </c>
      <c r="R11" s="316">
        <v>1290</v>
      </c>
      <c r="S11" s="316">
        <v>550</v>
      </c>
      <c r="T11" s="316">
        <v>1218</v>
      </c>
      <c r="U11" s="316">
        <v>828</v>
      </c>
      <c r="V11" s="317">
        <v>1258</v>
      </c>
      <c r="W11" s="318">
        <v>2578</v>
      </c>
      <c r="X11" s="316">
        <v>4752</v>
      </c>
      <c r="Y11" s="316">
        <v>426</v>
      </c>
      <c r="Z11" s="316">
        <v>72</v>
      </c>
      <c r="AA11" s="321">
        <v>1127</v>
      </c>
      <c r="AB11" s="291">
        <v>2837</v>
      </c>
      <c r="AC11" s="84"/>
      <c r="AD11" s="153" t="s">
        <v>4</v>
      </c>
      <c r="AE11" s="226">
        <f>SUM(U13,Z13,AA13)/3</f>
        <v>370.66666666666669</v>
      </c>
      <c r="AF11" s="298">
        <f>SUM(P13,AA13,Z13,U13,N13)/5</f>
        <v>341.4</v>
      </c>
      <c r="AG11" s="302"/>
      <c r="AH11" s="303"/>
      <c r="AI11" s="304"/>
      <c r="AJ11" s="90"/>
      <c r="AK11" s="301"/>
      <c r="AL11" s="3"/>
      <c r="AM11" s="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ht="15" thickBot="1" x14ac:dyDescent="0.35">
      <c r="A12" s="43" t="s">
        <v>16</v>
      </c>
      <c r="B12" s="31" t="s">
        <v>22</v>
      </c>
      <c r="C12" s="38">
        <f>W12</f>
        <v>1578</v>
      </c>
      <c r="D12" s="34" t="str">
        <f t="shared" si="0"/>
        <v/>
      </c>
      <c r="F12" s="13" t="s">
        <v>29</v>
      </c>
      <c r="G12" s="55" t="s">
        <v>16</v>
      </c>
      <c r="H12" s="60">
        <v>885</v>
      </c>
      <c r="I12" s="57">
        <v>1015</v>
      </c>
      <c r="J12" s="57">
        <v>1160</v>
      </c>
      <c r="K12" s="57">
        <v>1087</v>
      </c>
      <c r="L12" s="57">
        <v>1367</v>
      </c>
      <c r="M12" s="57">
        <v>1579</v>
      </c>
      <c r="N12" s="57">
        <v>1348</v>
      </c>
      <c r="O12" s="57">
        <v>1312</v>
      </c>
      <c r="P12" s="57">
        <v>1484</v>
      </c>
      <c r="Q12" s="57">
        <v>1611</v>
      </c>
      <c r="R12" s="316">
        <v>1932</v>
      </c>
      <c r="S12" s="316">
        <v>1734</v>
      </c>
      <c r="T12" s="316">
        <v>1711</v>
      </c>
      <c r="U12" s="316">
        <v>1713</v>
      </c>
      <c r="V12" s="317">
        <v>1628</v>
      </c>
      <c r="W12" s="318">
        <v>1578</v>
      </c>
      <c r="X12" s="316">
        <v>1745</v>
      </c>
      <c r="Y12" s="316">
        <v>1719</v>
      </c>
      <c r="Z12" s="316">
        <v>1742</v>
      </c>
      <c r="AA12" s="321">
        <v>2009</v>
      </c>
      <c r="AB12" s="293">
        <v>1896</v>
      </c>
      <c r="AC12" s="84"/>
      <c r="AD12" s="153" t="s">
        <v>5</v>
      </c>
      <c r="AE12" s="297">
        <f>SUM(AA14,R14,S14)/3</f>
        <v>574.33333333333337</v>
      </c>
      <c r="AF12" s="329">
        <f>SUM(N14,AA14,R14,S14,Q14)/5</f>
        <v>528.20000000000005</v>
      </c>
      <c r="AG12" s="327"/>
      <c r="AH12" s="303"/>
      <c r="AI12" s="304"/>
      <c r="AJ12" s="90"/>
      <c r="AK12" s="301"/>
      <c r="AL12" s="3"/>
      <c r="AM12" s="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ht="15" thickBot="1" x14ac:dyDescent="0.35">
      <c r="A13" s="43" t="s">
        <v>4</v>
      </c>
      <c r="B13" s="31" t="s">
        <v>18</v>
      </c>
      <c r="C13" s="38">
        <f>W13</f>
        <v>196</v>
      </c>
      <c r="D13" s="34">
        <f t="shared" si="0"/>
        <v>3.1046062218843058E-3</v>
      </c>
      <c r="F13" s="13" t="s">
        <v>30</v>
      </c>
      <c r="G13" s="55" t="s">
        <v>4</v>
      </c>
      <c r="H13" s="60" t="s">
        <v>42</v>
      </c>
      <c r="I13" s="57" t="s">
        <v>42</v>
      </c>
      <c r="J13" s="57">
        <v>34</v>
      </c>
      <c r="K13" s="57" t="s">
        <v>42</v>
      </c>
      <c r="L13" s="57" t="s">
        <v>42</v>
      </c>
      <c r="M13" s="57">
        <v>55</v>
      </c>
      <c r="N13" s="57">
        <v>258</v>
      </c>
      <c r="O13" s="57">
        <v>216</v>
      </c>
      <c r="P13" s="57">
        <v>337</v>
      </c>
      <c r="Q13" s="57">
        <v>241</v>
      </c>
      <c r="R13" s="316">
        <v>196</v>
      </c>
      <c r="S13" s="316">
        <v>0</v>
      </c>
      <c r="T13" s="316">
        <v>0</v>
      </c>
      <c r="U13" s="316">
        <v>362</v>
      </c>
      <c r="V13" s="317">
        <v>208</v>
      </c>
      <c r="W13" s="318">
        <v>196</v>
      </c>
      <c r="X13" s="316">
        <v>88</v>
      </c>
      <c r="Y13" s="316">
        <v>14</v>
      </c>
      <c r="Z13" s="316">
        <v>364</v>
      </c>
      <c r="AA13" s="321">
        <v>386</v>
      </c>
      <c r="AB13" s="291">
        <v>165</v>
      </c>
      <c r="AC13" s="84"/>
      <c r="AD13" s="153" t="s">
        <v>6</v>
      </c>
      <c r="AE13" s="297">
        <f>SUM(X16,Y16,Z16)/3</f>
        <v>1416.3333333333333</v>
      </c>
      <c r="AF13" s="329">
        <f>SUM(M16,O16,Y16,N16,X16)/5</f>
        <v>1737.6</v>
      </c>
      <c r="AG13" s="327"/>
      <c r="AH13" s="303"/>
      <c r="AI13" s="304"/>
      <c r="AJ13" s="90"/>
      <c r="AK13" s="301"/>
      <c r="AL13" s="3"/>
      <c r="AM13" s="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ht="15" thickBot="1" x14ac:dyDescent="0.35">
      <c r="A14" s="43" t="s">
        <v>5</v>
      </c>
      <c r="B14" s="31" t="s">
        <v>18</v>
      </c>
      <c r="C14" s="38">
        <f>W14+W28</f>
        <v>2648</v>
      </c>
      <c r="D14" s="34">
        <f t="shared" si="0"/>
        <v>4.1943863650763483E-2</v>
      </c>
      <c r="F14" s="13" t="s">
        <v>31</v>
      </c>
      <c r="G14" s="55" t="s">
        <v>5</v>
      </c>
      <c r="H14" s="60">
        <v>1334</v>
      </c>
      <c r="I14" s="57">
        <v>2593</v>
      </c>
      <c r="J14" s="57">
        <v>2522</v>
      </c>
      <c r="K14" s="57">
        <v>2936</v>
      </c>
      <c r="L14" s="57">
        <v>1246</v>
      </c>
      <c r="M14" s="57">
        <v>602</v>
      </c>
      <c r="N14" s="57">
        <v>496</v>
      </c>
      <c r="O14" s="57">
        <v>277</v>
      </c>
      <c r="P14" s="57">
        <v>382</v>
      </c>
      <c r="Q14" s="57">
        <v>422</v>
      </c>
      <c r="R14" s="316">
        <v>460</v>
      </c>
      <c r="S14" s="316">
        <v>418</v>
      </c>
      <c r="T14" s="316">
        <v>266</v>
      </c>
      <c r="U14" s="316">
        <v>302</v>
      </c>
      <c r="V14" s="317">
        <v>311</v>
      </c>
      <c r="W14" s="318">
        <v>223</v>
      </c>
      <c r="X14" s="316">
        <v>233</v>
      </c>
      <c r="Y14" s="316">
        <v>181</v>
      </c>
      <c r="Z14" s="316">
        <v>239</v>
      </c>
      <c r="AA14" s="321">
        <v>845</v>
      </c>
      <c r="AB14" s="291">
        <v>171</v>
      </c>
      <c r="AC14" s="84"/>
      <c r="AD14" s="153" t="s">
        <v>7</v>
      </c>
      <c r="AE14" s="226">
        <f>SUM(V17,U17,T17)/3</f>
        <v>10119</v>
      </c>
      <c r="AF14" s="328">
        <f>SUM(V17,Q17,U17,T17,Z17)/5</f>
        <v>9498.2000000000007</v>
      </c>
      <c r="AG14" s="302"/>
      <c r="AH14" s="303"/>
      <c r="AI14" s="304"/>
      <c r="AJ14" s="90"/>
      <c r="AK14" s="301"/>
      <c r="AL14" s="3"/>
      <c r="AM14" s="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ht="15" thickBot="1" x14ac:dyDescent="0.35">
      <c r="A15" s="43" t="s">
        <v>15</v>
      </c>
      <c r="B15" s="31" t="s">
        <v>22</v>
      </c>
      <c r="C15" s="38">
        <f t="shared" ref="C15:C22" si="1">W15</f>
        <v>3418</v>
      </c>
      <c r="D15" s="34" t="str">
        <f t="shared" si="0"/>
        <v/>
      </c>
      <c r="F15" s="13" t="s">
        <v>32</v>
      </c>
      <c r="G15" s="55" t="s">
        <v>15</v>
      </c>
      <c r="H15" s="60">
        <v>3463</v>
      </c>
      <c r="I15" s="57">
        <v>4261</v>
      </c>
      <c r="J15" s="57">
        <v>4555</v>
      </c>
      <c r="K15" s="57">
        <v>3813</v>
      </c>
      <c r="L15" s="57">
        <v>2211</v>
      </c>
      <c r="M15" s="57">
        <v>2259</v>
      </c>
      <c r="N15" s="57">
        <v>2846</v>
      </c>
      <c r="O15" s="57">
        <v>3924</v>
      </c>
      <c r="P15" s="57">
        <v>3060</v>
      </c>
      <c r="Q15" s="57">
        <v>3560</v>
      </c>
      <c r="R15" s="316">
        <v>3482</v>
      </c>
      <c r="S15" s="316">
        <v>3224</v>
      </c>
      <c r="T15" s="316">
        <v>3591</v>
      </c>
      <c r="U15" s="316">
        <v>3495</v>
      </c>
      <c r="V15" s="317">
        <v>3744</v>
      </c>
      <c r="W15" s="318">
        <v>3418</v>
      </c>
      <c r="X15" s="316">
        <v>3276</v>
      </c>
      <c r="Y15" s="316">
        <v>2148</v>
      </c>
      <c r="Z15" s="316">
        <v>3058</v>
      </c>
      <c r="AA15" s="321">
        <v>3439</v>
      </c>
      <c r="AB15" s="291">
        <v>2812</v>
      </c>
      <c r="AC15" s="84"/>
      <c r="AD15" s="153" t="s">
        <v>8</v>
      </c>
      <c r="AE15" s="226">
        <f>SUM(AA18,X18,W18)/3</f>
        <v>2094.6666666666665</v>
      </c>
      <c r="AF15" s="297">
        <f>SUM(W18,X18,Y18,AA18,Z18)/5</f>
        <v>1715.6</v>
      </c>
      <c r="AG15" s="302"/>
      <c r="AH15" s="303"/>
      <c r="AI15" s="304"/>
      <c r="AJ15" s="90"/>
      <c r="AK15" s="301"/>
      <c r="AL15" s="3"/>
      <c r="AM15" s="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</row>
    <row r="16" spans="1:62" ht="15" thickBot="1" x14ac:dyDescent="0.35">
      <c r="A16" s="43" t="s">
        <v>6</v>
      </c>
      <c r="B16" s="31" t="s">
        <v>21</v>
      </c>
      <c r="C16" s="38">
        <f t="shared" si="1"/>
        <v>459</v>
      </c>
      <c r="D16" s="34" t="str">
        <f t="shared" si="0"/>
        <v/>
      </c>
      <c r="F16" s="13" t="s">
        <v>43</v>
      </c>
      <c r="G16" s="55" t="s">
        <v>6</v>
      </c>
      <c r="H16" s="60">
        <v>105</v>
      </c>
      <c r="I16" s="57">
        <v>72</v>
      </c>
      <c r="J16" s="57">
        <v>82</v>
      </c>
      <c r="K16" s="57">
        <v>645</v>
      </c>
      <c r="L16" s="57">
        <v>1529</v>
      </c>
      <c r="M16" s="57">
        <v>2181</v>
      </c>
      <c r="N16" s="57">
        <v>1790</v>
      </c>
      <c r="O16" s="57">
        <v>1919</v>
      </c>
      <c r="P16" s="57">
        <v>507</v>
      </c>
      <c r="Q16" s="57">
        <v>864</v>
      </c>
      <c r="R16" s="316">
        <v>795</v>
      </c>
      <c r="S16" s="316">
        <v>294</v>
      </c>
      <c r="T16" s="316">
        <v>801</v>
      </c>
      <c r="U16" s="316">
        <v>237</v>
      </c>
      <c r="V16" s="317">
        <v>310</v>
      </c>
      <c r="W16" s="318">
        <v>459</v>
      </c>
      <c r="X16" s="316">
        <v>1185</v>
      </c>
      <c r="Y16" s="316">
        <v>1613</v>
      </c>
      <c r="Z16" s="316">
        <v>1451</v>
      </c>
      <c r="AA16" s="321">
        <v>756</v>
      </c>
      <c r="AB16" s="291">
        <v>753</v>
      </c>
      <c r="AC16" s="84"/>
      <c r="AD16" s="153" t="s">
        <v>9</v>
      </c>
      <c r="AE16" s="226">
        <f>SUM(U19,AA19,X19)/3</f>
        <v>1263</v>
      </c>
      <c r="AF16" s="297">
        <f>SUM(U19,X19,W19,T19,AA19)/5</f>
        <v>1051.8</v>
      </c>
      <c r="AG16" s="302"/>
      <c r="AH16" s="303"/>
      <c r="AI16" s="304"/>
      <c r="AJ16" s="90"/>
      <c r="AK16" s="301"/>
      <c r="AL16" s="3"/>
      <c r="AM16" s="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</row>
    <row r="17" spans="1:62" ht="15" thickBot="1" x14ac:dyDescent="0.35">
      <c r="A17" s="43" t="s">
        <v>7</v>
      </c>
      <c r="B17" s="31" t="s">
        <v>18</v>
      </c>
      <c r="C17" s="38">
        <f t="shared" si="1"/>
        <v>6887</v>
      </c>
      <c r="D17" s="34">
        <f t="shared" si="0"/>
        <v>0.10908889311284294</v>
      </c>
      <c r="F17" s="13" t="s">
        <v>33</v>
      </c>
      <c r="G17" s="55" t="s">
        <v>7</v>
      </c>
      <c r="H17" s="60">
        <v>404</v>
      </c>
      <c r="I17" s="57">
        <v>189</v>
      </c>
      <c r="J17" s="57">
        <v>1084</v>
      </c>
      <c r="K17" s="57">
        <v>980</v>
      </c>
      <c r="L17" s="57">
        <v>2450</v>
      </c>
      <c r="M17" s="57">
        <v>2742</v>
      </c>
      <c r="N17" s="57">
        <v>6476</v>
      </c>
      <c r="O17" s="57">
        <v>5035</v>
      </c>
      <c r="P17" s="57">
        <v>6637</v>
      </c>
      <c r="Q17" s="57">
        <v>10112</v>
      </c>
      <c r="R17" s="316">
        <v>6021</v>
      </c>
      <c r="S17" s="316">
        <v>6424</v>
      </c>
      <c r="T17" s="316">
        <v>8172</v>
      </c>
      <c r="U17" s="316">
        <v>9074</v>
      </c>
      <c r="V17" s="317">
        <v>13111</v>
      </c>
      <c r="W17" s="318">
        <v>6887</v>
      </c>
      <c r="X17" s="316">
        <v>3748</v>
      </c>
      <c r="Y17" s="316">
        <v>5548</v>
      </c>
      <c r="Z17" s="316">
        <v>7022</v>
      </c>
      <c r="AA17" s="321">
        <v>4498</v>
      </c>
      <c r="AB17" s="291">
        <v>3793</v>
      </c>
      <c r="AC17" s="84"/>
      <c r="AD17" s="153" t="s">
        <v>10</v>
      </c>
      <c r="AE17" s="226">
        <f>SUM(X20,U20,AA20)/3</f>
        <v>1480</v>
      </c>
      <c r="AF17" s="297">
        <f>SUM(AA20,Y20,U20,X20,Z20)/5</f>
        <v>1362</v>
      </c>
      <c r="AG17" s="302"/>
      <c r="AH17" s="303"/>
      <c r="AI17" s="304"/>
      <c r="AJ17" s="90"/>
      <c r="AK17" s="301"/>
      <c r="AL17" s="3"/>
      <c r="AM17" s="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</row>
    <row r="18" spans="1:62" ht="15" thickBot="1" x14ac:dyDescent="0.35">
      <c r="A18" s="43" t="s">
        <v>8</v>
      </c>
      <c r="B18" s="31" t="s">
        <v>18</v>
      </c>
      <c r="C18" s="38">
        <f t="shared" si="1"/>
        <v>1867</v>
      </c>
      <c r="D18" s="34">
        <f t="shared" si="0"/>
        <v>2.9572958246214281E-2</v>
      </c>
      <c r="F18" s="13" t="s">
        <v>34</v>
      </c>
      <c r="G18" s="55" t="s">
        <v>8</v>
      </c>
      <c r="H18" s="60"/>
      <c r="I18" s="57"/>
      <c r="J18" s="57"/>
      <c r="K18" s="57"/>
      <c r="L18" s="57"/>
      <c r="M18" s="57"/>
      <c r="N18" s="57"/>
      <c r="O18" s="57">
        <v>0</v>
      </c>
      <c r="P18" s="57">
        <v>144</v>
      </c>
      <c r="Q18" s="57">
        <v>0</v>
      </c>
      <c r="R18" s="316">
        <v>0</v>
      </c>
      <c r="S18" s="316">
        <v>108</v>
      </c>
      <c r="T18" s="316">
        <v>250</v>
      </c>
      <c r="U18" s="316">
        <v>0</v>
      </c>
      <c r="V18" s="317">
        <v>7</v>
      </c>
      <c r="W18" s="318">
        <v>1867</v>
      </c>
      <c r="X18" s="316">
        <v>2447</v>
      </c>
      <c r="Y18" s="316">
        <v>1662</v>
      </c>
      <c r="Z18" s="316">
        <v>632</v>
      </c>
      <c r="AA18" s="321">
        <v>1970</v>
      </c>
      <c r="AB18" s="291">
        <v>1066</v>
      </c>
      <c r="AC18" s="84"/>
      <c r="AD18" s="153" t="s">
        <v>11</v>
      </c>
      <c r="AE18" s="226">
        <f>SUM(Y21,U21,X21)/3</f>
        <v>7434.666666666667</v>
      </c>
      <c r="AF18" s="297">
        <f>SUM(Y21,X21,U21,M21,N21)/5</f>
        <v>7462.6</v>
      </c>
      <c r="AG18" s="302"/>
      <c r="AH18" s="303"/>
      <c r="AI18" s="304"/>
      <c r="AJ18" s="90"/>
      <c r="AK18" s="301"/>
      <c r="AL18" s="3"/>
      <c r="AM18" s="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ht="15" thickBot="1" x14ac:dyDescent="0.35">
      <c r="A19" s="43" t="s">
        <v>9</v>
      </c>
      <c r="B19" s="31" t="s">
        <v>18</v>
      </c>
      <c r="C19" s="38">
        <f t="shared" si="1"/>
        <v>710</v>
      </c>
      <c r="D19" s="34">
        <f t="shared" si="0"/>
        <v>1.1246277640499271E-2</v>
      </c>
      <c r="F19" s="13" t="s">
        <v>35</v>
      </c>
      <c r="G19" s="55" t="s">
        <v>9</v>
      </c>
      <c r="H19" s="60">
        <v>858</v>
      </c>
      <c r="I19" s="57">
        <v>1074</v>
      </c>
      <c r="J19" s="57">
        <v>845</v>
      </c>
      <c r="K19" s="57">
        <v>318</v>
      </c>
      <c r="L19" s="57">
        <v>206</v>
      </c>
      <c r="M19" s="57">
        <v>256</v>
      </c>
      <c r="N19" s="57">
        <v>405</v>
      </c>
      <c r="O19" s="57">
        <v>354</v>
      </c>
      <c r="P19" s="57">
        <v>220</v>
      </c>
      <c r="Q19" s="57">
        <v>124</v>
      </c>
      <c r="R19" s="316">
        <v>57</v>
      </c>
      <c r="S19" s="316">
        <v>36</v>
      </c>
      <c r="T19" s="316">
        <v>760</v>
      </c>
      <c r="U19" s="316">
        <v>1471</v>
      </c>
      <c r="V19" s="317">
        <v>264</v>
      </c>
      <c r="W19" s="318">
        <v>710</v>
      </c>
      <c r="X19" s="316">
        <v>1105</v>
      </c>
      <c r="Y19" s="316">
        <v>611</v>
      </c>
      <c r="Z19" s="316">
        <v>655</v>
      </c>
      <c r="AA19" s="321">
        <v>1213</v>
      </c>
      <c r="AB19" s="293">
        <v>829</v>
      </c>
      <c r="AC19" s="84"/>
      <c r="AD19" s="154" t="s">
        <v>12</v>
      </c>
      <c r="AE19" s="228">
        <f>SUM(R22,T22,U22)/3</f>
        <v>2069.6666666666665</v>
      </c>
      <c r="AF19" s="298">
        <f>SUM(O22,Q22,R22,P22,N22)/5</f>
        <v>2582.6</v>
      </c>
      <c r="AG19" s="302"/>
      <c r="AH19" s="303"/>
      <c r="AI19" s="304"/>
      <c r="AJ19" s="90"/>
      <c r="AK19" s="301"/>
      <c r="AL19" s="3"/>
      <c r="AM19" s="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ht="15" thickBot="1" x14ac:dyDescent="0.35">
      <c r="A20" s="43" t="s">
        <v>10</v>
      </c>
      <c r="B20" s="31" t="s">
        <v>18</v>
      </c>
      <c r="C20" s="38">
        <f t="shared" si="1"/>
        <v>406</v>
      </c>
      <c r="D20" s="34">
        <f t="shared" si="0"/>
        <v>6.4309700310460618E-3</v>
      </c>
      <c r="F20" s="13" t="s">
        <v>36</v>
      </c>
      <c r="G20" s="55" t="s">
        <v>10</v>
      </c>
      <c r="H20" s="60">
        <v>240</v>
      </c>
      <c r="I20" s="57">
        <v>103</v>
      </c>
      <c r="J20" s="57">
        <v>186</v>
      </c>
      <c r="K20" s="57">
        <v>52</v>
      </c>
      <c r="L20" s="57">
        <v>224</v>
      </c>
      <c r="M20" s="57">
        <v>296</v>
      </c>
      <c r="N20" s="57">
        <v>8</v>
      </c>
      <c r="O20" s="57">
        <v>459</v>
      </c>
      <c r="P20" s="57">
        <v>159</v>
      </c>
      <c r="Q20" s="57">
        <v>351</v>
      </c>
      <c r="R20" s="316">
        <v>675</v>
      </c>
      <c r="S20" s="316">
        <v>467</v>
      </c>
      <c r="T20" s="316">
        <v>930</v>
      </c>
      <c r="U20" s="316">
        <v>1491</v>
      </c>
      <c r="V20" s="317">
        <v>475</v>
      </c>
      <c r="W20" s="318">
        <v>406</v>
      </c>
      <c r="X20" s="316">
        <v>1501</v>
      </c>
      <c r="Y20" s="316">
        <v>1426</v>
      </c>
      <c r="Z20" s="316">
        <v>944</v>
      </c>
      <c r="AA20" s="321">
        <v>1448</v>
      </c>
      <c r="AB20" s="291">
        <v>665</v>
      </c>
      <c r="AC20" s="84"/>
      <c r="AD20" s="155" t="s">
        <v>45</v>
      </c>
      <c r="AE20" s="229">
        <f>SUM(AE7:AE19)</f>
        <v>43742.666666666657</v>
      </c>
      <c r="AF20" s="299">
        <f>SUM(AF7:AF19)</f>
        <v>42287.399999999994</v>
      </c>
      <c r="AG20" s="305"/>
      <c r="AH20" s="306"/>
      <c r="AI20" s="307"/>
      <c r="AJ20" s="90"/>
      <c r="AK20" s="301"/>
      <c r="AL20" s="3"/>
      <c r="AM20" s="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ht="15" thickBot="1" x14ac:dyDescent="0.35">
      <c r="A21" s="43" t="s">
        <v>11</v>
      </c>
      <c r="B21" s="31" t="s">
        <v>18</v>
      </c>
      <c r="C21" s="38">
        <f t="shared" si="1"/>
        <v>5419</v>
      </c>
      <c r="D21" s="34">
        <f t="shared" si="0"/>
        <v>8.5836026104035984E-2</v>
      </c>
      <c r="F21" s="13" t="s">
        <v>37</v>
      </c>
      <c r="G21" s="55" t="s">
        <v>11</v>
      </c>
      <c r="H21" s="60">
        <v>2901</v>
      </c>
      <c r="I21" s="57">
        <v>2875</v>
      </c>
      <c r="J21" s="57">
        <v>2680</v>
      </c>
      <c r="K21" s="57">
        <v>2946</v>
      </c>
      <c r="L21" s="57">
        <v>4100</v>
      </c>
      <c r="M21" s="57">
        <v>6674</v>
      </c>
      <c r="N21" s="57">
        <v>8335</v>
      </c>
      <c r="O21" s="57">
        <v>5065</v>
      </c>
      <c r="P21" s="57">
        <v>5474</v>
      </c>
      <c r="Q21" s="57">
        <v>5493</v>
      </c>
      <c r="R21" s="316">
        <v>4790</v>
      </c>
      <c r="S21" s="316">
        <v>6077</v>
      </c>
      <c r="T21" s="316">
        <v>4281</v>
      </c>
      <c r="U21" s="316">
        <v>6819</v>
      </c>
      <c r="V21" s="317">
        <v>6604</v>
      </c>
      <c r="W21" s="318">
        <v>5419</v>
      </c>
      <c r="X21" s="316">
        <v>7513</v>
      </c>
      <c r="Y21" s="316">
        <v>7972</v>
      </c>
      <c r="Z21" s="316">
        <v>5602</v>
      </c>
      <c r="AA21" s="321">
        <v>3195</v>
      </c>
      <c r="AB21" s="291">
        <v>5180</v>
      </c>
      <c r="AC21" s="84"/>
      <c r="AD21" s="37"/>
      <c r="AE21" s="37"/>
      <c r="AF21" s="37"/>
      <c r="AG21" s="308"/>
      <c r="AH21" s="309"/>
      <c r="AI21" s="308"/>
      <c r="AJ21" s="90"/>
      <c r="AK21" s="301"/>
      <c r="AL21" s="3"/>
      <c r="AM21" s="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ht="15" thickBot="1" x14ac:dyDescent="0.35">
      <c r="A22" s="43" t="s">
        <v>12</v>
      </c>
      <c r="B22" s="31" t="s">
        <v>18</v>
      </c>
      <c r="C22" s="38">
        <f t="shared" si="1"/>
        <v>840</v>
      </c>
      <c r="D22" s="34">
        <f t="shared" si="0"/>
        <v>1.3305455236647026E-2</v>
      </c>
      <c r="F22" s="13" t="s">
        <v>44</v>
      </c>
      <c r="G22" s="55" t="s">
        <v>12</v>
      </c>
      <c r="H22" s="60">
        <v>4067</v>
      </c>
      <c r="I22" s="57">
        <v>4820</v>
      </c>
      <c r="J22" s="57">
        <v>4205</v>
      </c>
      <c r="K22" s="57">
        <v>2253</v>
      </c>
      <c r="L22" s="57">
        <v>1233</v>
      </c>
      <c r="M22" s="57">
        <v>1263</v>
      </c>
      <c r="N22" s="57">
        <v>2113</v>
      </c>
      <c r="O22" s="57">
        <v>3113</v>
      </c>
      <c r="P22" s="57">
        <v>2342</v>
      </c>
      <c r="Q22" s="57">
        <v>2816</v>
      </c>
      <c r="R22" s="316">
        <v>2529</v>
      </c>
      <c r="S22" s="316">
        <v>1415</v>
      </c>
      <c r="T22" s="316">
        <v>2038</v>
      </c>
      <c r="U22" s="316">
        <v>1642</v>
      </c>
      <c r="V22" s="317">
        <v>800</v>
      </c>
      <c r="W22" s="324">
        <v>840</v>
      </c>
      <c r="X22" s="325">
        <v>823</v>
      </c>
      <c r="Y22" s="325">
        <v>1638</v>
      </c>
      <c r="Z22" s="325">
        <v>1364</v>
      </c>
      <c r="AA22" s="326">
        <v>1442</v>
      </c>
      <c r="AB22" s="294">
        <v>700</v>
      </c>
      <c r="AC22" s="84"/>
      <c r="AD22" s="37"/>
      <c r="AE22" s="37"/>
      <c r="AF22" s="37"/>
      <c r="AG22" s="308"/>
      <c r="AH22" s="310">
        <f>SUM(AH7:AH19)</f>
        <v>0</v>
      </c>
      <c r="AI22" s="308"/>
      <c r="AJ22" s="90"/>
      <c r="AK22" s="301"/>
      <c r="AL22" s="3"/>
      <c r="AM22" s="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15" thickBot="1" x14ac:dyDescent="0.35">
      <c r="A23" s="41" t="s">
        <v>23</v>
      </c>
      <c r="B23" s="41"/>
      <c r="C23" s="39">
        <f>SUM(C6:C22)</f>
        <v>63132</v>
      </c>
      <c r="D23" s="7">
        <f>SUM(D6:D22)</f>
        <v>0.40488183488563639</v>
      </c>
      <c r="F23" s="14" t="s">
        <v>45</v>
      </c>
      <c r="G23" s="59"/>
      <c r="H23" s="62">
        <f>SUM(H6:H22)</f>
        <v>32842</v>
      </c>
      <c r="I23" s="63">
        <f t="shared" ref="I23:Z23" si="2">SUM(I6:I22)</f>
        <v>50976</v>
      </c>
      <c r="J23" s="63">
        <f t="shared" si="2"/>
        <v>59412</v>
      </c>
      <c r="K23" s="63">
        <f t="shared" si="2"/>
        <v>50884</v>
      </c>
      <c r="L23" s="63">
        <f t="shared" si="2"/>
        <v>50069</v>
      </c>
      <c r="M23" s="63">
        <f t="shared" si="2"/>
        <v>52850</v>
      </c>
      <c r="N23" s="63">
        <f>SUM(N6:N22)</f>
        <v>57611</v>
      </c>
      <c r="O23" s="63">
        <f t="shared" si="2"/>
        <v>52156</v>
      </c>
      <c r="P23" s="63">
        <f t="shared" si="2"/>
        <v>55182</v>
      </c>
      <c r="Q23" s="63">
        <f t="shared" si="2"/>
        <v>71890</v>
      </c>
      <c r="R23" s="63">
        <f t="shared" si="2"/>
        <v>76841</v>
      </c>
      <c r="S23" s="63">
        <f t="shared" si="2"/>
        <v>55817</v>
      </c>
      <c r="T23" s="63">
        <f t="shared" si="2"/>
        <v>71692</v>
      </c>
      <c r="U23" s="63">
        <f t="shared" si="2"/>
        <v>69285</v>
      </c>
      <c r="V23" s="63">
        <f t="shared" si="2"/>
        <v>59208</v>
      </c>
      <c r="W23" s="286">
        <f t="shared" si="2"/>
        <v>60530</v>
      </c>
      <c r="X23" s="286">
        <f t="shared" si="2"/>
        <v>57195</v>
      </c>
      <c r="Y23" s="286">
        <f t="shared" si="2"/>
        <v>72279</v>
      </c>
      <c r="Z23" s="287">
        <f t="shared" si="2"/>
        <v>63029</v>
      </c>
      <c r="AA23" s="288">
        <f>SUM(AA6:AA22)</f>
        <v>65983</v>
      </c>
      <c r="AB23" s="288">
        <f>SUM(AB6:AB22)</f>
        <v>57004</v>
      </c>
      <c r="AC23" s="84"/>
      <c r="AD23" s="12"/>
      <c r="AE23" s="12"/>
      <c r="AF23" s="12"/>
      <c r="AG23" s="309"/>
      <c r="AH23" s="309"/>
      <c r="AI23" s="309"/>
      <c r="AJ23" s="90"/>
      <c r="AK23" s="274"/>
      <c r="AL23" s="3"/>
      <c r="AM23" s="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15" thickBot="1" x14ac:dyDescent="0.35">
      <c r="A24" s="46" t="s">
        <v>59</v>
      </c>
      <c r="D24" s="8">
        <f>DSUM(CATCH,$C$5,$AQ$5:$AQ$6)</f>
        <v>63132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V24" s="31"/>
      <c r="W24" s="31"/>
      <c r="AA24" s="81"/>
      <c r="AB24" s="81"/>
      <c r="AC24" s="84"/>
      <c r="AD24" s="37"/>
      <c r="AE24" s="37"/>
      <c r="AF24" s="37"/>
      <c r="AG24" s="37"/>
      <c r="AH24" s="37"/>
      <c r="AI24" s="37"/>
      <c r="AJ24" s="12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x14ac:dyDescent="0.3">
      <c r="F25" s="364" t="s">
        <v>39</v>
      </c>
      <c r="G25" s="29"/>
      <c r="H25" s="371" t="s">
        <v>54</v>
      </c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80"/>
      <c r="AD25" s="37"/>
      <c r="AE25" s="37"/>
      <c r="AF25" s="37"/>
      <c r="AG25" s="37"/>
      <c r="AH25" s="37"/>
      <c r="AI25" s="37"/>
      <c r="AJ25" s="37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5" thickBot="1" x14ac:dyDescent="0.35">
      <c r="F26" s="365"/>
      <c r="G26" s="75"/>
      <c r="H26" s="91">
        <v>2000</v>
      </c>
      <c r="I26" s="91">
        <v>2001</v>
      </c>
      <c r="J26" s="91">
        <v>2002</v>
      </c>
      <c r="K26" s="91">
        <v>2003</v>
      </c>
      <c r="L26" s="91">
        <v>2004</v>
      </c>
      <c r="M26" s="91">
        <v>2005</v>
      </c>
      <c r="N26" s="91">
        <v>2006</v>
      </c>
      <c r="O26" s="91">
        <v>2007</v>
      </c>
      <c r="P26" s="91">
        <v>2008</v>
      </c>
      <c r="Q26" s="91">
        <v>2009</v>
      </c>
      <c r="R26" s="91">
        <v>2010</v>
      </c>
      <c r="S26" s="91">
        <v>2011</v>
      </c>
      <c r="T26" s="91">
        <v>2012</v>
      </c>
      <c r="U26" s="91">
        <v>2013</v>
      </c>
      <c r="V26" s="91">
        <v>2014</v>
      </c>
      <c r="W26" s="91">
        <v>2015</v>
      </c>
      <c r="X26" s="91">
        <v>2016</v>
      </c>
      <c r="Y26" s="91">
        <v>2017</v>
      </c>
      <c r="Z26" s="91">
        <v>2018</v>
      </c>
      <c r="AA26" s="91">
        <v>2019</v>
      </c>
      <c r="AB26" s="91">
        <v>2020</v>
      </c>
      <c r="AC26" s="37"/>
      <c r="AD26" s="37"/>
      <c r="AE26" s="37"/>
      <c r="AF26" s="37"/>
      <c r="AG26" s="37"/>
      <c r="AH26" s="37"/>
      <c r="AI26" s="37"/>
      <c r="AJ26" s="37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5" thickBot="1" x14ac:dyDescent="0.35">
      <c r="F27" s="15" t="s">
        <v>40</v>
      </c>
      <c r="G27" s="55" t="s">
        <v>47</v>
      </c>
      <c r="H27" s="76">
        <v>3119</v>
      </c>
      <c r="I27" s="76">
        <v>2515</v>
      </c>
      <c r="J27" s="76">
        <v>1647</v>
      </c>
      <c r="K27" s="76">
        <v>2262</v>
      </c>
      <c r="L27" s="76">
        <v>1399</v>
      </c>
      <c r="M27" s="76">
        <v>737</v>
      </c>
      <c r="N27" s="76">
        <v>843</v>
      </c>
      <c r="O27" s="76">
        <v>352</v>
      </c>
      <c r="P27" s="76">
        <v>151</v>
      </c>
      <c r="Q27" s="76">
        <v>237</v>
      </c>
      <c r="R27" s="90">
        <v>307</v>
      </c>
      <c r="S27" s="76">
        <v>472</v>
      </c>
      <c r="T27" s="76">
        <v>235</v>
      </c>
      <c r="U27" s="76">
        <v>390</v>
      </c>
      <c r="V27" s="76">
        <v>466</v>
      </c>
      <c r="W27" s="76">
        <v>177</v>
      </c>
      <c r="X27" s="76">
        <v>166</v>
      </c>
      <c r="Y27" s="76">
        <v>860</v>
      </c>
      <c r="Z27" s="76">
        <v>442</v>
      </c>
      <c r="AA27" s="90">
        <v>873</v>
      </c>
      <c r="AB27" s="90">
        <v>1913</v>
      </c>
      <c r="AC27" s="37"/>
      <c r="AD27" s="37"/>
      <c r="AE27" s="37"/>
      <c r="AF27" s="37"/>
      <c r="AG27" s="37"/>
      <c r="AH27" s="37"/>
      <c r="AI27" s="37"/>
      <c r="AJ27" s="37"/>
      <c r="AK27" s="3"/>
      <c r="AL27" s="3"/>
      <c r="AM27" s="3"/>
      <c r="AN27" s="3"/>
      <c r="AO27" s="3"/>
      <c r="AP27" s="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5" thickBot="1" x14ac:dyDescent="0.35">
      <c r="F28" s="15" t="s">
        <v>31</v>
      </c>
      <c r="G28" s="55" t="s">
        <v>5</v>
      </c>
      <c r="H28" s="76">
        <v>3336</v>
      </c>
      <c r="I28" s="76">
        <v>2736</v>
      </c>
      <c r="J28" s="76">
        <v>3012</v>
      </c>
      <c r="K28" s="76">
        <v>3721</v>
      </c>
      <c r="L28" s="76">
        <v>3212</v>
      </c>
      <c r="M28" s="76">
        <v>2855</v>
      </c>
      <c r="N28" s="76">
        <v>2043</v>
      </c>
      <c r="O28" s="76">
        <v>1736</v>
      </c>
      <c r="P28" s="76">
        <v>3352</v>
      </c>
      <c r="Q28" s="76">
        <v>1794</v>
      </c>
      <c r="R28" s="90">
        <v>1832</v>
      </c>
      <c r="S28" s="76">
        <v>2787</v>
      </c>
      <c r="T28" s="76">
        <v>2727</v>
      </c>
      <c r="U28" s="76">
        <v>2836</v>
      </c>
      <c r="V28" s="76">
        <v>1937</v>
      </c>
      <c r="W28" s="76">
        <v>2425</v>
      </c>
      <c r="X28" s="76">
        <v>2135</v>
      </c>
      <c r="Y28" s="76">
        <v>1959</v>
      </c>
      <c r="Z28" s="76">
        <v>2272</v>
      </c>
      <c r="AA28" s="90">
        <v>1907</v>
      </c>
      <c r="AB28" s="90">
        <v>2859</v>
      </c>
      <c r="AC28" s="37"/>
      <c r="AD28" s="37"/>
      <c r="AE28" s="37"/>
      <c r="AF28" s="37"/>
      <c r="AG28" s="37"/>
      <c r="AH28" s="37"/>
      <c r="AI28" s="37"/>
      <c r="AJ28" s="37"/>
      <c r="AK28" s="3"/>
      <c r="AL28" s="3"/>
      <c r="AM28" s="3"/>
      <c r="AN28" s="3"/>
      <c r="AO28" s="3"/>
      <c r="AP28" s="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5" thickBot="1" x14ac:dyDescent="0.35">
      <c r="F29" s="77" t="s">
        <v>45</v>
      </c>
      <c r="G29" s="78"/>
      <c r="H29" s="79">
        <v>6455</v>
      </c>
      <c r="I29" s="79">
        <v>5251</v>
      </c>
      <c r="J29" s="79">
        <v>4659</v>
      </c>
      <c r="K29" s="79">
        <v>5983</v>
      </c>
      <c r="L29" s="79">
        <v>4611</v>
      </c>
      <c r="M29" s="79">
        <v>3592</v>
      </c>
      <c r="N29" s="79">
        <v>2886</v>
      </c>
      <c r="O29" s="79">
        <v>2088</v>
      </c>
      <c r="P29" s="79">
        <v>3503</v>
      </c>
      <c r="Q29" s="79">
        <v>2031</v>
      </c>
      <c r="R29" s="279">
        <v>2139</v>
      </c>
      <c r="S29" s="79">
        <v>3259</v>
      </c>
      <c r="T29" s="79">
        <v>2962</v>
      </c>
      <c r="U29" s="79">
        <v>3226</v>
      </c>
      <c r="V29" s="79">
        <v>2403</v>
      </c>
      <c r="W29" s="79">
        <v>2597</v>
      </c>
      <c r="X29" s="79">
        <v>2597</v>
      </c>
      <c r="Y29" s="79">
        <v>2597</v>
      </c>
      <c r="Z29" s="79">
        <v>2597</v>
      </c>
      <c r="AA29" s="79">
        <f>SUM(AA27:AA28)</f>
        <v>2780</v>
      </c>
      <c r="AB29" s="79">
        <f>SUM(AB27:AB28)</f>
        <v>4772</v>
      </c>
      <c r="AC29" s="37"/>
      <c r="AJ29" s="37"/>
      <c r="AK29" s="3"/>
      <c r="AL29" s="3"/>
      <c r="AM29" s="3"/>
      <c r="AN29" s="3"/>
      <c r="AO29" s="3"/>
      <c r="AP29" s="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x14ac:dyDescent="0.3">
      <c r="AD30" s="31" t="s">
        <v>60</v>
      </c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5" thickBot="1" x14ac:dyDescent="0.35">
      <c r="AC31" s="1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5" thickBot="1" x14ac:dyDescent="0.35">
      <c r="AC32" s="12"/>
      <c r="AD32" s="98"/>
      <c r="AE32" s="348" t="s">
        <v>130</v>
      </c>
      <c r="AF32" s="350" t="s">
        <v>131</v>
      </c>
      <c r="AG32" s="352" t="s">
        <v>64</v>
      </c>
      <c r="AH32" s="356" t="s">
        <v>65</v>
      </c>
      <c r="AI32" s="358" t="s">
        <v>66</v>
      </c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6:62" ht="15" thickBot="1" x14ac:dyDescent="0.35">
      <c r="F33" s="366" t="s">
        <v>24</v>
      </c>
      <c r="G33" s="26"/>
      <c r="H33" s="373" t="s">
        <v>55</v>
      </c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12"/>
      <c r="AD33" s="70"/>
      <c r="AE33" s="349"/>
      <c r="AF33" s="351"/>
      <c r="AG33" s="353"/>
      <c r="AH33" s="357"/>
      <c r="AI33" s="359"/>
      <c r="AJ33" s="360" t="s">
        <v>61</v>
      </c>
      <c r="AK33" s="100"/>
      <c r="AL33" s="138"/>
      <c r="AM33" s="139"/>
      <c r="AN33" s="140"/>
      <c r="AO33" s="140"/>
      <c r="AP33" s="100"/>
      <c r="AQ33" s="100"/>
      <c r="AR33" s="100"/>
      <c r="AS33" s="100"/>
      <c r="AT33" s="100"/>
      <c r="AU33" s="100"/>
      <c r="AV33" s="100"/>
      <c r="AW33" s="100"/>
      <c r="AX33" s="71"/>
      <c r="AY33" s="354"/>
      <c r="AZ33" s="354"/>
      <c r="BA33" s="354"/>
      <c r="BB33" s="355"/>
      <c r="BC33" s="354"/>
      <c r="BD33" s="33"/>
      <c r="BE33" s="71"/>
      <c r="BF33" s="71"/>
      <c r="BG33" s="71"/>
      <c r="BH33" s="71"/>
      <c r="BI33" s="71"/>
      <c r="BJ33" s="71"/>
    </row>
    <row r="34" spans="6:62" ht="15" thickBot="1" x14ac:dyDescent="0.35">
      <c r="F34" s="367"/>
      <c r="G34" s="27" t="s">
        <v>53</v>
      </c>
      <c r="H34" s="86">
        <v>2000</v>
      </c>
      <c r="I34" s="86">
        <v>2001</v>
      </c>
      <c r="J34" s="87">
        <v>2002</v>
      </c>
      <c r="K34" s="87">
        <v>2003</v>
      </c>
      <c r="L34" s="87">
        <v>2004</v>
      </c>
      <c r="M34" s="87">
        <v>2005</v>
      </c>
      <c r="N34" s="87">
        <v>2006</v>
      </c>
      <c r="O34" s="87">
        <v>2007</v>
      </c>
      <c r="P34" s="87">
        <v>2008</v>
      </c>
      <c r="Q34" s="87">
        <v>2009</v>
      </c>
      <c r="R34" s="223">
        <v>2010</v>
      </c>
      <c r="S34" s="87">
        <v>2011</v>
      </c>
      <c r="T34" s="87">
        <v>2012</v>
      </c>
      <c r="U34" s="87">
        <v>2013</v>
      </c>
      <c r="V34" s="87">
        <v>2014</v>
      </c>
      <c r="W34" s="87">
        <v>2015</v>
      </c>
      <c r="X34" s="87">
        <v>2016</v>
      </c>
      <c r="Y34" s="87">
        <v>2017</v>
      </c>
      <c r="Z34" s="88">
        <v>2018</v>
      </c>
      <c r="AA34" s="89">
        <v>2019</v>
      </c>
      <c r="AB34" s="89">
        <v>2020</v>
      </c>
      <c r="AC34" s="92"/>
      <c r="AD34" s="113" t="s">
        <v>14</v>
      </c>
      <c r="AE34" s="66"/>
      <c r="AF34" s="66"/>
      <c r="AG34" s="66"/>
      <c r="AH34" s="66"/>
      <c r="AI34" s="110"/>
      <c r="AJ34" s="361"/>
      <c r="AK34" s="100"/>
      <c r="AL34" s="24"/>
      <c r="AM34" s="24"/>
      <c r="AN34" s="141"/>
      <c r="AO34" s="33"/>
      <c r="AP34" s="100"/>
      <c r="AQ34" s="100"/>
      <c r="AR34" s="100"/>
      <c r="AS34" s="100"/>
      <c r="AT34" s="100"/>
      <c r="AU34" s="100"/>
      <c r="AV34" s="100"/>
      <c r="AW34" s="100"/>
      <c r="AX34" s="128"/>
      <c r="AY34" s="354"/>
      <c r="AZ34" s="354"/>
      <c r="BA34" s="354"/>
      <c r="BB34" s="355"/>
      <c r="BC34" s="354"/>
      <c r="BD34" s="33"/>
      <c r="BE34" s="129"/>
      <c r="BF34" s="33"/>
      <c r="BG34" s="33"/>
      <c r="BH34" s="33"/>
      <c r="BI34" s="33"/>
      <c r="BJ34" s="33"/>
    </row>
    <row r="35" spans="6:62" ht="15" thickBot="1" x14ac:dyDescent="0.35">
      <c r="F35" s="13" t="s">
        <v>25</v>
      </c>
      <c r="G35" s="19" t="s">
        <v>14</v>
      </c>
      <c r="H35" s="60">
        <v>626</v>
      </c>
      <c r="I35" s="57">
        <v>3217</v>
      </c>
      <c r="J35" s="57">
        <v>5334</v>
      </c>
      <c r="K35" s="57">
        <v>3204</v>
      </c>
      <c r="L35" s="57">
        <v>2019</v>
      </c>
      <c r="M35" s="117">
        <v>2880</v>
      </c>
      <c r="N35" s="57">
        <v>4078</v>
      </c>
      <c r="O35" s="57">
        <v>4667</v>
      </c>
      <c r="P35" s="57">
        <v>2803</v>
      </c>
      <c r="Q35" s="57">
        <v>3188</v>
      </c>
      <c r="R35" s="116">
        <v>2833</v>
      </c>
      <c r="S35" s="57">
        <v>1782</v>
      </c>
      <c r="T35" s="57">
        <v>2410</v>
      </c>
      <c r="U35" s="57">
        <v>1764</v>
      </c>
      <c r="V35" s="57">
        <v>1376</v>
      </c>
      <c r="W35" s="57">
        <v>1760</v>
      </c>
      <c r="X35" s="57">
        <v>1511</v>
      </c>
      <c r="Y35" s="57">
        <v>1380</v>
      </c>
      <c r="Z35" s="69">
        <v>1427</v>
      </c>
      <c r="AA35" s="85">
        <f>AA6</f>
        <v>1062</v>
      </c>
      <c r="AB35" s="85">
        <f>AB6</f>
        <v>513</v>
      </c>
      <c r="AC35" s="94"/>
      <c r="AD35" s="70" t="s">
        <v>1</v>
      </c>
      <c r="AE35" s="112">
        <f>SUM(O36,N36,P36)/3</f>
        <v>1883</v>
      </c>
      <c r="AF35" s="112">
        <f>SUM(N36,O36,P36,Q36,W36)/5</f>
        <v>1606.2</v>
      </c>
      <c r="AG35" s="112">
        <v>2526</v>
      </c>
      <c r="AH35" s="122">
        <v>0.18</v>
      </c>
      <c r="AI35" s="125">
        <v>1E-3</v>
      </c>
      <c r="AJ35" s="102">
        <f t="shared" ref="AJ35:AJ51" si="3">AVERAGE(V35:X35)</f>
        <v>1549</v>
      </c>
      <c r="AK35" s="68"/>
      <c r="AL35" s="24"/>
      <c r="AM35" s="24"/>
      <c r="AN35" s="141"/>
      <c r="AO35" s="142"/>
      <c r="AP35" s="68"/>
      <c r="AQ35" s="68"/>
      <c r="AR35" s="68"/>
      <c r="AS35" s="68"/>
      <c r="AT35" s="68"/>
      <c r="AU35" s="68"/>
      <c r="AV35" s="68"/>
      <c r="AW35" s="68"/>
      <c r="AX35" s="68"/>
      <c r="AY35" s="132"/>
      <c r="AZ35" s="132"/>
      <c r="BA35" s="132"/>
      <c r="BB35" s="133"/>
      <c r="BC35" s="132"/>
      <c r="BD35" s="33"/>
      <c r="BE35" s="129"/>
      <c r="BF35" s="129"/>
      <c r="BG35" s="129"/>
      <c r="BH35" s="129"/>
      <c r="BI35" s="129"/>
      <c r="BJ35" s="33"/>
    </row>
    <row r="36" spans="6:62" ht="15" thickBot="1" x14ac:dyDescent="0.35">
      <c r="F36" s="13" t="s">
        <v>26</v>
      </c>
      <c r="G36" s="19" t="s">
        <v>1</v>
      </c>
      <c r="H36" s="60">
        <v>359</v>
      </c>
      <c r="I36" s="57">
        <v>554</v>
      </c>
      <c r="J36" s="57">
        <v>505</v>
      </c>
      <c r="K36" s="57">
        <v>391</v>
      </c>
      <c r="L36" s="57">
        <v>587</v>
      </c>
      <c r="M36" s="116">
        <v>619</v>
      </c>
      <c r="N36" s="57">
        <v>2526</v>
      </c>
      <c r="O36" s="57">
        <v>1867</v>
      </c>
      <c r="P36" s="57">
        <v>1256</v>
      </c>
      <c r="Q36" s="57">
        <v>1471</v>
      </c>
      <c r="R36" s="116">
        <v>706</v>
      </c>
      <c r="S36" s="57">
        <v>627</v>
      </c>
      <c r="T36" s="57">
        <v>655</v>
      </c>
      <c r="U36" s="57">
        <v>708</v>
      </c>
      <c r="V36" s="57">
        <v>656</v>
      </c>
      <c r="W36" s="57">
        <v>911</v>
      </c>
      <c r="X36" s="57">
        <v>1007</v>
      </c>
      <c r="Y36" s="57">
        <v>803</v>
      </c>
      <c r="Z36" s="73">
        <v>732</v>
      </c>
      <c r="AA36" s="85">
        <f t="shared" ref="AA36:AB51" si="4">AA7</f>
        <v>796</v>
      </c>
      <c r="AB36" s="85">
        <f t="shared" si="4"/>
        <v>1158</v>
      </c>
      <c r="AC36" s="95">
        <f>SUM(AB36,X36,Q36,P36,O36)/5</f>
        <v>1351.8</v>
      </c>
      <c r="AD36" s="70" t="s">
        <v>2</v>
      </c>
      <c r="AE36" s="112">
        <f>SUM(T37,S37,U37)/3</f>
        <v>7349.333333333333</v>
      </c>
      <c r="AF36" s="112">
        <f>SUM(Q37,R37,S37,T37,U37)/5</f>
        <v>6310.4</v>
      </c>
      <c r="AG36" s="112">
        <v>9698</v>
      </c>
      <c r="AH36" s="122">
        <v>0.1</v>
      </c>
      <c r="AI36" s="125">
        <v>0.01</v>
      </c>
      <c r="AJ36" s="102">
        <f t="shared" si="3"/>
        <v>858</v>
      </c>
      <c r="AK36" s="68"/>
      <c r="AL36" s="218"/>
      <c r="AM36" s="24"/>
      <c r="AN36" s="141"/>
      <c r="AO36" s="142"/>
      <c r="AP36" s="68"/>
      <c r="AQ36" s="68"/>
      <c r="AR36" s="68"/>
      <c r="AS36" s="68"/>
      <c r="AT36" s="68"/>
      <c r="AU36" s="68"/>
      <c r="AV36" s="68"/>
      <c r="AW36" s="68"/>
      <c r="AX36" s="68"/>
      <c r="AY36" s="132"/>
      <c r="AZ36" s="132"/>
      <c r="BA36" s="132"/>
      <c r="BB36" s="133"/>
      <c r="BC36" s="132"/>
      <c r="BD36" s="33"/>
      <c r="BE36" s="129"/>
      <c r="BF36" s="129"/>
      <c r="BG36" s="129"/>
      <c r="BH36" s="129"/>
      <c r="BI36" s="129"/>
      <c r="BJ36" s="33"/>
    </row>
    <row r="37" spans="6:62" ht="15" thickBot="1" x14ac:dyDescent="0.35">
      <c r="F37" s="13" t="s">
        <v>27</v>
      </c>
      <c r="G37" s="19" t="s">
        <v>2</v>
      </c>
      <c r="H37" s="60" t="s">
        <v>42</v>
      </c>
      <c r="I37" s="57">
        <v>9</v>
      </c>
      <c r="J37" s="57">
        <v>1136</v>
      </c>
      <c r="K37" s="57">
        <v>1874</v>
      </c>
      <c r="L37" s="57">
        <v>2172</v>
      </c>
      <c r="M37" s="116">
        <v>2292</v>
      </c>
      <c r="N37" s="57">
        <v>1993</v>
      </c>
      <c r="O37" s="57">
        <v>2999</v>
      </c>
      <c r="P37" s="57">
        <v>2467</v>
      </c>
      <c r="Q37" s="57">
        <v>4643</v>
      </c>
      <c r="R37" s="116">
        <v>4861</v>
      </c>
      <c r="S37" s="57">
        <v>5584</v>
      </c>
      <c r="T37" s="57">
        <v>10475</v>
      </c>
      <c r="U37" s="57">
        <v>5989</v>
      </c>
      <c r="V37" s="57">
        <v>4484</v>
      </c>
      <c r="W37" s="57">
        <v>4556</v>
      </c>
      <c r="X37" s="57">
        <v>3178</v>
      </c>
      <c r="Y37" s="69">
        <v>3328</v>
      </c>
      <c r="Z37" s="69">
        <v>3804</v>
      </c>
      <c r="AA37" s="85">
        <f t="shared" si="4"/>
        <v>5302</v>
      </c>
      <c r="AB37" s="85">
        <f t="shared" si="4"/>
        <v>2441</v>
      </c>
      <c r="AC37" s="95">
        <f>SUM(T37,U37,AA37,S37,R37)/5</f>
        <v>6442.2</v>
      </c>
      <c r="AD37" s="70" t="s">
        <v>3</v>
      </c>
      <c r="AE37" s="112">
        <f>SUM(Q38,R38,W38)/3</f>
        <v>5730</v>
      </c>
      <c r="AF37" s="112">
        <f>SUM(I38,J38,L38,R38,W38)/5</f>
        <v>6245</v>
      </c>
      <c r="AG37" s="112">
        <v>7294</v>
      </c>
      <c r="AH37" s="122">
        <v>0.06</v>
      </c>
      <c r="AI37" s="125">
        <v>1.6E-2</v>
      </c>
      <c r="AJ37" s="102">
        <f t="shared" si="3"/>
        <v>4072.6666666666665</v>
      </c>
      <c r="AK37" s="68"/>
      <c r="AL37" s="218"/>
      <c r="AM37" s="24"/>
      <c r="AN37" s="141"/>
      <c r="AO37" s="142"/>
      <c r="AP37" s="68"/>
      <c r="AQ37" s="68"/>
      <c r="AR37" s="68"/>
      <c r="AS37" s="68"/>
      <c r="AT37" s="68"/>
      <c r="AU37" s="68"/>
      <c r="AV37" s="68"/>
      <c r="AW37" s="68"/>
      <c r="AX37" s="68"/>
      <c r="AY37" s="132"/>
      <c r="AZ37" s="132"/>
      <c r="BA37" s="132"/>
      <c r="BB37" s="133"/>
      <c r="BC37" s="132"/>
      <c r="BD37" s="33"/>
      <c r="BE37" s="129"/>
      <c r="BF37" s="129"/>
      <c r="BG37" s="129"/>
      <c r="BH37" s="129"/>
      <c r="BI37" s="129"/>
      <c r="BJ37" s="33"/>
    </row>
    <row r="38" spans="6:62" ht="15" thickBot="1" x14ac:dyDescent="0.35">
      <c r="F38" s="13" t="s">
        <v>28</v>
      </c>
      <c r="G38" s="19" t="s">
        <v>3</v>
      </c>
      <c r="H38" s="60">
        <v>4503</v>
      </c>
      <c r="I38" s="57">
        <v>7294</v>
      </c>
      <c r="J38" s="57">
        <v>6284</v>
      </c>
      <c r="K38" s="57">
        <v>4053</v>
      </c>
      <c r="L38" s="57">
        <v>6066</v>
      </c>
      <c r="M38" s="116">
        <v>5598</v>
      </c>
      <c r="N38" s="57">
        <v>5473</v>
      </c>
      <c r="O38" s="57">
        <v>3998</v>
      </c>
      <c r="P38" s="57">
        <v>4520</v>
      </c>
      <c r="Q38" s="57">
        <v>5609</v>
      </c>
      <c r="R38" s="116">
        <v>5744</v>
      </c>
      <c r="S38" s="57">
        <v>4156</v>
      </c>
      <c r="T38" s="57">
        <v>4275</v>
      </c>
      <c r="U38" s="57">
        <v>3694</v>
      </c>
      <c r="V38" s="57">
        <v>3927</v>
      </c>
      <c r="W38" s="57">
        <v>5837</v>
      </c>
      <c r="X38" s="57">
        <v>4933</v>
      </c>
      <c r="Y38" s="69">
        <v>5874</v>
      </c>
      <c r="Z38" s="69">
        <v>5633</v>
      </c>
      <c r="AA38" s="85">
        <f t="shared" si="4"/>
        <v>5140</v>
      </c>
      <c r="AB38" s="85">
        <f t="shared" si="4"/>
        <v>3826</v>
      </c>
      <c r="AC38" s="95">
        <f>SUM(I38,J38,L38,W38,R38)/5</f>
        <v>6245</v>
      </c>
      <c r="AD38" s="82" t="s">
        <v>47</v>
      </c>
      <c r="AE38" s="114"/>
      <c r="AF38" s="66"/>
      <c r="AG38" s="66"/>
      <c r="AH38" s="118"/>
      <c r="AI38" s="119"/>
      <c r="AJ38" s="102">
        <f t="shared" si="3"/>
        <v>4899</v>
      </c>
      <c r="AK38" s="68"/>
      <c r="AL38" s="218"/>
      <c r="AM38" s="24"/>
      <c r="AN38" s="143"/>
      <c r="AO38" s="142"/>
      <c r="AP38" s="68"/>
      <c r="AQ38" s="68"/>
      <c r="AR38" s="68"/>
      <c r="AS38" s="68"/>
      <c r="AT38" s="68"/>
      <c r="AU38" s="68"/>
      <c r="AV38" s="68"/>
      <c r="AW38" s="68"/>
      <c r="AX38" s="68"/>
      <c r="AY38" s="132"/>
      <c r="AZ38" s="132"/>
      <c r="BA38" s="132"/>
      <c r="BB38" s="133"/>
      <c r="BC38" s="132"/>
      <c r="BD38" s="33"/>
      <c r="BE38" s="129"/>
      <c r="BF38" s="129"/>
      <c r="BG38" s="129"/>
      <c r="BH38" s="129"/>
      <c r="BI38" s="129"/>
      <c r="BJ38" s="33"/>
    </row>
    <row r="39" spans="6:62" ht="15" thickBot="1" x14ac:dyDescent="0.35">
      <c r="F39" s="205" t="s">
        <v>40</v>
      </c>
      <c r="G39" s="206" t="s">
        <v>47</v>
      </c>
      <c r="H39" s="207">
        <v>12828</v>
      </c>
      <c r="I39" s="208">
        <v>22174</v>
      </c>
      <c r="J39" s="208">
        <v>28042</v>
      </c>
      <c r="K39" s="208">
        <v>25659</v>
      </c>
      <c r="L39" s="208">
        <v>23827</v>
      </c>
      <c r="M39" s="208">
        <v>23315</v>
      </c>
      <c r="N39" s="208">
        <v>19167</v>
      </c>
      <c r="O39" s="208">
        <v>16276</v>
      </c>
      <c r="P39" s="208">
        <v>23030</v>
      </c>
      <c r="Q39" s="208">
        <v>30260</v>
      </c>
      <c r="R39" s="208">
        <v>40349</v>
      </c>
      <c r="S39" s="208">
        <v>22910</v>
      </c>
      <c r="T39" s="208">
        <v>29764</v>
      </c>
      <c r="U39" s="208">
        <v>29698</v>
      </c>
      <c r="V39" s="208">
        <v>19984</v>
      </c>
      <c r="W39" s="208">
        <v>23045</v>
      </c>
      <c r="X39" s="208">
        <v>16818</v>
      </c>
      <c r="Y39" s="208">
        <v>35799</v>
      </c>
      <c r="Z39" s="280">
        <v>27400</v>
      </c>
      <c r="AA39" s="281">
        <v>31355</v>
      </c>
      <c r="AB39" s="281">
        <v>28199</v>
      </c>
      <c r="AC39" s="95">
        <f t="shared" ref="AC39:AC47" si="5">SUM(AB39,X39,Q39,P39,O39)/5</f>
        <v>22916.6</v>
      </c>
      <c r="AD39" s="70" t="s">
        <v>13</v>
      </c>
      <c r="AE39" s="112">
        <f>SUM(W40,T40,R40)/3</f>
        <v>1700</v>
      </c>
      <c r="AF39" s="112">
        <f>SUM(W40,V40,T40,R40,Q40)/5</f>
        <v>1495.6</v>
      </c>
      <c r="AG39" s="112" t="s">
        <v>67</v>
      </c>
      <c r="AH39" s="122">
        <v>0.13</v>
      </c>
      <c r="AI39" s="126">
        <v>0.16</v>
      </c>
      <c r="AJ39" s="103">
        <f t="shared" si="3"/>
        <v>19949</v>
      </c>
      <c r="AK39" s="68"/>
      <c r="AL39" s="31"/>
      <c r="AM39" s="24"/>
      <c r="AN39" s="141"/>
      <c r="AO39" s="142"/>
      <c r="AP39" s="68"/>
      <c r="AQ39" s="68"/>
      <c r="AR39" s="68"/>
      <c r="AS39" s="68"/>
      <c r="AT39" s="68"/>
      <c r="AU39" s="68"/>
      <c r="AV39" s="68"/>
      <c r="AW39" s="68"/>
      <c r="AX39" s="68"/>
      <c r="AY39" s="132"/>
      <c r="AZ39" s="132"/>
      <c r="BA39" s="132"/>
      <c r="BB39" s="133"/>
      <c r="BC39" s="132"/>
      <c r="BD39" s="33"/>
      <c r="BE39" s="129"/>
      <c r="BF39" s="129"/>
      <c r="BG39" s="129"/>
      <c r="BH39" s="129"/>
      <c r="BI39" s="129"/>
      <c r="BJ39" s="33"/>
    </row>
    <row r="40" spans="6:62" ht="15" thickBot="1" x14ac:dyDescent="0.35">
      <c r="F40" s="13" t="s">
        <v>41</v>
      </c>
      <c r="G40" s="19" t="s">
        <v>13</v>
      </c>
      <c r="H40" s="60">
        <v>269</v>
      </c>
      <c r="I40" s="57">
        <v>726</v>
      </c>
      <c r="J40" s="57">
        <v>758</v>
      </c>
      <c r="K40" s="57">
        <v>673</v>
      </c>
      <c r="L40" s="57">
        <v>832</v>
      </c>
      <c r="M40" s="116">
        <v>239</v>
      </c>
      <c r="N40" s="57">
        <v>299</v>
      </c>
      <c r="O40" s="57">
        <v>675</v>
      </c>
      <c r="P40" s="57">
        <v>360</v>
      </c>
      <c r="Q40" s="57">
        <v>1125</v>
      </c>
      <c r="R40" s="116">
        <v>1272</v>
      </c>
      <c r="S40" s="57">
        <v>550</v>
      </c>
      <c r="T40" s="57">
        <v>1240</v>
      </c>
      <c r="U40" s="57">
        <v>822</v>
      </c>
      <c r="V40" s="57">
        <v>1253</v>
      </c>
      <c r="W40" s="57">
        <v>2588</v>
      </c>
      <c r="X40" s="57">
        <v>4760</v>
      </c>
      <c r="Y40" s="69">
        <v>332</v>
      </c>
      <c r="Z40" s="69">
        <v>69</v>
      </c>
      <c r="AA40" s="85">
        <f t="shared" si="4"/>
        <v>1127</v>
      </c>
      <c r="AB40" s="85">
        <f t="shared" si="4"/>
        <v>2837</v>
      </c>
      <c r="AC40" s="95">
        <f>SUM(W40,X40,AB40,V40,R40)/5</f>
        <v>2542</v>
      </c>
      <c r="AD40" s="113" t="s">
        <v>16</v>
      </c>
      <c r="AE40" s="66"/>
      <c r="AF40" s="66"/>
      <c r="AG40" s="66"/>
      <c r="AH40" s="118"/>
      <c r="AI40" s="119"/>
      <c r="AJ40" s="102">
        <f t="shared" si="3"/>
        <v>2867</v>
      </c>
      <c r="AK40" s="68"/>
      <c r="AL40" s="218"/>
      <c r="AM40" s="24"/>
      <c r="AN40" s="141"/>
      <c r="AO40" s="142"/>
      <c r="AP40" s="68"/>
      <c r="AQ40" s="68"/>
      <c r="AR40" s="68"/>
      <c r="AS40" s="68"/>
      <c r="AT40" s="68"/>
      <c r="AU40" s="68"/>
      <c r="AV40" s="68"/>
      <c r="AW40" s="68"/>
      <c r="AX40" s="68"/>
      <c r="AY40" s="132"/>
      <c r="AZ40" s="132"/>
      <c r="BA40" s="132"/>
      <c r="BB40" s="133"/>
      <c r="BC40" s="132"/>
      <c r="BD40" s="33"/>
      <c r="BE40" s="129"/>
      <c r="BF40" s="129"/>
      <c r="BG40" s="129"/>
      <c r="BH40" s="129"/>
      <c r="BI40" s="129"/>
      <c r="BJ40" s="33"/>
    </row>
    <row r="41" spans="6:62" ht="15" thickBot="1" x14ac:dyDescent="0.35">
      <c r="F41" s="13" t="s">
        <v>29</v>
      </c>
      <c r="G41" s="19" t="s">
        <v>16</v>
      </c>
      <c r="H41" s="60">
        <v>885</v>
      </c>
      <c r="I41" s="57">
        <v>1015</v>
      </c>
      <c r="J41" s="57">
        <v>1160</v>
      </c>
      <c r="K41" s="57">
        <v>1087</v>
      </c>
      <c r="L41" s="57">
        <v>1367</v>
      </c>
      <c r="M41" s="116">
        <v>1579</v>
      </c>
      <c r="N41" s="57">
        <v>1348</v>
      </c>
      <c r="O41" s="57">
        <v>1312</v>
      </c>
      <c r="P41" s="57">
        <v>1484</v>
      </c>
      <c r="Q41" s="57">
        <v>1611</v>
      </c>
      <c r="R41" s="116">
        <v>1923</v>
      </c>
      <c r="S41" s="57">
        <v>1732</v>
      </c>
      <c r="T41" s="57">
        <v>1700</v>
      </c>
      <c r="U41" s="57">
        <v>1712</v>
      </c>
      <c r="V41" s="57">
        <v>1624</v>
      </c>
      <c r="W41" s="57">
        <v>1569</v>
      </c>
      <c r="X41" s="57">
        <v>1735</v>
      </c>
      <c r="Y41" s="69">
        <v>1718</v>
      </c>
      <c r="Z41" s="69">
        <v>1742</v>
      </c>
      <c r="AA41" s="85">
        <f t="shared" si="4"/>
        <v>2009</v>
      </c>
      <c r="AB41" s="85">
        <f t="shared" si="4"/>
        <v>1896</v>
      </c>
      <c r="AC41" s="95"/>
      <c r="AD41" s="70" t="s">
        <v>4</v>
      </c>
      <c r="AE41" s="112">
        <f>SUM(U42,P42,N42)/3</f>
        <v>319</v>
      </c>
      <c r="AF41" s="112">
        <f>SUM(N42,O42,P42,Q42,U42)/5</f>
        <v>282.8</v>
      </c>
      <c r="AG41" s="112">
        <v>2500</v>
      </c>
      <c r="AH41" s="122">
        <v>0.02</v>
      </c>
      <c r="AI41" s="125">
        <v>4.7199999999999999E-2</v>
      </c>
      <c r="AJ41" s="102">
        <f t="shared" si="3"/>
        <v>1642.6666666666667</v>
      </c>
      <c r="AK41" s="68"/>
      <c r="AL41" s="31"/>
      <c r="AM41" s="24"/>
      <c r="AN41" s="141"/>
      <c r="AO41" s="142"/>
      <c r="AP41" s="68"/>
      <c r="AQ41" s="68"/>
      <c r="AR41" s="68"/>
      <c r="AS41" s="68"/>
      <c r="AT41" s="68"/>
      <c r="AU41" s="68"/>
      <c r="AV41" s="68"/>
      <c r="AW41" s="68"/>
      <c r="AX41" s="68"/>
      <c r="AY41" s="132"/>
      <c r="AZ41" s="132"/>
      <c r="BA41" s="132"/>
      <c r="BB41" s="133"/>
      <c r="BC41" s="132"/>
      <c r="BD41" s="33"/>
      <c r="BE41" s="129"/>
      <c r="BF41" s="129"/>
      <c r="BG41" s="129"/>
      <c r="BH41" s="129"/>
      <c r="BI41" s="129"/>
      <c r="BJ41" s="33"/>
    </row>
    <row r="42" spans="6:62" ht="15" thickBot="1" x14ac:dyDescent="0.35">
      <c r="F42" s="13" t="s">
        <v>30</v>
      </c>
      <c r="G42" s="19" t="s">
        <v>4</v>
      </c>
      <c r="H42" s="60">
        <v>0</v>
      </c>
      <c r="I42" s="57">
        <v>0</v>
      </c>
      <c r="J42" s="57">
        <v>34</v>
      </c>
      <c r="K42" s="57" t="s">
        <v>42</v>
      </c>
      <c r="L42" s="57" t="s">
        <v>42</v>
      </c>
      <c r="M42" s="116">
        <v>55</v>
      </c>
      <c r="N42" s="57">
        <v>258</v>
      </c>
      <c r="O42" s="57">
        <v>216</v>
      </c>
      <c r="P42" s="57">
        <v>337</v>
      </c>
      <c r="Q42" s="57">
        <v>241</v>
      </c>
      <c r="R42" s="116">
        <v>196</v>
      </c>
      <c r="S42" s="57" t="s">
        <v>42</v>
      </c>
      <c r="T42" s="57" t="s">
        <v>42</v>
      </c>
      <c r="U42" s="57">
        <v>362</v>
      </c>
      <c r="V42" s="57">
        <v>208</v>
      </c>
      <c r="W42" s="57">
        <v>206</v>
      </c>
      <c r="X42" s="57">
        <v>92</v>
      </c>
      <c r="Y42" s="69">
        <v>13</v>
      </c>
      <c r="Z42" s="69">
        <v>414</v>
      </c>
      <c r="AA42" s="85">
        <f t="shared" si="4"/>
        <v>386</v>
      </c>
      <c r="AB42" s="85">
        <f t="shared" si="4"/>
        <v>165</v>
      </c>
      <c r="AC42" s="95">
        <f>SUM(U42,P42,AA42,N42,Q42)/5</f>
        <v>316.8</v>
      </c>
      <c r="AD42" s="70" t="s">
        <v>5</v>
      </c>
      <c r="AE42" s="112">
        <f>SUM(N43,R43,V43)/3</f>
        <v>422.33333333333331</v>
      </c>
      <c r="AF42" s="112">
        <f>SUM(I43,J43,K43,L43,M43)/5</f>
        <v>1979.8</v>
      </c>
      <c r="AG42" s="112">
        <v>6700</v>
      </c>
      <c r="AH42" s="122">
        <v>0.19</v>
      </c>
      <c r="AI42" s="125">
        <v>1.1999999999999999E-3</v>
      </c>
      <c r="AJ42" s="102">
        <f t="shared" si="3"/>
        <v>168.66666666666666</v>
      </c>
      <c r="AK42" s="68"/>
      <c r="AL42" s="218"/>
      <c r="AM42" s="24"/>
      <c r="AN42" s="141"/>
      <c r="AO42" s="142"/>
      <c r="AP42" s="68"/>
      <c r="AQ42" s="68"/>
      <c r="AR42" s="68"/>
      <c r="AS42" s="68"/>
      <c r="AT42" s="68"/>
      <c r="AU42" s="68"/>
      <c r="AV42" s="68"/>
      <c r="AW42" s="68"/>
      <c r="AX42" s="68"/>
      <c r="AY42" s="132"/>
      <c r="AZ42" s="132"/>
      <c r="BA42" s="132"/>
      <c r="BB42" s="133"/>
      <c r="BC42" s="132"/>
      <c r="BD42" s="33"/>
      <c r="BE42" s="129"/>
      <c r="BF42" s="129"/>
      <c r="BG42" s="129"/>
      <c r="BH42" s="129"/>
      <c r="BI42" s="129"/>
      <c r="BJ42" s="33"/>
    </row>
    <row r="43" spans="6:62" ht="15" thickBot="1" x14ac:dyDescent="0.35">
      <c r="F43" s="13" t="s">
        <v>31</v>
      </c>
      <c r="G43" s="19" t="s">
        <v>5</v>
      </c>
      <c r="H43" s="60">
        <v>1334</v>
      </c>
      <c r="I43" s="57">
        <v>2593</v>
      </c>
      <c r="J43" s="57">
        <v>2522</v>
      </c>
      <c r="K43" s="57">
        <v>2936</v>
      </c>
      <c r="L43" s="57">
        <v>1246</v>
      </c>
      <c r="M43" s="116">
        <v>602</v>
      </c>
      <c r="N43" s="57">
        <v>496</v>
      </c>
      <c r="O43" s="57">
        <v>277</v>
      </c>
      <c r="P43" s="57">
        <v>382</v>
      </c>
      <c r="Q43" s="57">
        <v>422</v>
      </c>
      <c r="R43" s="116">
        <v>460</v>
      </c>
      <c r="S43" s="57">
        <v>418</v>
      </c>
      <c r="T43" s="57">
        <v>266</v>
      </c>
      <c r="U43" s="57">
        <v>302</v>
      </c>
      <c r="V43" s="57">
        <v>311</v>
      </c>
      <c r="W43" s="57">
        <v>223</v>
      </c>
      <c r="X43" s="57">
        <v>233</v>
      </c>
      <c r="Y43" s="69">
        <v>181</v>
      </c>
      <c r="Z43" s="69">
        <v>239</v>
      </c>
      <c r="AA43" s="85">
        <f t="shared" si="4"/>
        <v>845</v>
      </c>
      <c r="AB43" s="85">
        <f t="shared" si="4"/>
        <v>171</v>
      </c>
      <c r="AC43" s="95">
        <f>SUM(I43,J43,K43,L43,H43)/5</f>
        <v>2126.1999999999998</v>
      </c>
      <c r="AD43" s="70" t="s">
        <v>6</v>
      </c>
      <c r="AE43" s="112">
        <f>SUM(N45,O45,Q45)/3</f>
        <v>1524.3333333333333</v>
      </c>
      <c r="AF43" s="112">
        <f>SUM(L45,M45,N45,O45,Q45)/5</f>
        <v>1656.6</v>
      </c>
      <c r="AG43" s="112" t="s">
        <v>67</v>
      </c>
      <c r="AH43" s="122">
        <v>0.11</v>
      </c>
      <c r="AI43" s="125">
        <v>0.02</v>
      </c>
      <c r="AJ43" s="102">
        <f t="shared" si="3"/>
        <v>255.66666666666666</v>
      </c>
      <c r="AK43" s="68"/>
      <c r="AL43" s="218"/>
      <c r="AM43" s="24"/>
      <c r="AN43" s="141"/>
      <c r="AO43" s="142"/>
      <c r="AP43" s="68"/>
      <c r="AQ43" s="68"/>
      <c r="AR43" s="68"/>
      <c r="AS43" s="68"/>
      <c r="AT43" s="68"/>
      <c r="AU43" s="68"/>
      <c r="AV43" s="68"/>
      <c r="AW43" s="68"/>
      <c r="AX43" s="68"/>
      <c r="AY43" s="132"/>
      <c r="AZ43" s="132"/>
      <c r="BA43" s="132"/>
      <c r="BB43" s="133"/>
      <c r="BC43" s="132"/>
      <c r="BD43" s="33"/>
      <c r="BE43" s="129"/>
      <c r="BF43" s="129"/>
      <c r="BG43" s="129"/>
      <c r="BH43" s="129"/>
      <c r="BI43" s="129"/>
      <c r="BJ43" s="33"/>
    </row>
    <row r="44" spans="6:62" ht="15" thickBot="1" x14ac:dyDescent="0.35">
      <c r="F44" s="13" t="s">
        <v>32</v>
      </c>
      <c r="G44" s="19" t="s">
        <v>15</v>
      </c>
      <c r="H44" s="60">
        <v>3463</v>
      </c>
      <c r="I44" s="57">
        <v>4261</v>
      </c>
      <c r="J44" s="57">
        <v>4555</v>
      </c>
      <c r="K44" s="57">
        <v>3813</v>
      </c>
      <c r="L44" s="57">
        <v>2211</v>
      </c>
      <c r="M44" s="116">
        <v>2259</v>
      </c>
      <c r="N44" s="57">
        <v>2846</v>
      </c>
      <c r="O44" s="57">
        <v>3924</v>
      </c>
      <c r="P44" s="57">
        <v>3060</v>
      </c>
      <c r="Q44" s="57">
        <v>3560</v>
      </c>
      <c r="R44" s="116">
        <v>3482</v>
      </c>
      <c r="S44" s="57">
        <v>3223</v>
      </c>
      <c r="T44" s="57">
        <v>3591</v>
      </c>
      <c r="U44" s="57">
        <v>3495</v>
      </c>
      <c r="V44" s="57">
        <v>3743</v>
      </c>
      <c r="W44" s="57">
        <v>3392</v>
      </c>
      <c r="X44" s="57">
        <v>3243</v>
      </c>
      <c r="Y44" s="69">
        <v>2127</v>
      </c>
      <c r="Z44" s="69">
        <v>3074</v>
      </c>
      <c r="AA44" s="85">
        <f t="shared" si="4"/>
        <v>3439</v>
      </c>
      <c r="AB44" s="85">
        <f t="shared" si="4"/>
        <v>2812</v>
      </c>
      <c r="AC44" s="95">
        <f>SUM(I44,J44,K44,V44,T44)/5</f>
        <v>3992.6</v>
      </c>
      <c r="AD44" s="70" t="s">
        <v>7</v>
      </c>
      <c r="AE44" s="112">
        <f>SUM(Q46,V46,W46)/3</f>
        <v>11713.666666666666</v>
      </c>
      <c r="AF44" s="112">
        <f>SUM(W46,V46,U46,T46,Q46)/5</f>
        <v>10453.200000000001</v>
      </c>
      <c r="AG44" s="112">
        <v>14500</v>
      </c>
      <c r="AH44" s="122">
        <v>0.08</v>
      </c>
      <c r="AI44" s="125">
        <v>7.4899999999999994E-2</v>
      </c>
      <c r="AJ44" s="102">
        <f t="shared" si="3"/>
        <v>3459.3333333333335</v>
      </c>
      <c r="AK44" s="68"/>
      <c r="AL44" s="218"/>
      <c r="AM44" s="24"/>
      <c r="AN44" s="141"/>
      <c r="AO44" s="142"/>
      <c r="AP44" s="68"/>
      <c r="AQ44" s="68"/>
      <c r="AR44" s="68"/>
      <c r="AS44" s="68"/>
      <c r="AT44" s="68"/>
      <c r="AU44" s="68"/>
      <c r="AV44" s="68"/>
      <c r="AW44" s="68"/>
      <c r="AX44" s="68"/>
      <c r="AY44" s="132"/>
      <c r="AZ44" s="132"/>
      <c r="BA44" s="132"/>
      <c r="BB44" s="133"/>
      <c r="BC44" s="132"/>
      <c r="BD44" s="33"/>
      <c r="BE44" s="129"/>
      <c r="BF44" s="129"/>
      <c r="BG44" s="129"/>
      <c r="BH44" s="129"/>
      <c r="BI44" s="129"/>
      <c r="BJ44" s="33"/>
    </row>
    <row r="45" spans="6:62" ht="15" thickBot="1" x14ac:dyDescent="0.35">
      <c r="F45" s="13" t="s">
        <v>43</v>
      </c>
      <c r="G45" s="19" t="s">
        <v>6</v>
      </c>
      <c r="H45" s="60">
        <v>105</v>
      </c>
      <c r="I45" s="57">
        <v>72</v>
      </c>
      <c r="J45" s="57">
        <v>82</v>
      </c>
      <c r="K45" s="57">
        <v>645</v>
      </c>
      <c r="L45" s="57">
        <v>1529</v>
      </c>
      <c r="M45" s="116">
        <v>2181</v>
      </c>
      <c r="N45" s="57">
        <v>1790</v>
      </c>
      <c r="O45" s="57">
        <v>1919</v>
      </c>
      <c r="P45" s="57">
        <v>507</v>
      </c>
      <c r="Q45" s="57">
        <v>864</v>
      </c>
      <c r="R45" s="116">
        <v>795</v>
      </c>
      <c r="S45" s="57">
        <v>294</v>
      </c>
      <c r="T45" s="57">
        <v>801</v>
      </c>
      <c r="U45" s="57">
        <v>237</v>
      </c>
      <c r="V45" s="57">
        <v>308</v>
      </c>
      <c r="W45" s="57">
        <v>459</v>
      </c>
      <c r="X45" s="57">
        <v>1149</v>
      </c>
      <c r="Y45" s="69">
        <v>1680</v>
      </c>
      <c r="Z45" s="69">
        <v>894</v>
      </c>
      <c r="AA45" s="85">
        <f t="shared" si="4"/>
        <v>756</v>
      </c>
      <c r="AB45" s="85">
        <f t="shared" si="4"/>
        <v>753</v>
      </c>
      <c r="AC45" s="95">
        <f>SUM(V46,W46,U46,T46,Q46)/5</f>
        <v>10453.200000000001</v>
      </c>
      <c r="AD45" s="70" t="s">
        <v>8</v>
      </c>
      <c r="AE45" s="112">
        <f>SUM(W47,X47,AA47)/3</f>
        <v>1792.6666666666667</v>
      </c>
      <c r="AF45" s="112">
        <f>SUM(W47,T47,S47,P47,V47)/5</f>
        <v>392</v>
      </c>
      <c r="AG45" s="112">
        <v>2500</v>
      </c>
      <c r="AH45" s="122">
        <v>0.02</v>
      </c>
      <c r="AI45" s="125">
        <v>0.1255</v>
      </c>
      <c r="AJ45" s="102">
        <f t="shared" si="3"/>
        <v>638.66666666666663</v>
      </c>
      <c r="AK45" s="68"/>
      <c r="AL45" s="218"/>
      <c r="AM45" s="24"/>
      <c r="AN45" s="141"/>
      <c r="AO45" s="142"/>
      <c r="AP45" s="68"/>
      <c r="AQ45" s="68"/>
      <c r="AR45" s="68"/>
      <c r="AS45" s="68"/>
      <c r="AT45" s="68"/>
      <c r="AU45" s="68"/>
      <c r="AV45" s="68"/>
      <c r="AW45" s="68"/>
      <c r="AX45" s="68"/>
      <c r="AY45" s="132"/>
      <c r="AZ45" s="132"/>
      <c r="BA45" s="132"/>
      <c r="BB45" s="133"/>
      <c r="BC45" s="132"/>
      <c r="BD45" s="33"/>
      <c r="BE45" s="129"/>
      <c r="BF45" s="129"/>
      <c r="BG45" s="129"/>
      <c r="BH45" s="129"/>
      <c r="BI45" s="129"/>
      <c r="BJ45" s="33"/>
    </row>
    <row r="46" spans="6:62" ht="15" thickBot="1" x14ac:dyDescent="0.35">
      <c r="F46" s="13" t="s">
        <v>33</v>
      </c>
      <c r="G46" s="19" t="s">
        <v>7</v>
      </c>
      <c r="H46" s="60">
        <v>404</v>
      </c>
      <c r="I46" s="57">
        <v>189</v>
      </c>
      <c r="J46" s="57">
        <v>1084</v>
      </c>
      <c r="K46" s="57">
        <v>980</v>
      </c>
      <c r="L46" s="57">
        <v>2450</v>
      </c>
      <c r="M46" s="116">
        <v>2742</v>
      </c>
      <c r="N46" s="57">
        <v>6476</v>
      </c>
      <c r="O46" s="57">
        <v>5035</v>
      </c>
      <c r="P46" s="57">
        <v>6637</v>
      </c>
      <c r="Q46" s="57">
        <v>10112</v>
      </c>
      <c r="R46" s="116">
        <v>7279</v>
      </c>
      <c r="S46" s="57">
        <v>6505</v>
      </c>
      <c r="T46" s="57">
        <v>8126</v>
      </c>
      <c r="U46" s="57">
        <v>8999</v>
      </c>
      <c r="V46" s="57">
        <v>14159</v>
      </c>
      <c r="W46" s="57">
        <v>10870</v>
      </c>
      <c r="X46" s="57">
        <v>3768</v>
      </c>
      <c r="Y46" s="69">
        <v>5758</v>
      </c>
      <c r="Z46" s="69">
        <v>7362</v>
      </c>
      <c r="AA46" s="85">
        <f t="shared" si="4"/>
        <v>4498</v>
      </c>
      <c r="AB46" s="85">
        <f t="shared" si="4"/>
        <v>3793</v>
      </c>
      <c r="AC46" s="95">
        <f>SUM(W47,X47,AA47,AB47,Y47)/5</f>
        <v>1462.2</v>
      </c>
      <c r="AD46" s="70" t="s">
        <v>9</v>
      </c>
      <c r="AE46" s="112">
        <f>SUM(T48,U48,W48)/3</f>
        <v>969.66666666666663</v>
      </c>
      <c r="AF46" s="112">
        <f>SUM(I48,U48,W48,T48,J48)/5</f>
        <v>965.6</v>
      </c>
      <c r="AG46" s="112">
        <v>2500</v>
      </c>
      <c r="AH46" s="122">
        <v>0.04</v>
      </c>
      <c r="AI46" s="125">
        <v>4.4499999999999998E-2</v>
      </c>
      <c r="AJ46" s="102">
        <f t="shared" si="3"/>
        <v>9599</v>
      </c>
      <c r="AK46" s="68"/>
      <c r="AL46" s="218"/>
      <c r="AM46" s="24"/>
      <c r="AN46" s="141"/>
      <c r="AO46" s="142"/>
      <c r="AP46" s="68"/>
      <c r="AQ46" s="68"/>
      <c r="AR46" s="68"/>
      <c r="AS46" s="68"/>
      <c r="AT46" s="68"/>
      <c r="AU46" s="68"/>
      <c r="AV46" s="68"/>
      <c r="AW46" s="68"/>
      <c r="AX46" s="68"/>
      <c r="AY46" s="132"/>
      <c r="AZ46" s="132"/>
      <c r="BA46" s="132"/>
      <c r="BB46" s="133"/>
      <c r="BC46" s="132"/>
      <c r="BD46" s="33"/>
      <c r="BE46" s="129"/>
      <c r="BF46" s="129"/>
      <c r="BG46" s="129"/>
      <c r="BH46" s="129"/>
      <c r="BI46" s="129"/>
      <c r="BJ46" s="33"/>
    </row>
    <row r="47" spans="6:62" ht="15" thickBot="1" x14ac:dyDescent="0.35">
      <c r="F47" s="13" t="s">
        <v>34</v>
      </c>
      <c r="G47" s="19" t="s">
        <v>8</v>
      </c>
      <c r="H47" s="60">
        <v>0</v>
      </c>
      <c r="I47" s="57">
        <v>0</v>
      </c>
      <c r="J47" s="57">
        <v>0</v>
      </c>
      <c r="K47" s="57">
        <v>0</v>
      </c>
      <c r="L47" s="57">
        <v>0</v>
      </c>
      <c r="M47" s="116">
        <v>0</v>
      </c>
      <c r="N47" s="57">
        <v>0</v>
      </c>
      <c r="O47" s="57">
        <v>0</v>
      </c>
      <c r="P47" s="57">
        <v>144</v>
      </c>
      <c r="Q47" s="57">
        <v>0</v>
      </c>
      <c r="R47" s="116">
        <v>0</v>
      </c>
      <c r="S47" s="57">
        <v>108</v>
      </c>
      <c r="T47" s="57">
        <v>254</v>
      </c>
      <c r="U47" s="57">
        <v>0</v>
      </c>
      <c r="V47" s="57">
        <v>8</v>
      </c>
      <c r="W47" s="57">
        <v>1446</v>
      </c>
      <c r="X47" s="57">
        <v>1962</v>
      </c>
      <c r="Y47" s="69">
        <v>867</v>
      </c>
      <c r="Z47" s="69">
        <v>536</v>
      </c>
      <c r="AA47" s="85">
        <f t="shared" si="4"/>
        <v>1970</v>
      </c>
      <c r="AB47" s="85">
        <f t="shared" si="4"/>
        <v>1066</v>
      </c>
      <c r="AC47" s="95">
        <f t="shared" si="5"/>
        <v>634.4</v>
      </c>
      <c r="AD47" s="70" t="s">
        <v>10</v>
      </c>
      <c r="AE47" s="112">
        <f>SUM(R49,T49,U49)/3</f>
        <v>1023.3333333333334</v>
      </c>
      <c r="AF47" s="112">
        <f>SUM(O49,R49,U49,V49,T49)/5</f>
        <v>803.6</v>
      </c>
      <c r="AG47" s="112">
        <v>2500</v>
      </c>
      <c r="AH47" s="122">
        <v>0.04</v>
      </c>
      <c r="AI47" s="125">
        <v>0.1053</v>
      </c>
      <c r="AJ47" s="102">
        <f t="shared" si="3"/>
        <v>1138.6666666666667</v>
      </c>
      <c r="AK47" s="68"/>
      <c r="AL47" s="218"/>
      <c r="AM47" s="24"/>
      <c r="AN47" s="141"/>
      <c r="AO47" s="142"/>
      <c r="AP47" s="68"/>
      <c r="AQ47" s="68"/>
      <c r="AR47" s="68"/>
      <c r="AS47" s="68"/>
      <c r="AT47" s="68"/>
      <c r="AU47" s="68"/>
      <c r="AV47" s="68"/>
      <c r="AW47" s="68"/>
      <c r="AX47" s="68"/>
      <c r="AY47" s="132"/>
      <c r="AZ47" s="132"/>
      <c r="BA47" s="132"/>
      <c r="BB47" s="133"/>
      <c r="BC47" s="132"/>
      <c r="BD47" s="33"/>
      <c r="BE47" s="129"/>
      <c r="BF47" s="129"/>
      <c r="BG47" s="129"/>
      <c r="BH47" s="129"/>
      <c r="BI47" s="129"/>
      <c r="BJ47" s="33"/>
    </row>
    <row r="48" spans="6:62" ht="15" thickBot="1" x14ac:dyDescent="0.35">
      <c r="F48" s="13" t="s">
        <v>35</v>
      </c>
      <c r="G48" s="19" t="s">
        <v>9</v>
      </c>
      <c r="H48" s="60">
        <v>858</v>
      </c>
      <c r="I48" s="57">
        <v>1074</v>
      </c>
      <c r="J48" s="57">
        <v>845</v>
      </c>
      <c r="K48" s="57">
        <v>318</v>
      </c>
      <c r="L48" s="57">
        <v>206</v>
      </c>
      <c r="M48" s="116">
        <v>256</v>
      </c>
      <c r="N48" s="57">
        <v>405</v>
      </c>
      <c r="O48" s="57">
        <v>354</v>
      </c>
      <c r="P48" s="57">
        <v>220</v>
      </c>
      <c r="Q48" s="57">
        <v>124</v>
      </c>
      <c r="R48" s="116">
        <v>57</v>
      </c>
      <c r="S48" s="57">
        <v>36</v>
      </c>
      <c r="T48" s="57">
        <v>760</v>
      </c>
      <c r="U48" s="57">
        <v>1439</v>
      </c>
      <c r="V48" s="57">
        <v>264</v>
      </c>
      <c r="W48" s="57">
        <v>710</v>
      </c>
      <c r="X48" s="57">
        <v>1189</v>
      </c>
      <c r="Y48" s="69">
        <v>627</v>
      </c>
      <c r="Z48" s="69">
        <v>719</v>
      </c>
      <c r="AA48" s="85">
        <f t="shared" si="4"/>
        <v>1213</v>
      </c>
      <c r="AB48" s="85">
        <f t="shared" si="4"/>
        <v>829</v>
      </c>
      <c r="AC48" s="95">
        <f>SUM(T49,U49,X49,Y49,AA49)/5</f>
        <v>1361.4</v>
      </c>
      <c r="AD48" s="70" t="s">
        <v>11</v>
      </c>
      <c r="AE48" s="112">
        <f>SUM(U50,X50,Y50)/3</f>
        <v>7402.333333333333</v>
      </c>
      <c r="AF48" s="112">
        <f>SUM(M50,N50,U50,S50,Q50)/5</f>
        <v>6710</v>
      </c>
      <c r="AG48" s="112">
        <v>8376</v>
      </c>
      <c r="AH48" s="122">
        <v>0.04</v>
      </c>
      <c r="AI48" s="125">
        <v>2.1399999999999999E-2</v>
      </c>
      <c r="AJ48" s="102">
        <f t="shared" si="3"/>
        <v>721</v>
      </c>
      <c r="AK48" s="68"/>
      <c r="AL48" s="218"/>
      <c r="AM48" s="24"/>
      <c r="AN48" s="141"/>
      <c r="AO48" s="142"/>
      <c r="AP48" s="68"/>
      <c r="AQ48" s="68"/>
      <c r="AR48" s="68"/>
      <c r="AS48" s="68"/>
      <c r="AT48" s="68"/>
      <c r="AU48" s="68"/>
      <c r="AV48" s="68"/>
      <c r="AW48" s="68"/>
      <c r="AX48" s="68"/>
      <c r="AY48" s="132"/>
      <c r="AZ48" s="132"/>
      <c r="BA48" s="132"/>
      <c r="BB48" s="133"/>
      <c r="BC48" s="132"/>
      <c r="BD48" s="33"/>
      <c r="BE48" s="129"/>
      <c r="BF48" s="129"/>
      <c r="BG48" s="129"/>
      <c r="BH48" s="129"/>
      <c r="BI48" s="129"/>
      <c r="BJ48" s="33"/>
    </row>
    <row r="49" spans="6:62" ht="15" thickBot="1" x14ac:dyDescent="0.35">
      <c r="F49" s="13" t="s">
        <v>36</v>
      </c>
      <c r="G49" s="19" t="s">
        <v>10</v>
      </c>
      <c r="H49" s="60">
        <v>240</v>
      </c>
      <c r="I49" s="57">
        <v>103</v>
      </c>
      <c r="J49" s="57">
        <v>186</v>
      </c>
      <c r="K49" s="57">
        <v>52</v>
      </c>
      <c r="L49" s="57">
        <v>224</v>
      </c>
      <c r="M49" s="116">
        <v>296</v>
      </c>
      <c r="N49" s="57">
        <v>8</v>
      </c>
      <c r="O49" s="57">
        <v>459</v>
      </c>
      <c r="P49" s="57">
        <v>159</v>
      </c>
      <c r="Q49" s="57">
        <v>351</v>
      </c>
      <c r="R49" s="116">
        <v>674</v>
      </c>
      <c r="S49" s="57">
        <v>459</v>
      </c>
      <c r="T49" s="57">
        <v>918</v>
      </c>
      <c r="U49" s="57">
        <v>1478</v>
      </c>
      <c r="V49" s="57">
        <v>489</v>
      </c>
      <c r="W49" s="57">
        <v>427</v>
      </c>
      <c r="X49" s="57">
        <v>1545</v>
      </c>
      <c r="Y49" s="69">
        <v>1418</v>
      </c>
      <c r="Z49" s="69">
        <v>940</v>
      </c>
      <c r="AA49" s="85">
        <f t="shared" si="4"/>
        <v>1448</v>
      </c>
      <c r="AB49" s="85">
        <f t="shared" si="4"/>
        <v>665</v>
      </c>
      <c r="AC49" s="95">
        <f>SUM(Y50,N50,M50,U50,X50)/5</f>
        <v>7443.2</v>
      </c>
      <c r="AD49" s="111" t="s">
        <v>12</v>
      </c>
      <c r="AE49" s="115">
        <f>SUM(O51,Q51,R51)/3</f>
        <v>2819.3333333333335</v>
      </c>
      <c r="AF49" s="115">
        <f>SUM(I51,J51,Q51,R51,O51)/5</f>
        <v>3496.6</v>
      </c>
      <c r="AG49" s="115">
        <v>4824</v>
      </c>
      <c r="AH49" s="124">
        <v>0.01</v>
      </c>
      <c r="AI49" s="127">
        <v>3.4000000000000002E-2</v>
      </c>
      <c r="AJ49" s="102">
        <f t="shared" si="3"/>
        <v>820.33333333333337</v>
      </c>
      <c r="AK49" s="68"/>
      <c r="AL49" s="218"/>
      <c r="AM49" s="24"/>
      <c r="AN49" s="141"/>
      <c r="AO49" s="142"/>
      <c r="AP49" s="68"/>
      <c r="AQ49" s="68"/>
      <c r="AR49" s="68"/>
      <c r="AS49" s="68"/>
      <c r="AT49" s="68"/>
      <c r="AU49" s="68"/>
      <c r="AV49" s="68"/>
      <c r="AW49" s="68"/>
      <c r="AX49" s="68"/>
      <c r="AY49" s="132"/>
      <c r="AZ49" s="132"/>
      <c r="BA49" s="132"/>
      <c r="BB49" s="133"/>
      <c r="BC49" s="132"/>
      <c r="BD49" s="33"/>
      <c r="BE49" s="129"/>
      <c r="BF49" s="129"/>
      <c r="BG49" s="129"/>
      <c r="BH49" s="129"/>
      <c r="BI49" s="129"/>
      <c r="BJ49" s="33"/>
    </row>
    <row r="50" spans="6:62" ht="15" thickBot="1" x14ac:dyDescent="0.35">
      <c r="F50" s="13" t="s">
        <v>37</v>
      </c>
      <c r="G50" s="19" t="s">
        <v>11</v>
      </c>
      <c r="H50" s="60">
        <v>2901</v>
      </c>
      <c r="I50" s="57">
        <v>2875</v>
      </c>
      <c r="J50" s="57">
        <v>2680</v>
      </c>
      <c r="K50" s="57">
        <v>2946</v>
      </c>
      <c r="L50" s="57">
        <v>4100</v>
      </c>
      <c r="M50" s="116">
        <v>6674</v>
      </c>
      <c r="N50" s="57">
        <v>8335</v>
      </c>
      <c r="O50" s="57">
        <v>5065</v>
      </c>
      <c r="P50" s="57">
        <v>5474</v>
      </c>
      <c r="Q50" s="57">
        <v>5493</v>
      </c>
      <c r="R50" s="116">
        <v>2935</v>
      </c>
      <c r="S50" s="57">
        <v>6149</v>
      </c>
      <c r="T50" s="57">
        <v>4323</v>
      </c>
      <c r="U50" s="57">
        <v>6899</v>
      </c>
      <c r="V50" s="57">
        <v>5475</v>
      </c>
      <c r="W50" s="57">
        <v>4490</v>
      </c>
      <c r="X50" s="57">
        <v>6816</v>
      </c>
      <c r="Y50" s="69">
        <v>8492</v>
      </c>
      <c r="Z50" s="69">
        <v>4396</v>
      </c>
      <c r="AA50" s="85">
        <f t="shared" si="4"/>
        <v>3195</v>
      </c>
      <c r="AB50" s="85">
        <f t="shared" si="4"/>
        <v>5180</v>
      </c>
      <c r="AC50" s="95">
        <f>SUM(H51,I51,J51,Q51,R51)/5</f>
        <v>3687.4</v>
      </c>
      <c r="AD50" s="67" t="s">
        <v>45</v>
      </c>
      <c r="AE50" s="108">
        <f>SUM(AE34:AE49)</f>
        <v>44649.000000000007</v>
      </c>
      <c r="AF50" s="108">
        <f>SUM(AF34:AF49)</f>
        <v>42397.399999999994</v>
      </c>
      <c r="AG50" s="108"/>
      <c r="AH50" s="108">
        <f>SUM(AH34:AH49)</f>
        <v>1.02</v>
      </c>
      <c r="AI50" s="120"/>
      <c r="AJ50" s="102">
        <f t="shared" si="3"/>
        <v>5593.666666666667</v>
      </c>
      <c r="AK50" s="68"/>
      <c r="AL50" s="218"/>
      <c r="AM50" s="24"/>
      <c r="AN50" s="141"/>
      <c r="AO50" s="142"/>
      <c r="AP50" s="68"/>
      <c r="AQ50" s="68"/>
      <c r="AR50" s="68"/>
      <c r="AS50" s="68"/>
      <c r="AT50" s="68"/>
      <c r="AU50" s="68"/>
      <c r="AV50" s="68"/>
      <c r="AW50" s="68"/>
      <c r="AX50" s="68"/>
      <c r="AY50" s="132"/>
      <c r="AZ50" s="132"/>
      <c r="BA50" s="132"/>
      <c r="BB50" s="133"/>
      <c r="BC50" s="132"/>
      <c r="BD50" s="33"/>
      <c r="BE50" s="129"/>
      <c r="BF50" s="129"/>
      <c r="BG50" s="129"/>
      <c r="BH50" s="129"/>
      <c r="BI50" s="129"/>
      <c r="BJ50" s="33"/>
    </row>
    <row r="51" spans="6:62" ht="15" thickBot="1" x14ac:dyDescent="0.35">
      <c r="F51" s="13" t="s">
        <v>38</v>
      </c>
      <c r="G51" s="19" t="s">
        <v>12</v>
      </c>
      <c r="H51" s="60">
        <v>4067</v>
      </c>
      <c r="I51" s="57">
        <v>4820</v>
      </c>
      <c r="J51" s="57">
        <v>4205</v>
      </c>
      <c r="K51" s="57">
        <v>2253</v>
      </c>
      <c r="L51" s="57">
        <v>1233</v>
      </c>
      <c r="M51" s="116">
        <v>1263</v>
      </c>
      <c r="N51" s="57">
        <v>2113</v>
      </c>
      <c r="O51" s="57">
        <v>3113</v>
      </c>
      <c r="P51" s="57">
        <v>2342</v>
      </c>
      <c r="Q51" s="57">
        <v>2816</v>
      </c>
      <c r="R51" s="116">
        <v>2529</v>
      </c>
      <c r="S51" s="57">
        <v>1415</v>
      </c>
      <c r="T51" s="57">
        <v>2037</v>
      </c>
      <c r="U51" s="57">
        <v>1640</v>
      </c>
      <c r="V51" s="57">
        <v>800</v>
      </c>
      <c r="W51" s="57">
        <v>840</v>
      </c>
      <c r="X51" s="57">
        <v>946</v>
      </c>
      <c r="Y51" s="69">
        <v>2339</v>
      </c>
      <c r="Z51" s="69">
        <v>1517</v>
      </c>
      <c r="AA51" s="85">
        <f t="shared" si="4"/>
        <v>1442</v>
      </c>
      <c r="AB51" s="85">
        <f t="shared" si="4"/>
        <v>700</v>
      </c>
      <c r="AC51" s="95">
        <f>SUM(AC35:AC50)</f>
        <v>70974.999999999985</v>
      </c>
      <c r="AD51" s="3"/>
      <c r="AE51" s="99"/>
      <c r="AF51" s="99"/>
      <c r="AG51" s="99"/>
      <c r="AH51" s="121"/>
      <c r="AI51" s="121"/>
      <c r="AJ51" s="104">
        <f t="shared" si="3"/>
        <v>862</v>
      </c>
      <c r="AK51" s="68"/>
      <c r="AL51" s="218"/>
      <c r="AM51" s="144"/>
      <c r="AN51" s="145"/>
      <c r="AO51" s="145"/>
      <c r="AP51" s="68"/>
      <c r="AQ51" s="68"/>
      <c r="AR51" s="68"/>
      <c r="AS51" s="68"/>
      <c r="AT51" s="68"/>
      <c r="AU51" s="68"/>
      <c r="AV51" s="68"/>
      <c r="AW51" s="68"/>
      <c r="AX51" s="68"/>
      <c r="AY51" s="132"/>
      <c r="AZ51" s="132"/>
      <c r="BA51" s="132"/>
      <c r="BB51" s="133"/>
      <c r="BC51" s="132"/>
      <c r="BD51" s="33"/>
      <c r="BE51" s="129"/>
      <c r="BF51" s="129"/>
      <c r="BG51" s="129"/>
      <c r="BH51" s="129"/>
      <c r="BI51" s="129"/>
      <c r="BJ51" s="33"/>
    </row>
    <row r="52" spans="6:62" s="31" customFormat="1" ht="15" thickBot="1" x14ac:dyDescent="0.35">
      <c r="F52" s="198" t="s">
        <v>45</v>
      </c>
      <c r="G52" s="28"/>
      <c r="H52" s="209">
        <f>SUM(H35:H51)</f>
        <v>32842</v>
      </c>
      <c r="I52" s="209">
        <f t="shared" ref="I52:AB52" si="6">SUM(I35:I51)</f>
        <v>50976</v>
      </c>
      <c r="J52" s="209">
        <f t="shared" si="6"/>
        <v>59412</v>
      </c>
      <c r="K52" s="209">
        <f t="shared" si="6"/>
        <v>50884</v>
      </c>
      <c r="L52" s="209">
        <f t="shared" si="6"/>
        <v>50069</v>
      </c>
      <c r="M52" s="209">
        <f t="shared" si="6"/>
        <v>52850</v>
      </c>
      <c r="N52" s="209">
        <f t="shared" si="6"/>
        <v>57611</v>
      </c>
      <c r="O52" s="209">
        <f t="shared" si="6"/>
        <v>52156</v>
      </c>
      <c r="P52" s="209">
        <f t="shared" si="6"/>
        <v>55182</v>
      </c>
      <c r="Q52" s="209">
        <f t="shared" si="6"/>
        <v>71890</v>
      </c>
      <c r="R52" s="209">
        <f t="shared" si="6"/>
        <v>76095</v>
      </c>
      <c r="S52" s="209">
        <f t="shared" si="6"/>
        <v>55948</v>
      </c>
      <c r="T52" s="209">
        <f t="shared" si="6"/>
        <v>71595</v>
      </c>
      <c r="U52" s="209">
        <f t="shared" si="6"/>
        <v>69238</v>
      </c>
      <c r="V52" s="209">
        <f t="shared" si="6"/>
        <v>59069</v>
      </c>
      <c r="W52" s="209">
        <f t="shared" si="6"/>
        <v>63329</v>
      </c>
      <c r="X52" s="209">
        <f t="shared" si="6"/>
        <v>54885</v>
      </c>
      <c r="Y52" s="209">
        <f t="shared" si="6"/>
        <v>72736</v>
      </c>
      <c r="Z52" s="209">
        <f t="shared" si="6"/>
        <v>60898</v>
      </c>
      <c r="AA52" s="209">
        <f t="shared" si="6"/>
        <v>65983</v>
      </c>
      <c r="AB52" s="209">
        <f t="shared" si="6"/>
        <v>57004</v>
      </c>
      <c r="AC52" s="97"/>
      <c r="AD52" s="3"/>
      <c r="AE52" s="109"/>
      <c r="AF52" s="109"/>
      <c r="AG52" s="109"/>
      <c r="AH52" s="109"/>
      <c r="AI52" s="109"/>
      <c r="AJ52" s="74">
        <f t="shared" ref="AJ52" si="7">SUM(AJ35:AJ38,AJ40:AJ51)</f>
        <v>39145.333333333328</v>
      </c>
      <c r="AK52" s="106"/>
      <c r="AL52" s="33"/>
      <c r="AM52" s="33"/>
      <c r="AN52" s="33"/>
      <c r="AO52" s="33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29"/>
      <c r="BE52" s="129"/>
      <c r="BF52" s="129"/>
      <c r="BG52" s="129"/>
      <c r="BH52" s="129"/>
      <c r="BI52" s="33"/>
      <c r="BJ52" s="33"/>
    </row>
    <row r="53" spans="6:62" ht="15" thickBot="1" x14ac:dyDescent="0.35">
      <c r="F53" s="202" t="s">
        <v>106</v>
      </c>
      <c r="G53" s="199"/>
      <c r="H53" s="200">
        <f>SUM(H51,H50,H49,H48,H47,H46,H45,H43,H42,H40,H38,H37,H36)</f>
        <v>15040</v>
      </c>
      <c r="I53" s="200">
        <f t="shared" ref="I53:AB53" si="8">SUM(I51,I50,I49,I48,I47,I46,I45,I43,I42,I40,I38,I37,I36)</f>
        <v>20309</v>
      </c>
      <c r="J53" s="200">
        <f t="shared" si="8"/>
        <v>20321</v>
      </c>
      <c r="K53" s="200">
        <f t="shared" si="8"/>
        <v>17121</v>
      </c>
      <c r="L53" s="200">
        <f t="shared" si="8"/>
        <v>20645</v>
      </c>
      <c r="M53" s="200">
        <f t="shared" si="8"/>
        <v>22817</v>
      </c>
      <c r="N53" s="200">
        <f t="shared" si="8"/>
        <v>30172</v>
      </c>
      <c r="O53" s="200">
        <f t="shared" si="8"/>
        <v>25977</v>
      </c>
      <c r="P53" s="200">
        <f t="shared" si="8"/>
        <v>24805</v>
      </c>
      <c r="Q53" s="200">
        <f t="shared" si="8"/>
        <v>33271</v>
      </c>
      <c r="R53" s="200">
        <f t="shared" si="8"/>
        <v>27508</v>
      </c>
      <c r="S53" s="200">
        <f t="shared" si="8"/>
        <v>26301</v>
      </c>
      <c r="T53" s="200">
        <f t="shared" si="8"/>
        <v>34130</v>
      </c>
      <c r="U53" s="200">
        <f t="shared" si="8"/>
        <v>32569</v>
      </c>
      <c r="V53" s="200">
        <f t="shared" si="8"/>
        <v>32342</v>
      </c>
      <c r="W53" s="200">
        <f t="shared" si="8"/>
        <v>33563</v>
      </c>
      <c r="X53" s="200">
        <f t="shared" si="8"/>
        <v>31578</v>
      </c>
      <c r="Y53" s="200">
        <f t="shared" si="8"/>
        <v>31712</v>
      </c>
      <c r="Z53" s="200">
        <f t="shared" si="8"/>
        <v>27255</v>
      </c>
      <c r="AA53" s="200">
        <f t="shared" si="8"/>
        <v>28118</v>
      </c>
      <c r="AB53" s="200">
        <f t="shared" si="8"/>
        <v>23584</v>
      </c>
      <c r="AC53" s="96"/>
      <c r="AD53" s="3"/>
      <c r="AE53" s="3"/>
      <c r="AF53" s="3"/>
      <c r="AG53" s="3"/>
      <c r="AH53" s="3"/>
      <c r="AI53" s="3"/>
      <c r="AJ53" s="105">
        <f t="shared" ref="AJ53" si="9">SUM(AJ36,AJ37,AJ38,AJ42,AJ43,AJ46,AJ47,AJ48,AJ49,AJ50,AJ51)</f>
        <v>28988.666666666668</v>
      </c>
      <c r="AK53" s="101"/>
      <c r="AL53" s="24"/>
      <c r="AM53" s="33"/>
      <c r="AN53" s="33"/>
      <c r="AO53" s="33"/>
      <c r="AP53" s="101"/>
      <c r="AQ53" s="101"/>
      <c r="AR53" s="101"/>
      <c r="AS53" s="101"/>
      <c r="AT53" s="101"/>
      <c r="AU53" s="101"/>
      <c r="AV53" s="101"/>
      <c r="AW53" s="101"/>
      <c r="AX53" s="130"/>
      <c r="AY53" s="134"/>
      <c r="AZ53" s="134"/>
      <c r="BA53" s="134"/>
      <c r="BB53" s="134"/>
      <c r="BC53" s="135"/>
      <c r="BD53" s="33"/>
      <c r="BE53" s="33"/>
      <c r="BF53" s="33"/>
      <c r="BG53" s="33"/>
      <c r="BH53" s="33"/>
      <c r="BI53" s="33"/>
      <c r="BJ53" s="33"/>
    </row>
    <row r="54" spans="6:62" ht="15" thickBot="1" x14ac:dyDescent="0.35">
      <c r="F54" s="203" t="s">
        <v>107</v>
      </c>
      <c r="G54" s="201"/>
      <c r="H54" s="204">
        <f>SUM(H35,H41,H44)</f>
        <v>4974</v>
      </c>
      <c r="I54" s="204">
        <f t="shared" ref="I54:AB54" si="10">SUM(I35,I41,I44)</f>
        <v>8493</v>
      </c>
      <c r="J54" s="204">
        <f t="shared" si="10"/>
        <v>11049</v>
      </c>
      <c r="K54" s="204">
        <f t="shared" si="10"/>
        <v>8104</v>
      </c>
      <c r="L54" s="204">
        <f t="shared" si="10"/>
        <v>5597</v>
      </c>
      <c r="M54" s="204">
        <f t="shared" si="10"/>
        <v>6718</v>
      </c>
      <c r="N54" s="204">
        <f t="shared" si="10"/>
        <v>8272</v>
      </c>
      <c r="O54" s="204">
        <f t="shared" si="10"/>
        <v>9903</v>
      </c>
      <c r="P54" s="204">
        <f t="shared" si="10"/>
        <v>7347</v>
      </c>
      <c r="Q54" s="204">
        <f t="shared" si="10"/>
        <v>8359</v>
      </c>
      <c r="R54" s="204">
        <f t="shared" si="10"/>
        <v>8238</v>
      </c>
      <c r="S54" s="204">
        <f t="shared" si="10"/>
        <v>6737</v>
      </c>
      <c r="T54" s="204">
        <f t="shared" si="10"/>
        <v>7701</v>
      </c>
      <c r="U54" s="204">
        <f t="shared" si="10"/>
        <v>6971</v>
      </c>
      <c r="V54" s="204">
        <f t="shared" si="10"/>
        <v>6743</v>
      </c>
      <c r="W54" s="204">
        <f t="shared" si="10"/>
        <v>6721</v>
      </c>
      <c r="X54" s="204">
        <f t="shared" si="10"/>
        <v>6489</v>
      </c>
      <c r="Y54" s="204">
        <f t="shared" si="10"/>
        <v>5225</v>
      </c>
      <c r="Z54" s="204">
        <f t="shared" si="10"/>
        <v>6243</v>
      </c>
      <c r="AA54" s="204">
        <f t="shared" si="10"/>
        <v>6510</v>
      </c>
      <c r="AB54" s="204">
        <f t="shared" si="10"/>
        <v>5221</v>
      </c>
      <c r="AC54" s="83"/>
      <c r="AD54" s="3"/>
      <c r="AE54" s="253"/>
      <c r="AF54" s="253"/>
      <c r="AG54" s="253">
        <f t="shared" ref="AG54" si="11">SUM(AC36:AC38,AC40,AC42,AC46:AC51,AC45,AC56)</f>
        <v>112914.59999999999</v>
      </c>
      <c r="AH54" s="3"/>
      <c r="AI54" s="3"/>
      <c r="AJ54" s="72">
        <f t="shared" ref="AJ54" si="12">SUM(AJ37,AJ38,AJ42,AJ48,AJ51)</f>
        <v>10723.333333333332</v>
      </c>
      <c r="AK54" s="107"/>
      <c r="AL54" s="25"/>
      <c r="AM54" s="3"/>
      <c r="AN54" s="3"/>
      <c r="AO54" s="3"/>
      <c r="AP54" s="107"/>
      <c r="AQ54" s="107"/>
      <c r="AR54" s="107"/>
      <c r="AS54" s="107"/>
      <c r="AT54" s="107"/>
      <c r="AU54" s="107"/>
      <c r="AV54" s="107"/>
      <c r="AW54" s="107"/>
      <c r="AX54" s="136"/>
      <c r="AY54" s="137"/>
      <c r="AZ54" s="137"/>
      <c r="BA54" s="137"/>
      <c r="BB54" s="137"/>
      <c r="BC54" s="137"/>
      <c r="BD54" s="33"/>
      <c r="BE54" s="33"/>
      <c r="BF54" s="33"/>
      <c r="BG54" s="33"/>
      <c r="BH54" s="33"/>
      <c r="BI54" s="33"/>
      <c r="BJ54" s="33"/>
    </row>
    <row r="55" spans="6:62" x14ac:dyDescent="0.3">
      <c r="AA55" s="3"/>
      <c r="AB55" s="3"/>
      <c r="AC55" s="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spans="6:62" x14ac:dyDescent="0.3">
      <c r="F56" s="195" t="s">
        <v>108</v>
      </c>
      <c r="G56" s="195"/>
      <c r="H56" s="252">
        <f>SUM(H43,H28)</f>
        <v>4670</v>
      </c>
      <c r="I56" s="252">
        <f t="shared" ref="I56:AB56" si="13">SUM(I43,I28)</f>
        <v>5329</v>
      </c>
      <c r="J56" s="252">
        <f t="shared" si="13"/>
        <v>5534</v>
      </c>
      <c r="K56" s="252">
        <f t="shared" si="13"/>
        <v>6657</v>
      </c>
      <c r="L56" s="252">
        <f t="shared" si="13"/>
        <v>4458</v>
      </c>
      <c r="M56" s="252">
        <f t="shared" si="13"/>
        <v>3457</v>
      </c>
      <c r="N56" s="252">
        <f t="shared" si="13"/>
        <v>2539</v>
      </c>
      <c r="O56" s="252">
        <f t="shared" si="13"/>
        <v>2013</v>
      </c>
      <c r="P56" s="252">
        <f t="shared" si="13"/>
        <v>3734</v>
      </c>
      <c r="Q56" s="252">
        <f t="shared" si="13"/>
        <v>2216</v>
      </c>
      <c r="R56" s="252">
        <f t="shared" si="13"/>
        <v>2292</v>
      </c>
      <c r="S56" s="252">
        <f t="shared" si="13"/>
        <v>3205</v>
      </c>
      <c r="T56" s="252">
        <f t="shared" si="13"/>
        <v>2993</v>
      </c>
      <c r="U56" s="252">
        <f t="shared" si="13"/>
        <v>3138</v>
      </c>
      <c r="V56" s="252">
        <f t="shared" si="13"/>
        <v>2248</v>
      </c>
      <c r="W56" s="252">
        <f t="shared" si="13"/>
        <v>2648</v>
      </c>
      <c r="X56" s="252">
        <f t="shared" si="13"/>
        <v>2368</v>
      </c>
      <c r="Y56" s="252">
        <f t="shared" si="13"/>
        <v>2140</v>
      </c>
      <c r="Z56" s="252">
        <f t="shared" si="13"/>
        <v>2511</v>
      </c>
      <c r="AA56" s="252">
        <f t="shared" si="13"/>
        <v>2752</v>
      </c>
      <c r="AB56" s="252">
        <f t="shared" si="13"/>
        <v>3030</v>
      </c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131"/>
      <c r="BE56" s="131"/>
      <c r="BF56" s="33"/>
      <c r="BG56" s="33"/>
      <c r="BH56" s="33"/>
      <c r="BI56" s="33"/>
      <c r="BJ56" s="33"/>
    </row>
    <row r="57" spans="6:62" x14ac:dyDescent="0.3"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spans="6:62" x14ac:dyDescent="0.3"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</sheetData>
  <mergeCells count="17">
    <mergeCell ref="F4:F5"/>
    <mergeCell ref="F25:F26"/>
    <mergeCell ref="F33:F34"/>
    <mergeCell ref="H4:Z4"/>
    <mergeCell ref="H25:AB25"/>
    <mergeCell ref="H33:AB33"/>
    <mergeCell ref="BA33:BA34"/>
    <mergeCell ref="BC33:BC34"/>
    <mergeCell ref="BB33:BB34"/>
    <mergeCell ref="AH32:AH33"/>
    <mergeCell ref="AI32:AI33"/>
    <mergeCell ref="AJ33:AJ34"/>
    <mergeCell ref="AE32:AE33"/>
    <mergeCell ref="AF32:AF33"/>
    <mergeCell ref="AG32:AG33"/>
    <mergeCell ref="AY33:AY34"/>
    <mergeCell ref="AZ33:AZ34"/>
  </mergeCells>
  <pageMargins left="0.7" right="0.7" top="0.75" bottom="0.75" header="0.3" footer="0.3"/>
  <pageSetup scale="76" orientation="portrait" r:id="rId1"/>
  <colBreaks count="1" manualBreakCount="1">
    <brk id="29" max="1048575" man="1"/>
  </colBreaks>
  <ignoredErrors>
    <ignoredError sqref="J51:Z51 AJ35 AJ36:AJ51 J23 M23:Q23 V23:Z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3"/>
  <sheetViews>
    <sheetView workbookViewId="0">
      <selection activeCell="H9" sqref="H9"/>
    </sheetView>
  </sheetViews>
  <sheetFormatPr defaultRowHeight="14.4" x14ac:dyDescent="0.3"/>
  <cols>
    <col min="1" max="1" width="20" customWidth="1"/>
    <col min="2" max="2" width="4.5546875" customWidth="1"/>
    <col min="3" max="3" width="10.88671875" customWidth="1"/>
    <col min="6" max="6" width="25.5546875" customWidth="1"/>
  </cols>
  <sheetData>
    <row r="2" spans="1:6" ht="28.8" x14ac:dyDescent="0.3">
      <c r="A2" s="16" t="s">
        <v>46</v>
      </c>
      <c r="B2" s="17" t="s">
        <v>53</v>
      </c>
      <c r="C2" s="18" t="s">
        <v>57</v>
      </c>
      <c r="D2" s="18" t="s">
        <v>49</v>
      </c>
      <c r="F2" s="30"/>
    </row>
    <row r="3" spans="1:6" x14ac:dyDescent="0.3">
      <c r="A3" s="19" t="s">
        <v>25</v>
      </c>
      <c r="B3" s="19" t="s">
        <v>14</v>
      </c>
      <c r="C3" s="20"/>
      <c r="D3" s="35"/>
    </row>
    <row r="4" spans="1:6" x14ac:dyDescent="0.3">
      <c r="A4" s="19" t="s">
        <v>26</v>
      </c>
      <c r="B4" s="19" t="s">
        <v>1</v>
      </c>
      <c r="C4" s="20">
        <v>2526</v>
      </c>
      <c r="D4" s="36">
        <f>C4/$C$20</f>
        <v>3.9519384211020372E-2</v>
      </c>
    </row>
    <row r="5" spans="1:6" x14ac:dyDescent="0.3">
      <c r="A5" s="19" t="s">
        <v>27</v>
      </c>
      <c r="B5" s="19" t="s">
        <v>2</v>
      </c>
      <c r="C5" s="20">
        <v>9698</v>
      </c>
      <c r="D5" s="36">
        <f>C5/$C$20</f>
        <v>0.15172564848712414</v>
      </c>
    </row>
    <row r="6" spans="1:6" x14ac:dyDescent="0.3">
      <c r="A6" s="19" t="s">
        <v>28</v>
      </c>
      <c r="B6" s="19" t="s">
        <v>3</v>
      </c>
      <c r="C6" s="20">
        <v>7294</v>
      </c>
      <c r="D6" s="36">
        <f>C6/$C$20</f>
        <v>0.11411495979223379</v>
      </c>
    </row>
    <row r="7" spans="1:6" x14ac:dyDescent="0.3">
      <c r="A7" s="19" t="s">
        <v>50</v>
      </c>
      <c r="B7" s="19" t="s">
        <v>47</v>
      </c>
      <c r="C7" s="21"/>
      <c r="D7" s="36"/>
    </row>
    <row r="8" spans="1:6" x14ac:dyDescent="0.3">
      <c r="A8" s="19" t="s">
        <v>41</v>
      </c>
      <c r="B8" s="19" t="s">
        <v>13</v>
      </c>
      <c r="C8" s="20"/>
      <c r="D8" s="36"/>
    </row>
    <row r="9" spans="1:6" x14ac:dyDescent="0.3">
      <c r="A9" s="19" t="s">
        <v>29</v>
      </c>
      <c r="B9" s="19" t="s">
        <v>16</v>
      </c>
      <c r="C9" s="20"/>
      <c r="D9" s="36"/>
    </row>
    <row r="10" spans="1:6" x14ac:dyDescent="0.3">
      <c r="A10" s="19" t="s">
        <v>30</v>
      </c>
      <c r="B10" s="19" t="s">
        <v>4</v>
      </c>
      <c r="C10" s="20">
        <v>2500</v>
      </c>
      <c r="D10" s="36">
        <f>C10/$C$20</f>
        <v>3.9112613035451674E-2</v>
      </c>
    </row>
    <row r="11" spans="1:6" x14ac:dyDescent="0.3">
      <c r="A11" s="19" t="s">
        <v>31</v>
      </c>
      <c r="B11" s="19" t="s">
        <v>5</v>
      </c>
      <c r="C11" s="20">
        <v>6700</v>
      </c>
      <c r="D11" s="36">
        <f>C11/$C$20</f>
        <v>0.10482180293501048</v>
      </c>
    </row>
    <row r="12" spans="1:6" x14ac:dyDescent="0.3">
      <c r="A12" s="19" t="s">
        <v>32</v>
      </c>
      <c r="B12" s="19" t="s">
        <v>15</v>
      </c>
      <c r="C12" s="20"/>
      <c r="D12" s="36"/>
    </row>
    <row r="13" spans="1:6" x14ac:dyDescent="0.3">
      <c r="A13" s="19" t="s">
        <v>43</v>
      </c>
      <c r="B13" s="19" t="s">
        <v>6</v>
      </c>
      <c r="C13" s="20"/>
      <c r="D13" s="36"/>
    </row>
    <row r="14" spans="1:6" x14ac:dyDescent="0.3">
      <c r="A14" s="19" t="s">
        <v>33</v>
      </c>
      <c r="B14" s="19" t="s">
        <v>7</v>
      </c>
      <c r="C14" s="20">
        <v>14500</v>
      </c>
      <c r="D14" s="36">
        <f t="shared" ref="D14:D19" si="0">C14/$C$20</f>
        <v>0.22685315560561969</v>
      </c>
    </row>
    <row r="15" spans="1:6" x14ac:dyDescent="0.3">
      <c r="A15" s="19" t="s">
        <v>34</v>
      </c>
      <c r="B15" s="19" t="s">
        <v>8</v>
      </c>
      <c r="C15" s="20">
        <v>2500</v>
      </c>
      <c r="D15" s="36">
        <f t="shared" si="0"/>
        <v>3.9112613035451674E-2</v>
      </c>
    </row>
    <row r="16" spans="1:6" x14ac:dyDescent="0.3">
      <c r="A16" s="19" t="s">
        <v>35</v>
      </c>
      <c r="B16" s="19" t="s">
        <v>9</v>
      </c>
      <c r="C16" s="20">
        <v>2500</v>
      </c>
      <c r="D16" s="36">
        <f t="shared" si="0"/>
        <v>3.9112613035451674E-2</v>
      </c>
    </row>
    <row r="17" spans="1:4" x14ac:dyDescent="0.3">
      <c r="A17" s="19" t="s">
        <v>36</v>
      </c>
      <c r="B17" s="19" t="s">
        <v>10</v>
      </c>
      <c r="C17" s="20">
        <v>2500</v>
      </c>
      <c r="D17" s="36">
        <f t="shared" si="0"/>
        <v>3.9112613035451674E-2</v>
      </c>
    </row>
    <row r="18" spans="1:4" x14ac:dyDescent="0.3">
      <c r="A18" s="19" t="s">
        <v>37</v>
      </c>
      <c r="B18" s="19" t="s">
        <v>11</v>
      </c>
      <c r="C18" s="20">
        <v>8376</v>
      </c>
      <c r="D18" s="36">
        <f t="shared" si="0"/>
        <v>0.13104289871397728</v>
      </c>
    </row>
    <row r="19" spans="1:4" x14ac:dyDescent="0.3">
      <c r="A19" s="19" t="s">
        <v>38</v>
      </c>
      <c r="B19" s="19" t="s">
        <v>12</v>
      </c>
      <c r="C19" s="20">
        <v>4824</v>
      </c>
      <c r="D19" s="36">
        <f t="shared" si="0"/>
        <v>7.5471698113207544E-2</v>
      </c>
    </row>
    <row r="20" spans="1:4" x14ac:dyDescent="0.3">
      <c r="A20" s="22" t="s">
        <v>48</v>
      </c>
      <c r="B20" s="22"/>
      <c r="C20" s="23">
        <v>63918</v>
      </c>
      <c r="D20" s="23"/>
    </row>
    <row r="22" spans="1:4" x14ac:dyDescent="0.3">
      <c r="A22" s="24" t="s">
        <v>51</v>
      </c>
    </row>
    <row r="23" spans="1:4" x14ac:dyDescent="0.3">
      <c r="A23" s="2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20"/>
  <sheetViews>
    <sheetView workbookViewId="0">
      <selection activeCell="D6" sqref="D6"/>
    </sheetView>
  </sheetViews>
  <sheetFormatPr defaultColWidth="8.88671875" defaultRowHeight="14.4" x14ac:dyDescent="0.3"/>
  <cols>
    <col min="1" max="12" width="8.88671875" style="31"/>
    <col min="13" max="13" width="15.44140625" style="31" customWidth="1"/>
    <col min="14" max="16" width="8.88671875" style="31"/>
    <col min="17" max="27" width="11.44140625" style="31" bestFit="1" customWidth="1"/>
    <col min="28" max="29" width="11.5546875" style="31" bestFit="1" customWidth="1"/>
    <col min="30" max="33" width="9.5546875" style="31" bestFit="1" customWidth="1"/>
    <col min="34" max="16384" width="8.88671875" style="31"/>
  </cols>
  <sheetData>
    <row r="2" spans="2:33" x14ac:dyDescent="0.3">
      <c r="I2" s="375" t="s">
        <v>119</v>
      </c>
      <c r="J2" s="375"/>
      <c r="M2" s="274"/>
    </row>
    <row r="3" spans="2:33" ht="86.4" customHeight="1" x14ac:dyDescent="0.3">
      <c r="C3" s="49" t="s">
        <v>118</v>
      </c>
      <c r="I3" s="49" t="s">
        <v>128</v>
      </c>
      <c r="J3" s="49" t="s">
        <v>117</v>
      </c>
      <c r="M3" s="249"/>
      <c r="T3" s="3"/>
      <c r="U3" s="3"/>
      <c r="V3" s="3"/>
      <c r="W3" s="3"/>
      <c r="X3" s="3"/>
      <c r="Y3" s="3"/>
      <c r="Z3" s="3"/>
    </row>
    <row r="4" spans="2:33" x14ac:dyDescent="0.3">
      <c r="C4" s="52" t="s">
        <v>116</v>
      </c>
      <c r="I4" s="52"/>
      <c r="J4" s="52"/>
      <c r="L4" s="232"/>
      <c r="N4" s="50"/>
      <c r="O4" s="50"/>
      <c r="P4" s="50"/>
      <c r="Q4" s="50"/>
      <c r="R4" s="50"/>
      <c r="T4" s="3"/>
      <c r="U4" s="278"/>
      <c r="V4" s="278"/>
      <c r="W4" s="278"/>
      <c r="X4" s="278"/>
      <c r="Y4" s="278"/>
      <c r="Z4" s="3"/>
    </row>
    <row r="5" spans="2:33" x14ac:dyDescent="0.3">
      <c r="B5" s="31" t="s">
        <v>1</v>
      </c>
      <c r="C5" s="336">
        <f>I5+J5</f>
        <v>1E-3</v>
      </c>
      <c r="D5" s="31" t="s">
        <v>143</v>
      </c>
      <c r="I5" s="5">
        <v>0</v>
      </c>
      <c r="J5" s="5">
        <v>1E-3</v>
      </c>
      <c r="L5" s="232"/>
      <c r="M5" s="270"/>
      <c r="N5" s="275"/>
      <c r="O5" s="275"/>
      <c r="P5" s="275"/>
      <c r="Q5" s="275"/>
      <c r="R5" s="275"/>
      <c r="T5" s="3"/>
      <c r="U5" s="277"/>
      <c r="V5" s="277"/>
      <c r="W5" s="277"/>
      <c r="X5" s="277"/>
      <c r="Y5" s="277"/>
      <c r="Z5" s="3"/>
      <c r="AB5" s="276"/>
      <c r="AC5" s="269"/>
      <c r="AD5" s="269"/>
      <c r="AE5" s="269"/>
      <c r="AF5" s="269"/>
      <c r="AG5" s="269"/>
    </row>
    <row r="6" spans="2:33" x14ac:dyDescent="0.3">
      <c r="B6" s="31" t="s">
        <v>2</v>
      </c>
      <c r="C6" s="336">
        <f t="shared" ref="C6:C17" si="0">I6+J6</f>
        <v>0.02</v>
      </c>
      <c r="I6" s="5">
        <v>0.01</v>
      </c>
      <c r="J6" s="5">
        <v>0.01</v>
      </c>
      <c r="K6" s="248"/>
      <c r="L6" s="232"/>
      <c r="M6" s="270"/>
      <c r="N6" s="275"/>
      <c r="O6" s="275"/>
      <c r="P6" s="275"/>
      <c r="Q6" s="275"/>
      <c r="R6" s="275"/>
      <c r="T6" s="3"/>
      <c r="U6" s="277"/>
      <c r="V6" s="277"/>
      <c r="W6" s="277"/>
      <c r="X6" s="277"/>
      <c r="Y6" s="277"/>
      <c r="Z6" s="3"/>
      <c r="AB6" s="276"/>
      <c r="AC6" s="269"/>
      <c r="AD6" s="269"/>
      <c r="AE6" s="269"/>
      <c r="AF6" s="269"/>
      <c r="AG6" s="269"/>
    </row>
    <row r="7" spans="2:33" x14ac:dyDescent="0.3">
      <c r="B7" s="31" t="s">
        <v>3</v>
      </c>
      <c r="C7" s="336">
        <f t="shared" si="0"/>
        <v>1.7000000000000001E-2</v>
      </c>
      <c r="I7" s="5">
        <v>1E-3</v>
      </c>
      <c r="J7" s="5">
        <v>1.6E-2</v>
      </c>
      <c r="K7" s="248"/>
      <c r="L7" s="232"/>
      <c r="M7" s="270"/>
      <c r="N7" s="275"/>
      <c r="O7" s="275"/>
      <c r="P7" s="275"/>
      <c r="Q7" s="275"/>
      <c r="R7" s="275"/>
      <c r="T7" s="3"/>
      <c r="U7" s="277"/>
      <c r="V7" s="277"/>
      <c r="W7" s="277"/>
      <c r="X7" s="277"/>
      <c r="Y7" s="277"/>
      <c r="Z7" s="3"/>
      <c r="AB7" s="276"/>
      <c r="AC7" s="269"/>
      <c r="AD7" s="269"/>
      <c r="AE7" s="269"/>
      <c r="AF7" s="269"/>
      <c r="AG7" s="269"/>
    </row>
    <row r="8" spans="2:33" x14ac:dyDescent="0.3">
      <c r="B8" s="31" t="s">
        <v>129</v>
      </c>
      <c r="C8" s="336">
        <f t="shared" si="0"/>
        <v>0.17799999999999999</v>
      </c>
      <c r="I8" s="5">
        <v>1.7999999999999999E-2</v>
      </c>
      <c r="J8" s="5">
        <v>0.16</v>
      </c>
      <c r="K8" s="248"/>
      <c r="L8" s="232"/>
      <c r="M8" s="270"/>
      <c r="N8" s="275"/>
      <c r="O8" s="275"/>
      <c r="P8" s="275"/>
      <c r="Q8" s="275"/>
      <c r="R8" s="275"/>
      <c r="T8" s="3"/>
      <c r="U8" s="277"/>
      <c r="V8" s="277"/>
      <c r="W8" s="277"/>
      <c r="X8" s="277"/>
      <c r="Y8" s="277"/>
      <c r="Z8" s="3"/>
      <c r="AB8" s="276"/>
      <c r="AC8" s="269"/>
      <c r="AD8" s="269"/>
      <c r="AE8" s="269"/>
      <c r="AF8" s="269"/>
      <c r="AG8" s="269"/>
    </row>
    <row r="9" spans="2:33" x14ac:dyDescent="0.3">
      <c r="B9" s="31" t="s">
        <v>4</v>
      </c>
      <c r="C9" s="336">
        <f t="shared" si="0"/>
        <v>4.5999999999999999E-2</v>
      </c>
      <c r="I9" s="5">
        <v>3.0000000000000001E-3</v>
      </c>
      <c r="J9" s="5">
        <v>4.2999999999999997E-2</v>
      </c>
      <c r="L9" s="232"/>
      <c r="M9" s="270"/>
      <c r="N9" s="275"/>
      <c r="O9" s="275"/>
      <c r="P9" s="275"/>
      <c r="Q9" s="275"/>
      <c r="R9" s="275"/>
      <c r="T9" s="3"/>
      <c r="U9" s="277"/>
      <c r="V9" s="277"/>
      <c r="W9" s="277"/>
      <c r="X9" s="277"/>
      <c r="Y9" s="277"/>
      <c r="Z9" s="3"/>
      <c r="AB9" s="276"/>
      <c r="AC9" s="269"/>
      <c r="AD9" s="269"/>
      <c r="AE9" s="269"/>
      <c r="AF9" s="269"/>
      <c r="AG9" s="269"/>
    </row>
    <row r="10" spans="2:33" x14ac:dyDescent="0.3">
      <c r="B10" s="31" t="s">
        <v>5</v>
      </c>
      <c r="C10" s="336">
        <f t="shared" si="0"/>
        <v>1.1666666666666668E-3</v>
      </c>
      <c r="I10" s="5">
        <v>0</v>
      </c>
      <c r="J10" s="5">
        <v>1.1666666666666668E-3</v>
      </c>
      <c r="L10" s="232"/>
      <c r="M10" s="270"/>
      <c r="N10" s="275"/>
      <c r="O10" s="275"/>
      <c r="P10" s="275"/>
      <c r="Q10" s="275"/>
      <c r="R10" s="275"/>
      <c r="T10" s="3"/>
      <c r="U10" s="277"/>
      <c r="V10" s="277"/>
      <c r="W10" s="277"/>
      <c r="X10" s="277"/>
      <c r="Y10" s="277"/>
      <c r="Z10" s="3"/>
      <c r="AB10" s="276"/>
      <c r="AC10" s="269"/>
      <c r="AD10" s="269"/>
      <c r="AE10" s="269"/>
      <c r="AF10" s="269"/>
      <c r="AG10" s="269"/>
    </row>
    <row r="11" spans="2:33" x14ac:dyDescent="0.3">
      <c r="B11" s="31" t="s">
        <v>6</v>
      </c>
      <c r="C11" s="336">
        <f t="shared" si="0"/>
        <v>0.02</v>
      </c>
      <c r="I11" s="5">
        <v>0</v>
      </c>
      <c r="J11" s="5">
        <v>0.02</v>
      </c>
      <c r="L11" s="232"/>
      <c r="M11" s="270"/>
      <c r="N11" s="275"/>
      <c r="O11" s="275"/>
      <c r="P11" s="275"/>
      <c r="Q11" s="275"/>
      <c r="R11" s="275"/>
      <c r="T11" s="3"/>
      <c r="U11" s="277"/>
      <c r="V11" s="277"/>
      <c r="W11" s="277"/>
      <c r="X11" s="277"/>
      <c r="Y11" s="277"/>
      <c r="Z11" s="3"/>
      <c r="AB11" s="276"/>
      <c r="AC11" s="269"/>
      <c r="AD11" s="269"/>
      <c r="AE11" s="269"/>
      <c r="AF11" s="269"/>
      <c r="AG11" s="269"/>
    </row>
    <row r="12" spans="2:33" x14ac:dyDescent="0.3">
      <c r="B12" s="31" t="s">
        <v>7</v>
      </c>
      <c r="C12" s="336">
        <f t="shared" si="0"/>
        <v>8.0000000000000016E-2</v>
      </c>
      <c r="I12" s="5">
        <v>8.0000000000000002E-3</v>
      </c>
      <c r="J12" s="5">
        <v>7.2000000000000008E-2</v>
      </c>
      <c r="L12" s="232"/>
      <c r="M12" s="271"/>
      <c r="N12" s="275"/>
      <c r="O12" s="275"/>
      <c r="P12" s="275"/>
      <c r="Q12" s="275"/>
      <c r="R12" s="275"/>
      <c r="T12" s="3"/>
      <c r="U12" s="277"/>
      <c r="V12" s="277"/>
      <c r="W12" s="277"/>
      <c r="X12" s="277"/>
      <c r="Y12" s="277"/>
      <c r="Z12" s="3"/>
      <c r="AB12" s="276"/>
      <c r="AC12" s="269"/>
      <c r="AD12" s="269"/>
      <c r="AE12" s="269"/>
      <c r="AF12" s="269"/>
      <c r="AG12" s="269"/>
    </row>
    <row r="13" spans="2:33" x14ac:dyDescent="0.3">
      <c r="B13" s="31" t="s">
        <v>8</v>
      </c>
      <c r="C13" s="336">
        <f t="shared" si="0"/>
        <v>0.11235445544554455</v>
      </c>
      <c r="I13" s="5">
        <v>4.4999999999999998E-2</v>
      </c>
      <c r="J13" s="5">
        <v>6.7354455445544553E-2</v>
      </c>
      <c r="L13" s="232"/>
      <c r="M13" s="272"/>
      <c r="N13" s="275"/>
      <c r="O13" s="275"/>
      <c r="P13" s="275"/>
      <c r="Q13" s="275"/>
      <c r="R13" s="275"/>
      <c r="T13" s="3"/>
      <c r="U13" s="277"/>
      <c r="V13" s="277"/>
      <c r="W13" s="277"/>
      <c r="X13" s="277"/>
      <c r="Y13" s="277"/>
      <c r="Z13" s="3"/>
      <c r="AB13" s="276"/>
      <c r="AC13" s="269"/>
      <c r="AD13" s="269"/>
      <c r="AE13" s="269"/>
      <c r="AF13" s="269"/>
      <c r="AG13" s="269"/>
    </row>
    <row r="14" spans="2:33" x14ac:dyDescent="0.3">
      <c r="B14" s="31" t="s">
        <v>9</v>
      </c>
      <c r="C14" s="336">
        <f t="shared" si="0"/>
        <v>4.8000000000000001E-2</v>
      </c>
      <c r="I14" s="5">
        <v>4.0000000000000001E-3</v>
      </c>
      <c r="J14" s="5">
        <v>4.4000000000000004E-2</v>
      </c>
      <c r="L14" s="232"/>
      <c r="M14" s="272"/>
      <c r="N14" s="275"/>
      <c r="O14" s="275"/>
      <c r="P14" s="275"/>
      <c r="Q14" s="275"/>
      <c r="R14" s="275"/>
      <c r="U14" s="218"/>
      <c r="V14" s="218"/>
      <c r="W14" s="218"/>
      <c r="X14" s="218"/>
      <c r="Y14" s="218"/>
      <c r="AB14" s="276"/>
      <c r="AC14" s="269"/>
      <c r="AD14" s="269"/>
      <c r="AE14" s="269"/>
      <c r="AF14" s="269"/>
      <c r="AG14" s="269"/>
    </row>
    <row r="15" spans="2:33" x14ac:dyDescent="0.3">
      <c r="B15" s="31" t="s">
        <v>120</v>
      </c>
      <c r="C15" s="336">
        <f t="shared" si="0"/>
        <v>7.4999999999999997E-2</v>
      </c>
      <c r="I15" s="5">
        <v>2.8000000000000001E-2</v>
      </c>
      <c r="J15" s="5">
        <v>4.7E-2</v>
      </c>
      <c r="L15" s="232"/>
      <c r="M15" s="272"/>
      <c r="N15" s="275"/>
      <c r="O15" s="275"/>
      <c r="P15" s="275"/>
      <c r="Q15" s="275"/>
      <c r="R15" s="275"/>
      <c r="U15" s="218"/>
      <c r="V15" s="218"/>
      <c r="W15" s="218"/>
      <c r="X15" s="218"/>
      <c r="Y15" s="218"/>
      <c r="AB15" s="276"/>
      <c r="AC15" s="269"/>
      <c r="AD15" s="269"/>
      <c r="AE15" s="269"/>
      <c r="AF15" s="269"/>
      <c r="AG15" s="269"/>
    </row>
    <row r="16" spans="2:33" x14ac:dyDescent="0.3">
      <c r="B16" s="31" t="s">
        <v>11</v>
      </c>
      <c r="C16" s="336">
        <f t="shared" si="0"/>
        <v>2.3E-2</v>
      </c>
      <c r="I16" s="5">
        <v>8.0000000000000002E-3</v>
      </c>
      <c r="J16" s="5">
        <v>1.4999999999999999E-2</v>
      </c>
      <c r="L16" s="232"/>
      <c r="M16" s="272"/>
      <c r="N16" s="275"/>
      <c r="O16" s="275"/>
      <c r="P16" s="275"/>
      <c r="Q16" s="275"/>
      <c r="R16" s="275"/>
      <c r="U16" s="218"/>
      <c r="V16" s="218"/>
      <c r="W16" s="218"/>
      <c r="X16" s="218"/>
      <c r="Y16" s="218"/>
      <c r="AB16" s="276"/>
      <c r="AC16" s="269"/>
      <c r="AD16" s="269"/>
      <c r="AE16" s="269"/>
      <c r="AF16" s="269"/>
      <c r="AG16" s="269"/>
    </row>
    <row r="17" spans="2:33" x14ac:dyDescent="0.3">
      <c r="B17" s="31" t="s">
        <v>12</v>
      </c>
      <c r="C17" s="336">
        <f t="shared" si="0"/>
        <v>3.5000000000000003E-2</v>
      </c>
      <c r="I17" s="5">
        <v>1E-3</v>
      </c>
      <c r="J17" s="5">
        <v>3.4000000000000002E-2</v>
      </c>
      <c r="L17" s="232"/>
      <c r="M17" s="272"/>
      <c r="N17" s="275"/>
      <c r="O17" s="275"/>
      <c r="P17" s="275"/>
      <c r="Q17" s="275"/>
      <c r="R17" s="275"/>
      <c r="U17" s="218"/>
      <c r="V17" s="218"/>
      <c r="W17" s="218"/>
      <c r="X17" s="218"/>
      <c r="Y17" s="218"/>
      <c r="AB17" s="276"/>
      <c r="AC17" s="269"/>
      <c r="AD17" s="269"/>
      <c r="AE17" s="269"/>
      <c r="AF17" s="269"/>
      <c r="AG17" s="269"/>
    </row>
    <row r="18" spans="2:33" x14ac:dyDescent="0.3">
      <c r="C18" s="251">
        <f>SUM(C5:C7,C8,C9:C10,C11:C17)</f>
        <v>0.65652112211221125</v>
      </c>
      <c r="D18" s="156"/>
      <c r="J18" s="156">
        <f>SUM(J5:J17)</f>
        <v>0.53052112211221125</v>
      </c>
      <c r="M18" s="273"/>
      <c r="N18" s="275"/>
      <c r="O18" s="275"/>
      <c r="P18" s="275"/>
      <c r="Q18" s="275"/>
      <c r="R18" s="275"/>
      <c r="U18" s="218"/>
      <c r="V18" s="218"/>
      <c r="W18" s="218"/>
      <c r="X18" s="218"/>
      <c r="Y18" s="218"/>
      <c r="AB18" s="276"/>
      <c r="AC18" s="269"/>
      <c r="AD18" s="269"/>
      <c r="AE18" s="269"/>
      <c r="AF18" s="269"/>
      <c r="AG18" s="269"/>
    </row>
    <row r="19" spans="2:33" x14ac:dyDescent="0.3">
      <c r="M19" s="273"/>
      <c r="N19" s="275"/>
      <c r="O19" s="275"/>
      <c r="P19" s="275"/>
      <c r="Q19" s="275"/>
      <c r="R19" s="275"/>
      <c r="U19" s="218"/>
      <c r="V19" s="218"/>
      <c r="W19" s="218"/>
      <c r="X19" s="218"/>
      <c r="Y19" s="218"/>
      <c r="AB19" s="276"/>
      <c r="AC19" s="269"/>
      <c r="AD19" s="269"/>
      <c r="AE19" s="269"/>
      <c r="AF19" s="269"/>
      <c r="AG19" s="269"/>
    </row>
    <row r="20" spans="2:33" x14ac:dyDescent="0.3">
      <c r="M20" s="273"/>
      <c r="N20" s="275"/>
      <c r="O20" s="275"/>
      <c r="P20" s="275"/>
      <c r="Q20" s="275"/>
      <c r="R20" s="275"/>
      <c r="U20" s="218"/>
      <c r="V20" s="218"/>
      <c r="W20" s="218"/>
      <c r="X20" s="218"/>
      <c r="Y20" s="218"/>
      <c r="AB20" s="269"/>
      <c r="AC20" s="269"/>
      <c r="AD20" s="269"/>
      <c r="AE20" s="269"/>
      <c r="AF20" s="269"/>
      <c r="AG20" s="269"/>
    </row>
  </sheetData>
  <mergeCells count="1">
    <mergeCell ref="I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1"/>
  <sheetViews>
    <sheetView tabSelected="1" zoomScale="70" zoomScaleNormal="70" workbookViewId="0">
      <selection activeCell="K2" sqref="K2"/>
    </sheetView>
  </sheetViews>
  <sheetFormatPr defaultRowHeight="14.4" x14ac:dyDescent="0.3"/>
  <cols>
    <col min="1" max="1" width="23.6640625" customWidth="1"/>
    <col min="2" max="2" width="8.5546875" customWidth="1"/>
    <col min="3" max="3" width="11" customWidth="1"/>
    <col min="4" max="4" width="12.88671875" customWidth="1"/>
    <col min="5" max="5" width="15.5546875" customWidth="1"/>
    <col min="6" max="6" width="10.44140625" customWidth="1"/>
    <col min="7" max="7" width="10" customWidth="1"/>
    <col min="8" max="8" width="11.44140625" customWidth="1"/>
    <col min="9" max="9" width="9.21875" customWidth="1"/>
    <col min="10" max="10" width="11.109375" customWidth="1"/>
    <col min="11" max="11" width="11.5546875" customWidth="1"/>
    <col min="16" max="16" width="11.77734375" customWidth="1"/>
    <col min="20" max="20" width="10" customWidth="1"/>
    <col min="24" max="24" width="13" style="31" customWidth="1"/>
    <col min="25" max="25" width="12.88671875" style="31" customWidth="1"/>
    <col min="26" max="26" width="11.33203125" customWidth="1"/>
    <col min="27" max="27" width="10.33203125" bestFit="1" customWidth="1"/>
    <col min="28" max="28" width="13.44140625" customWidth="1"/>
    <col min="29" max="29" width="13.44140625" style="31" customWidth="1"/>
    <col min="30" max="30" width="4.21875" style="31" customWidth="1"/>
  </cols>
  <sheetData>
    <row r="1" spans="1:34" ht="15" thickBot="1" x14ac:dyDescent="0.35"/>
    <row r="2" spans="1:34" ht="15" thickBot="1" x14ac:dyDescent="0.35">
      <c r="A2" s="172">
        <v>2021</v>
      </c>
    </row>
    <row r="3" spans="1:34" x14ac:dyDescent="0.3">
      <c r="A3" s="3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31"/>
    </row>
    <row r="4" spans="1:34" x14ac:dyDescent="0.3">
      <c r="A4" s="31"/>
      <c r="B4" s="173"/>
      <c r="C4" s="174"/>
      <c r="D4" s="174"/>
      <c r="E4" s="175"/>
      <c r="F4" s="51"/>
      <c r="G4" s="377"/>
      <c r="H4" s="378" t="s">
        <v>74</v>
      </c>
      <c r="I4" s="379"/>
      <c r="J4" s="380"/>
      <c r="K4" s="381"/>
      <c r="L4" s="173"/>
      <c r="M4" s="176" t="s">
        <v>75</v>
      </c>
      <c r="N4" s="174"/>
      <c r="O4" s="175"/>
      <c r="P4" s="51"/>
      <c r="Q4" s="173"/>
      <c r="R4" s="176" t="s">
        <v>76</v>
      </c>
      <c r="S4" s="174"/>
      <c r="T4" s="175"/>
      <c r="U4" s="31"/>
    </row>
    <row r="5" spans="1:34" ht="15" thickBot="1" x14ac:dyDescent="0.35">
      <c r="A5" s="31"/>
      <c r="B5" s="177"/>
      <c r="C5" s="80" t="s">
        <v>77</v>
      </c>
      <c r="D5" s="80" t="s">
        <v>78</v>
      </c>
      <c r="E5" s="178"/>
      <c r="F5" s="51"/>
      <c r="G5" s="382"/>
      <c r="H5" s="383" t="s">
        <v>7</v>
      </c>
      <c r="I5" s="384" t="s">
        <v>79</v>
      </c>
      <c r="J5" s="385"/>
      <c r="K5" s="381"/>
      <c r="L5" s="177"/>
      <c r="M5" s="80" t="s">
        <v>80</v>
      </c>
      <c r="N5" s="179" t="s">
        <v>79</v>
      </c>
      <c r="O5" s="178"/>
      <c r="P5" s="51"/>
      <c r="Q5" s="177"/>
      <c r="R5" s="80" t="s">
        <v>81</v>
      </c>
      <c r="S5" s="179" t="s">
        <v>79</v>
      </c>
      <c r="T5" s="178"/>
      <c r="U5" s="31"/>
    </row>
    <row r="6" spans="1:34" ht="15" thickBot="1" x14ac:dyDescent="0.35">
      <c r="A6" s="31"/>
      <c r="B6" s="180" t="s">
        <v>82</v>
      </c>
      <c r="C6" s="181" t="s">
        <v>83</v>
      </c>
      <c r="D6" s="181" t="s">
        <v>84</v>
      </c>
      <c r="E6" s="182" t="s">
        <v>85</v>
      </c>
      <c r="F6" s="51"/>
      <c r="G6" s="386" t="s">
        <v>82</v>
      </c>
      <c r="H6" s="387" t="s">
        <v>83</v>
      </c>
      <c r="I6" s="387" t="s">
        <v>84</v>
      </c>
      <c r="J6" s="387" t="s">
        <v>85</v>
      </c>
      <c r="K6" s="388" t="s">
        <v>104</v>
      </c>
      <c r="L6" s="181" t="s">
        <v>82</v>
      </c>
      <c r="M6" s="181" t="s">
        <v>83</v>
      </c>
      <c r="N6" s="181" t="s">
        <v>84</v>
      </c>
      <c r="O6" s="181" t="s">
        <v>85</v>
      </c>
      <c r="P6" s="196" t="s">
        <v>105</v>
      </c>
      <c r="Q6" s="181" t="s">
        <v>82</v>
      </c>
      <c r="R6" s="181" t="s">
        <v>83</v>
      </c>
      <c r="S6" s="181" t="s">
        <v>84</v>
      </c>
      <c r="T6" s="182" t="s">
        <v>85</v>
      </c>
      <c r="U6" s="183" t="s">
        <v>86</v>
      </c>
      <c r="Z6" s="3"/>
      <c r="AA6" s="233"/>
      <c r="AB6" s="233"/>
      <c r="AC6" s="233"/>
      <c r="AD6" s="233"/>
      <c r="AE6" s="3"/>
      <c r="AF6" s="3"/>
      <c r="AG6" s="3"/>
      <c r="AH6" s="3"/>
    </row>
    <row r="7" spans="1:34" ht="15" thickBot="1" x14ac:dyDescent="0.35">
      <c r="A7" s="11" t="s">
        <v>25</v>
      </c>
      <c r="B7" s="173">
        <v>0</v>
      </c>
      <c r="C7" s="174">
        <v>405829.68322989502</v>
      </c>
      <c r="D7" s="174">
        <v>0</v>
      </c>
      <c r="E7" s="175">
        <v>0</v>
      </c>
      <c r="F7" s="51"/>
      <c r="G7" s="377">
        <v>0</v>
      </c>
      <c r="H7" s="379">
        <v>1980.9483085782481</v>
      </c>
      <c r="I7" s="379">
        <v>0</v>
      </c>
      <c r="J7" s="380">
        <v>0</v>
      </c>
      <c r="K7" s="381"/>
      <c r="L7" s="173">
        <v>0</v>
      </c>
      <c r="M7" s="174">
        <v>4634.7014598176193</v>
      </c>
      <c r="N7" s="174">
        <v>0</v>
      </c>
      <c r="O7" s="175">
        <v>0</v>
      </c>
      <c r="P7" s="51"/>
      <c r="Q7" s="173">
        <v>0</v>
      </c>
      <c r="R7" s="174">
        <v>0</v>
      </c>
      <c r="S7" s="174">
        <v>2528.6226302702303</v>
      </c>
      <c r="T7" s="175">
        <v>0</v>
      </c>
      <c r="U7" s="31">
        <f>SUM(Q7:T7)</f>
        <v>2528.6226302702303</v>
      </c>
      <c r="W7" s="239"/>
      <c r="X7" s="240" t="s">
        <v>125</v>
      </c>
      <c r="Y7" s="240" t="s">
        <v>126</v>
      </c>
      <c r="Z7" s="241" t="s">
        <v>112</v>
      </c>
      <c r="AA7" s="243" t="s">
        <v>113</v>
      </c>
      <c r="AB7" s="246" t="s">
        <v>114</v>
      </c>
      <c r="AC7" s="247" t="s">
        <v>115</v>
      </c>
      <c r="AD7" s="231"/>
      <c r="AE7" s="234"/>
      <c r="AF7" s="234"/>
      <c r="AG7" s="235"/>
      <c r="AH7" s="3"/>
    </row>
    <row r="8" spans="1:34" x14ac:dyDescent="0.3">
      <c r="A8" s="184" t="s">
        <v>26</v>
      </c>
      <c r="B8" s="185">
        <v>14425.681990290601</v>
      </c>
      <c r="C8" s="186">
        <v>1526161.77279626</v>
      </c>
      <c r="D8" s="186">
        <v>1966002.16628214</v>
      </c>
      <c r="E8" s="187">
        <v>0</v>
      </c>
      <c r="F8" s="188"/>
      <c r="G8" s="382">
        <v>21.276008074370427</v>
      </c>
      <c r="H8" s="383">
        <v>7449.5476978822117</v>
      </c>
      <c r="I8" s="383">
        <v>6891.3953677523632</v>
      </c>
      <c r="J8" s="385">
        <v>0</v>
      </c>
      <c r="K8" s="381">
        <f t="shared" ref="K8:K40" si="0">SUM(G8:J8)</f>
        <v>14362.219073708944</v>
      </c>
      <c r="L8" s="185">
        <v>47.939603949358869</v>
      </c>
      <c r="M8" s="186">
        <v>17429.2430755731</v>
      </c>
      <c r="N8" s="186">
        <v>13919.922945170521</v>
      </c>
      <c r="O8" s="187">
        <v>0</v>
      </c>
      <c r="P8" s="188">
        <f>SUM(L8:O8)</f>
        <v>31397.10562469298</v>
      </c>
      <c r="Q8" s="185">
        <v>29.913209547291036</v>
      </c>
      <c r="R8" s="186">
        <v>25223.399250527291</v>
      </c>
      <c r="S8" s="186">
        <v>9509.1299518370979</v>
      </c>
      <c r="T8" s="187">
        <v>0</v>
      </c>
      <c r="U8" s="189">
        <f t="shared" ref="U8:U40" si="1">SUM(Q8:T8)</f>
        <v>34762.442411911681</v>
      </c>
      <c r="W8" s="153" t="s">
        <v>1</v>
      </c>
      <c r="X8" s="231">
        <v>14362.219073708944</v>
      </c>
      <c r="Y8" s="231">
        <v>31397.10562469298</v>
      </c>
      <c r="Z8" s="237">
        <f>SUM(X8:Y8)</f>
        <v>45759.324698401921</v>
      </c>
      <c r="AA8" s="244">
        <f>X8/$X$21%</f>
        <v>22.674953444259295</v>
      </c>
      <c r="AB8" s="242">
        <f>Y8/$Y$21%</f>
        <v>22.585392096385775</v>
      </c>
      <c r="AC8" s="242">
        <f>Z8/$Z$21%</f>
        <v>22.613425931853371</v>
      </c>
      <c r="AD8" s="231"/>
      <c r="AE8" s="234"/>
      <c r="AF8" s="234"/>
      <c r="AG8" s="235"/>
      <c r="AH8" s="3"/>
    </row>
    <row r="9" spans="1:34" x14ac:dyDescent="0.3">
      <c r="A9" s="11" t="s">
        <v>87</v>
      </c>
      <c r="B9" s="177">
        <v>0</v>
      </c>
      <c r="C9" s="80">
        <v>0</v>
      </c>
      <c r="D9" s="80">
        <v>0</v>
      </c>
      <c r="E9" s="178">
        <v>1932576.5869986999</v>
      </c>
      <c r="F9" s="51"/>
      <c r="G9" s="382">
        <v>0</v>
      </c>
      <c r="H9" s="383">
        <v>0</v>
      </c>
      <c r="I9" s="383">
        <v>0</v>
      </c>
      <c r="J9" s="385">
        <v>5678.332560035723</v>
      </c>
      <c r="K9" s="381"/>
      <c r="L9" s="177">
        <v>0</v>
      </c>
      <c r="M9" s="80">
        <v>0</v>
      </c>
      <c r="N9" s="80">
        <v>0</v>
      </c>
      <c r="O9" s="178">
        <v>12137.160397371365</v>
      </c>
      <c r="P9" s="197"/>
      <c r="Q9" s="177">
        <v>0</v>
      </c>
      <c r="R9" s="80">
        <v>0</v>
      </c>
      <c r="S9" s="80">
        <v>0</v>
      </c>
      <c r="T9" s="178">
        <v>9046.0355947473417</v>
      </c>
      <c r="U9" s="31">
        <f t="shared" si="1"/>
        <v>9046.0355947473417</v>
      </c>
      <c r="W9" s="153" t="s">
        <v>2</v>
      </c>
      <c r="X9" s="231">
        <v>8070.9477889622094</v>
      </c>
      <c r="Y9" s="231">
        <v>18817.94439336377</v>
      </c>
      <c r="Z9" s="237">
        <f t="shared" ref="Z9:Z20" si="2">SUM(X9:Y9)</f>
        <v>26888.892182325981</v>
      </c>
      <c r="AA9" s="244">
        <f t="shared" ref="AA9:AA20" si="3">X9/$X$21%</f>
        <v>12.742346041829657</v>
      </c>
      <c r="AB9" s="242">
        <f t="shared" ref="AB9:AB20" si="4">Y9/$Y$21%</f>
        <v>13.536618873487676</v>
      </c>
      <c r="AC9" s="242">
        <f t="shared" ref="AC9:AC20" si="5">Z9/$Z$21%</f>
        <v>13.288001424021342</v>
      </c>
      <c r="AD9" s="231"/>
      <c r="AE9" s="234"/>
      <c r="AF9" s="234"/>
      <c r="AG9" s="235"/>
      <c r="AH9" s="3"/>
    </row>
    <row r="10" spans="1:34" x14ac:dyDescent="0.3">
      <c r="A10" s="184" t="s">
        <v>27</v>
      </c>
      <c r="B10" s="185">
        <v>450140.699779952</v>
      </c>
      <c r="C10" s="186">
        <v>1512470.5737077401</v>
      </c>
      <c r="D10" s="186">
        <v>6941.2073909351202</v>
      </c>
      <c r="E10" s="187">
        <v>0</v>
      </c>
      <c r="F10" s="188"/>
      <c r="G10" s="382">
        <v>663.89909118799892</v>
      </c>
      <c r="H10" s="383">
        <v>7382.7177965774135</v>
      </c>
      <c r="I10" s="383">
        <v>24.330901196796564</v>
      </c>
      <c r="J10" s="385">
        <v>0</v>
      </c>
      <c r="K10" s="381">
        <f t="shared" si="0"/>
        <v>8070.9477889622094</v>
      </c>
      <c r="L10" s="185">
        <v>1495.9131140879558</v>
      </c>
      <c r="M10" s="186">
        <v>17272.885315102754</v>
      </c>
      <c r="N10" s="186">
        <v>49.145964173062332</v>
      </c>
      <c r="O10" s="187">
        <v>0</v>
      </c>
      <c r="P10" s="188">
        <f t="shared" ref="P10:P40" si="6">SUM(L10:O10)</f>
        <v>18817.94439336377</v>
      </c>
      <c r="Q10" s="185">
        <v>933.41535515234784</v>
      </c>
      <c r="R10" s="186">
        <v>89.054248415889916</v>
      </c>
      <c r="S10" s="186">
        <v>9423.8235356695186</v>
      </c>
      <c r="T10" s="187">
        <v>0</v>
      </c>
      <c r="U10" s="189">
        <f t="shared" si="1"/>
        <v>10446.293139237756</v>
      </c>
      <c r="W10" s="153" t="s">
        <v>3</v>
      </c>
      <c r="X10" s="231">
        <v>6252.8125438928273</v>
      </c>
      <c r="Y10" s="231">
        <v>14627.689045379067</v>
      </c>
      <c r="Z10" s="237">
        <f t="shared" si="2"/>
        <v>20880.501589271895</v>
      </c>
      <c r="AA10" s="244">
        <f t="shared" si="3"/>
        <v>9.8718890584250154</v>
      </c>
      <c r="AB10" s="242">
        <f t="shared" si="4"/>
        <v>10.522374148210158</v>
      </c>
      <c r="AC10" s="242">
        <f t="shared" si="5"/>
        <v>10.318764081879836</v>
      </c>
      <c r="AD10" s="231"/>
      <c r="AE10" s="234"/>
      <c r="AF10" s="234"/>
      <c r="AG10" s="235"/>
      <c r="AH10" s="3"/>
    </row>
    <row r="11" spans="1:34" x14ac:dyDescent="0.3">
      <c r="A11" s="11" t="s">
        <v>88</v>
      </c>
      <c r="B11" s="177">
        <v>0</v>
      </c>
      <c r="C11" s="80">
        <v>0</v>
      </c>
      <c r="D11" s="80">
        <v>0</v>
      </c>
      <c r="E11" s="178">
        <v>729763.35120520496</v>
      </c>
      <c r="F11" s="51"/>
      <c r="G11" s="382">
        <v>0</v>
      </c>
      <c r="H11" s="383">
        <v>0</v>
      </c>
      <c r="I11" s="383">
        <v>0</v>
      </c>
      <c r="J11" s="385">
        <v>2144.2042846564236</v>
      </c>
      <c r="K11" s="381"/>
      <c r="L11" s="177">
        <v>0</v>
      </c>
      <c r="M11" s="80">
        <v>0</v>
      </c>
      <c r="N11" s="80">
        <v>0</v>
      </c>
      <c r="O11" s="178">
        <v>4583.1326454472783</v>
      </c>
      <c r="P11" s="197"/>
      <c r="Q11" s="177">
        <v>0</v>
      </c>
      <c r="R11" s="80">
        <v>0</v>
      </c>
      <c r="S11" s="80">
        <v>0</v>
      </c>
      <c r="T11" s="178">
        <v>3415.8880404302604</v>
      </c>
      <c r="U11" s="31">
        <f t="shared" si="1"/>
        <v>3415.8880404302604</v>
      </c>
      <c r="W11" s="153" t="s">
        <v>13</v>
      </c>
      <c r="X11" s="231">
        <f>SUM(K16,K30)</f>
        <v>1949.3133959176166</v>
      </c>
      <c r="Y11" s="231">
        <v>1973.7856282722332</v>
      </c>
      <c r="Z11" s="237">
        <f t="shared" si="2"/>
        <v>3923.0990241898498</v>
      </c>
      <c r="AA11" s="244">
        <f t="shared" si="3"/>
        <v>3.0775599699363481</v>
      </c>
      <c r="AB11" s="242">
        <f t="shared" si="4"/>
        <v>1.4198354097225943</v>
      </c>
      <c r="AC11" s="242">
        <f t="shared" si="5"/>
        <v>1.9387241789855705</v>
      </c>
      <c r="AD11" s="231"/>
      <c r="AE11" s="234"/>
      <c r="AF11" s="234"/>
      <c r="AG11" s="235"/>
      <c r="AH11" s="3"/>
    </row>
    <row r="12" spans="1:34" x14ac:dyDescent="0.3">
      <c r="A12" s="11" t="s">
        <v>89</v>
      </c>
      <c r="B12" s="177">
        <v>0</v>
      </c>
      <c r="C12" s="80">
        <v>0</v>
      </c>
      <c r="D12" s="80">
        <v>0</v>
      </c>
      <c r="E12" s="178">
        <v>162680.83660167901</v>
      </c>
      <c r="F12" s="51"/>
      <c r="G12" s="382">
        <v>0</v>
      </c>
      <c r="H12" s="383">
        <v>0</v>
      </c>
      <c r="I12" s="383">
        <v>0</v>
      </c>
      <c r="J12" s="385">
        <v>477.99186722207071</v>
      </c>
      <c r="K12" s="381"/>
      <c r="L12" s="177">
        <v>0</v>
      </c>
      <c r="M12" s="80">
        <v>0</v>
      </c>
      <c r="N12" s="80">
        <v>0</v>
      </c>
      <c r="O12" s="178">
        <v>1021.6844293242328</v>
      </c>
      <c r="P12" s="197"/>
      <c r="Q12" s="177">
        <v>0</v>
      </c>
      <c r="R12" s="80">
        <v>0</v>
      </c>
      <c r="S12" s="80">
        <v>0</v>
      </c>
      <c r="T12" s="178">
        <v>761.47907843977964</v>
      </c>
      <c r="U12" s="31">
        <f t="shared" si="1"/>
        <v>761.47907843977964</v>
      </c>
      <c r="W12" s="153" t="s">
        <v>4</v>
      </c>
      <c r="X12" s="231">
        <v>1552.9168402014129</v>
      </c>
      <c r="Y12" s="231">
        <v>3633.2628746998716</v>
      </c>
      <c r="Z12" s="237">
        <f t="shared" si="2"/>
        <v>5186.1797149012846</v>
      </c>
      <c r="AA12" s="244">
        <f t="shared" si="3"/>
        <v>2.4517323453749511</v>
      </c>
      <c r="AB12" s="242">
        <f t="shared" si="4"/>
        <v>2.6135742445571606</v>
      </c>
      <c r="AC12" s="242">
        <f t="shared" si="5"/>
        <v>2.5629156816708085</v>
      </c>
      <c r="AD12" s="231"/>
      <c r="AE12" s="234"/>
      <c r="AF12" s="234"/>
      <c r="AG12" s="235"/>
      <c r="AH12" s="3"/>
    </row>
    <row r="13" spans="1:34" x14ac:dyDescent="0.3">
      <c r="A13" s="184" t="s">
        <v>28</v>
      </c>
      <c r="B13" s="185">
        <v>3970.1033612064598</v>
      </c>
      <c r="C13" s="186">
        <v>1279072.9734259699</v>
      </c>
      <c r="D13" s="186">
        <v>1000.45881599277</v>
      </c>
      <c r="E13" s="187">
        <v>0</v>
      </c>
      <c r="F13" s="188"/>
      <c r="G13" s="382">
        <v>5.8553870261361709</v>
      </c>
      <c r="H13" s="383">
        <v>6243.4502648762327</v>
      </c>
      <c r="I13" s="383">
        <v>3.5068919904588522</v>
      </c>
      <c r="J13" s="385">
        <v>0</v>
      </c>
      <c r="K13" s="381">
        <f t="shared" si="0"/>
        <v>6252.8125438928273</v>
      </c>
      <c r="L13" s="185">
        <v>13.193496356176231</v>
      </c>
      <c r="M13" s="186">
        <v>14607.411981228675</v>
      </c>
      <c r="N13" s="186">
        <v>7.0835677942164255</v>
      </c>
      <c r="O13" s="187">
        <v>0</v>
      </c>
      <c r="P13" s="188">
        <f t="shared" si="6"/>
        <v>14627.689045379067</v>
      </c>
      <c r="Q13" s="185">
        <v>8.2324380814789428</v>
      </c>
      <c r="R13" s="186">
        <v>12.835678709966384</v>
      </c>
      <c r="S13" s="186">
        <v>7969.5818221846857</v>
      </c>
      <c r="T13" s="187">
        <v>0</v>
      </c>
      <c r="U13" s="189">
        <f t="shared" si="1"/>
        <v>7990.6499389761311</v>
      </c>
      <c r="W13" s="211" t="s">
        <v>111</v>
      </c>
      <c r="X13" s="231">
        <v>12101.005476003347</v>
      </c>
      <c r="Y13" s="231">
        <v>24442.80944513443</v>
      </c>
      <c r="Z13" s="237">
        <f t="shared" si="2"/>
        <v>36543.814921137775</v>
      </c>
      <c r="AA13" s="244">
        <f t="shared" si="3"/>
        <v>19.104967998948887</v>
      </c>
      <c r="AB13" s="242">
        <f t="shared" si="4"/>
        <v>17.582844796414285</v>
      </c>
      <c r="AC13" s="242">
        <f t="shared" si="5"/>
        <v>18.059288624409426</v>
      </c>
      <c r="AD13" s="231"/>
      <c r="AE13" s="234"/>
      <c r="AF13" s="234"/>
      <c r="AG13" s="235"/>
      <c r="AH13" s="3"/>
    </row>
    <row r="14" spans="1:34" x14ac:dyDescent="0.3">
      <c r="A14" s="11" t="s">
        <v>32</v>
      </c>
      <c r="B14" s="177">
        <v>437377.72565170802</v>
      </c>
      <c r="C14" s="80">
        <v>3637042.2987135998</v>
      </c>
      <c r="D14" s="80">
        <v>679399.97475978802</v>
      </c>
      <c r="E14" s="178">
        <v>12860.0521588756</v>
      </c>
      <c r="F14" s="51"/>
      <c r="G14" s="382">
        <v>645.07536134366524</v>
      </c>
      <c r="H14" s="383">
        <v>17753.24252411292</v>
      </c>
      <c r="I14" s="383">
        <v>2381.4896642584686</v>
      </c>
      <c r="J14" s="385">
        <v>37.785645023728179</v>
      </c>
      <c r="K14" s="381"/>
      <c r="L14" s="177">
        <v>1453.4990413712728</v>
      </c>
      <c r="M14" s="80">
        <v>41536.156540125223</v>
      </c>
      <c r="N14" s="80">
        <v>4810.3687065062213</v>
      </c>
      <c r="O14" s="178">
        <v>80.764983297885749</v>
      </c>
      <c r="P14" s="197"/>
      <c r="Q14" s="177">
        <v>906.94994992562931</v>
      </c>
      <c r="R14" s="80">
        <v>8716.5604942192149</v>
      </c>
      <c r="S14" s="80">
        <v>22661.495311488841</v>
      </c>
      <c r="T14" s="178">
        <v>60.1955391378103</v>
      </c>
      <c r="U14" s="31">
        <f t="shared" si="1"/>
        <v>32345.201294771494</v>
      </c>
      <c r="W14" s="153" t="s">
        <v>6</v>
      </c>
      <c r="X14" s="231">
        <v>4947.2551019375442</v>
      </c>
      <c r="Y14" s="231">
        <v>11371.859044559842</v>
      </c>
      <c r="Z14" s="237">
        <f t="shared" si="2"/>
        <v>16319.114146497386</v>
      </c>
      <c r="AA14" s="244">
        <f t="shared" si="3"/>
        <v>7.8106856981912536</v>
      </c>
      <c r="AB14" s="242">
        <f t="shared" si="4"/>
        <v>8.1803048489991639</v>
      </c>
      <c r="AC14" s="242">
        <f t="shared" si="5"/>
        <v>8.0646093765052225</v>
      </c>
      <c r="AD14" s="231"/>
      <c r="AE14" s="234"/>
      <c r="AF14" s="234"/>
      <c r="AG14" s="235"/>
      <c r="AH14" s="3"/>
    </row>
    <row r="15" spans="1:34" x14ac:dyDescent="0.3">
      <c r="A15" s="11" t="s">
        <v>90</v>
      </c>
      <c r="B15" s="177">
        <v>0</v>
      </c>
      <c r="C15" s="80">
        <v>0</v>
      </c>
      <c r="D15" s="80">
        <v>0</v>
      </c>
      <c r="E15" s="178">
        <v>426060.01974229998</v>
      </c>
      <c r="F15" s="51"/>
      <c r="G15" s="382">
        <v>0</v>
      </c>
      <c r="H15" s="383">
        <v>0</v>
      </c>
      <c r="I15" s="383">
        <v>0</v>
      </c>
      <c r="J15" s="385">
        <v>1251.8574937251853</v>
      </c>
      <c r="K15" s="381"/>
      <c r="L15" s="177">
        <v>0</v>
      </c>
      <c r="M15" s="80">
        <v>0</v>
      </c>
      <c r="N15" s="80">
        <v>0</v>
      </c>
      <c r="O15" s="178">
        <v>2675.7846665990805</v>
      </c>
      <c r="P15" s="197"/>
      <c r="Q15" s="177">
        <v>0</v>
      </c>
      <c r="R15" s="80">
        <v>0</v>
      </c>
      <c r="S15" s="80">
        <v>0</v>
      </c>
      <c r="T15" s="178">
        <v>1994.3085981772756</v>
      </c>
      <c r="U15" s="31">
        <f t="shared" si="1"/>
        <v>1994.3085981772756</v>
      </c>
      <c r="W15" s="153" t="s">
        <v>7</v>
      </c>
      <c r="X15" s="231">
        <v>5068.450419331054</v>
      </c>
      <c r="Y15" s="231">
        <v>11754.791339223602</v>
      </c>
      <c r="Z15" s="237">
        <f t="shared" si="2"/>
        <v>16823.241758554657</v>
      </c>
      <c r="AA15" s="244">
        <f t="shared" si="3"/>
        <v>8.0020278693039781</v>
      </c>
      <c r="AB15" s="242">
        <f t="shared" si="4"/>
        <v>8.4557657823964085</v>
      </c>
      <c r="AC15" s="242">
        <f t="shared" si="5"/>
        <v>8.3137400726113508</v>
      </c>
      <c r="AD15" s="231"/>
      <c r="AE15" s="234"/>
      <c r="AF15" s="234"/>
      <c r="AG15" s="235"/>
      <c r="AH15" s="3"/>
    </row>
    <row r="16" spans="1:34" x14ac:dyDescent="0.3">
      <c r="A16" s="184" t="s">
        <v>91</v>
      </c>
      <c r="B16" s="185">
        <v>593939.070096176</v>
      </c>
      <c r="C16" s="186">
        <v>0</v>
      </c>
      <c r="D16" s="186">
        <v>0</v>
      </c>
      <c r="E16" s="187">
        <v>0</v>
      </c>
      <c r="F16" s="188"/>
      <c r="G16" s="382">
        <v>875.98301831106301</v>
      </c>
      <c r="H16" s="383">
        <v>0</v>
      </c>
      <c r="I16" s="383">
        <v>0</v>
      </c>
      <c r="J16" s="385">
        <v>0</v>
      </c>
      <c r="K16" s="381">
        <f t="shared" si="0"/>
        <v>875.98301831106301</v>
      </c>
      <c r="L16" s="185">
        <v>1973.7856282722332</v>
      </c>
      <c r="M16" s="186">
        <v>0</v>
      </c>
      <c r="N16" s="186">
        <v>0</v>
      </c>
      <c r="O16" s="187">
        <v>0</v>
      </c>
      <c r="P16" s="188">
        <f t="shared" si="6"/>
        <v>1973.7856282722332</v>
      </c>
      <c r="Q16" s="185">
        <v>1231.5968058957737</v>
      </c>
      <c r="R16" s="186">
        <v>0</v>
      </c>
      <c r="S16" s="186">
        <v>0</v>
      </c>
      <c r="T16" s="187">
        <v>0</v>
      </c>
      <c r="U16" s="189">
        <f t="shared" si="1"/>
        <v>1231.5968058957737</v>
      </c>
      <c r="W16" s="153" t="s">
        <v>8</v>
      </c>
      <c r="X16" s="231">
        <v>589.58132194883137</v>
      </c>
      <c r="Y16" s="231">
        <v>1342.9239076601109</v>
      </c>
      <c r="Z16" s="237">
        <f t="shared" si="2"/>
        <v>1932.5052296089423</v>
      </c>
      <c r="AA16" s="244">
        <f t="shared" si="3"/>
        <v>0.93082614588904322</v>
      </c>
      <c r="AB16" s="242">
        <f t="shared" si="4"/>
        <v>0.96602735846644638</v>
      </c>
      <c r="AC16" s="242">
        <f t="shared" si="5"/>
        <v>0.95500893338592663</v>
      </c>
      <c r="AD16" s="231"/>
      <c r="AE16" s="234"/>
      <c r="AF16" s="234"/>
      <c r="AG16" s="235"/>
      <c r="AH16" s="3"/>
    </row>
    <row r="17" spans="1:34" x14ac:dyDescent="0.3">
      <c r="A17" s="11" t="s">
        <v>92</v>
      </c>
      <c r="B17" s="177">
        <v>151014.53675524899</v>
      </c>
      <c r="C17" s="80">
        <v>0</v>
      </c>
      <c r="D17" s="80">
        <v>0</v>
      </c>
      <c r="E17" s="178">
        <v>0</v>
      </c>
      <c r="F17" s="51"/>
      <c r="G17" s="382">
        <v>222.72683575823527</v>
      </c>
      <c r="H17" s="383">
        <v>0</v>
      </c>
      <c r="I17" s="383">
        <v>0</v>
      </c>
      <c r="J17" s="385">
        <v>0</v>
      </c>
      <c r="K17" s="381"/>
      <c r="L17" s="177">
        <v>501.85336731498933</v>
      </c>
      <c r="M17" s="80">
        <v>0</v>
      </c>
      <c r="N17" s="80">
        <v>0</v>
      </c>
      <c r="O17" s="178">
        <v>0</v>
      </c>
      <c r="P17" s="197"/>
      <c r="Q17" s="177">
        <v>313.14495118409633</v>
      </c>
      <c r="R17" s="80">
        <v>0</v>
      </c>
      <c r="S17" s="80">
        <v>0</v>
      </c>
      <c r="T17" s="178">
        <v>0</v>
      </c>
      <c r="U17" s="31">
        <f t="shared" si="1"/>
        <v>313.14495118409633</v>
      </c>
      <c r="W17" s="153" t="s">
        <v>9</v>
      </c>
      <c r="X17" s="231">
        <v>3219.5255257258273</v>
      </c>
      <c r="Y17" s="231">
        <v>7506.7608383801507</v>
      </c>
      <c r="Z17" s="237">
        <f t="shared" si="2"/>
        <v>10726.286364105978</v>
      </c>
      <c r="AA17" s="244">
        <f t="shared" si="3"/>
        <v>5.0829604418215535</v>
      </c>
      <c r="AB17" s="242">
        <f t="shared" si="4"/>
        <v>5.3999607140623871</v>
      </c>
      <c r="AC17" s="242">
        <f t="shared" si="5"/>
        <v>5.3007356165601438</v>
      </c>
      <c r="AD17" s="231"/>
      <c r="AE17" s="234"/>
      <c r="AF17" s="234"/>
      <c r="AG17" s="235"/>
      <c r="AH17" s="3"/>
    </row>
    <row r="18" spans="1:34" x14ac:dyDescent="0.3">
      <c r="A18" s="11" t="s">
        <v>93</v>
      </c>
      <c r="B18" s="177">
        <v>49430.746561090396</v>
      </c>
      <c r="C18" s="80">
        <v>417.47584413028699</v>
      </c>
      <c r="D18" s="80">
        <v>0</v>
      </c>
      <c r="E18" s="178">
        <v>0</v>
      </c>
      <c r="F18" s="51"/>
      <c r="G18" s="382">
        <v>72.903933669393993</v>
      </c>
      <c r="H18" s="383">
        <v>2.0377959066973648</v>
      </c>
      <c r="I18" s="383">
        <v>0</v>
      </c>
      <c r="J18" s="385">
        <v>0</v>
      </c>
      <c r="K18" s="381"/>
      <c r="L18" s="177">
        <v>164.26886539262119</v>
      </c>
      <c r="M18" s="80">
        <v>4.7677042468408173</v>
      </c>
      <c r="N18" s="80">
        <v>0</v>
      </c>
      <c r="O18" s="178">
        <v>0</v>
      </c>
      <c r="P18" s="197"/>
      <c r="Q18" s="177">
        <v>102.49999140117924</v>
      </c>
      <c r="R18" s="80">
        <v>0</v>
      </c>
      <c r="S18" s="80">
        <v>2.601186928115879</v>
      </c>
      <c r="T18" s="178">
        <v>0</v>
      </c>
      <c r="U18" s="31">
        <f t="shared" si="1"/>
        <v>105.10117832929512</v>
      </c>
      <c r="W18" s="153" t="s">
        <v>10</v>
      </c>
      <c r="X18" s="231">
        <v>1545.5645318252782</v>
      </c>
      <c r="Y18" s="231">
        <v>3536.3424017855377</v>
      </c>
      <c r="Z18" s="237">
        <f t="shared" si="2"/>
        <v>5081.9069336108159</v>
      </c>
      <c r="AA18" s="244">
        <f t="shared" si="3"/>
        <v>2.4401245813322849</v>
      </c>
      <c r="AB18" s="242">
        <f t="shared" si="4"/>
        <v>2.5438548599392425</v>
      </c>
      <c r="AC18" s="242">
        <f t="shared" si="5"/>
        <v>2.5113859698151022</v>
      </c>
      <c r="AD18" s="231"/>
      <c r="AE18" s="234"/>
      <c r="AF18" s="234"/>
      <c r="AG18" s="235"/>
      <c r="AH18" s="3"/>
    </row>
    <row r="19" spans="1:34" x14ac:dyDescent="0.3">
      <c r="A19" s="11" t="s">
        <v>94</v>
      </c>
      <c r="B19" s="177">
        <v>0</v>
      </c>
      <c r="C19" s="80">
        <v>0</v>
      </c>
      <c r="D19" s="80">
        <v>0</v>
      </c>
      <c r="E19" s="178">
        <v>450960.41783254</v>
      </c>
      <c r="F19" s="51"/>
      <c r="G19" s="382">
        <v>0</v>
      </c>
      <c r="H19" s="383">
        <v>0</v>
      </c>
      <c r="I19" s="383">
        <v>0</v>
      </c>
      <c r="J19" s="385">
        <v>1325.0203076518742</v>
      </c>
      <c r="K19" s="381"/>
      <c r="L19" s="177">
        <v>0</v>
      </c>
      <c r="M19" s="80">
        <v>0</v>
      </c>
      <c r="N19" s="80">
        <v>0</v>
      </c>
      <c r="O19" s="178">
        <v>2832.1666323192549</v>
      </c>
      <c r="P19" s="197"/>
      <c r="Q19" s="177">
        <v>0</v>
      </c>
      <c r="R19" s="80">
        <v>0</v>
      </c>
      <c r="S19" s="80">
        <v>0</v>
      </c>
      <c r="T19" s="178">
        <v>2110.8627823493525</v>
      </c>
      <c r="U19" s="31">
        <f t="shared" si="1"/>
        <v>2110.8627823493525</v>
      </c>
      <c r="W19" s="153" t="s">
        <v>11</v>
      </c>
      <c r="X19" s="231">
        <v>3043.0785532184341</v>
      </c>
      <c r="Y19" s="231">
        <v>7119.7014843176885</v>
      </c>
      <c r="Z19" s="237">
        <f t="shared" si="2"/>
        <v>10162.780037536122</v>
      </c>
      <c r="AA19" s="244">
        <f t="shared" si="3"/>
        <v>4.8043874116754237</v>
      </c>
      <c r="AB19" s="242">
        <f t="shared" si="4"/>
        <v>5.1215309957128312</v>
      </c>
      <c r="AC19" s="242">
        <f t="shared" si="5"/>
        <v>5.0222610398043548</v>
      </c>
      <c r="AD19" s="231"/>
      <c r="AE19" s="234"/>
      <c r="AF19" s="234"/>
      <c r="AG19" s="235"/>
      <c r="AH19" s="3"/>
    </row>
    <row r="20" spans="1:34" x14ac:dyDescent="0.3">
      <c r="A20" s="11" t="s">
        <v>95</v>
      </c>
      <c r="B20" s="177">
        <v>227568.156464428</v>
      </c>
      <c r="C20" s="80">
        <v>0</v>
      </c>
      <c r="D20" s="80">
        <v>0</v>
      </c>
      <c r="E20" s="178">
        <v>0</v>
      </c>
      <c r="F20" s="51"/>
      <c r="G20" s="382">
        <v>335.63348600541468</v>
      </c>
      <c r="H20" s="383">
        <v>0</v>
      </c>
      <c r="I20" s="383">
        <v>0</v>
      </c>
      <c r="J20" s="385">
        <v>0</v>
      </c>
      <c r="K20" s="381"/>
      <c r="L20" s="177">
        <v>756.25729859657349</v>
      </c>
      <c r="M20" s="80">
        <v>0</v>
      </c>
      <c r="N20" s="80">
        <v>0</v>
      </c>
      <c r="O20" s="178">
        <v>0</v>
      </c>
      <c r="P20" s="197"/>
      <c r="Q20" s="177">
        <v>471.88714926565615</v>
      </c>
      <c r="R20" s="80">
        <v>0</v>
      </c>
      <c r="S20" s="80">
        <v>0</v>
      </c>
      <c r="T20" s="178">
        <v>0</v>
      </c>
      <c r="U20" s="31">
        <f t="shared" si="1"/>
        <v>471.88714926565615</v>
      </c>
      <c r="W20" s="154" t="s">
        <v>12</v>
      </c>
      <c r="X20" s="231">
        <v>636.90412155866284</v>
      </c>
      <c r="Y20" s="231">
        <v>1490.124931160057</v>
      </c>
      <c r="Z20" s="237">
        <f t="shared" si="2"/>
        <v>2127.0290527187199</v>
      </c>
      <c r="AA20" s="244">
        <f t="shared" si="3"/>
        <v>1.005538993012314</v>
      </c>
      <c r="AB20" s="242">
        <f t="shared" si="4"/>
        <v>1.0719158716458548</v>
      </c>
      <c r="AC20" s="242">
        <f t="shared" si="5"/>
        <v>1.0511390684975475</v>
      </c>
      <c r="AD20" s="231"/>
      <c r="AE20" s="234"/>
      <c r="AF20" s="234"/>
      <c r="AG20" s="234"/>
      <c r="AH20" s="3"/>
    </row>
    <row r="21" spans="1:34" ht="15" thickBot="1" x14ac:dyDescent="0.35">
      <c r="A21" s="11" t="s">
        <v>96</v>
      </c>
      <c r="B21" s="177">
        <v>823361.89440091897</v>
      </c>
      <c r="C21" s="80">
        <v>292451.83921025402</v>
      </c>
      <c r="D21" s="80">
        <v>0</v>
      </c>
      <c r="E21" s="178">
        <v>0</v>
      </c>
      <c r="F21" s="51"/>
      <c r="G21" s="382">
        <v>1214.3518985926287</v>
      </c>
      <c r="H21" s="383">
        <v>1427.5248956985968</v>
      </c>
      <c r="I21" s="383">
        <v>0</v>
      </c>
      <c r="J21" s="385">
        <v>0</v>
      </c>
      <c r="K21" s="381"/>
      <c r="L21" s="177">
        <v>2736.2063818640127</v>
      </c>
      <c r="M21" s="80">
        <v>3339.8911467653484</v>
      </c>
      <c r="N21" s="80">
        <v>0</v>
      </c>
      <c r="O21" s="178">
        <v>0</v>
      </c>
      <c r="P21" s="197"/>
      <c r="Q21" s="177">
        <v>1707.3298092281771</v>
      </c>
      <c r="R21" s="80">
        <v>0</v>
      </c>
      <c r="S21" s="80">
        <v>1822.1938154097163</v>
      </c>
      <c r="T21" s="178">
        <v>0</v>
      </c>
      <c r="U21" s="31">
        <f t="shared" si="1"/>
        <v>3529.5236246378936</v>
      </c>
      <c r="W21" s="155" t="s">
        <v>45</v>
      </c>
      <c r="X21" s="238">
        <f t="shared" ref="X21:AC21" si="7">SUM(X8:X20)</f>
        <v>63339.574694231989</v>
      </c>
      <c r="Y21" s="238">
        <f t="shared" si="7"/>
        <v>139015.10095862937</v>
      </c>
      <c r="Z21" s="238">
        <f t="shared" si="7"/>
        <v>202354.67565286133</v>
      </c>
      <c r="AA21" s="245">
        <f t="shared" si="7"/>
        <v>99.999999999999986</v>
      </c>
      <c r="AB21" s="242">
        <f t="shared" si="7"/>
        <v>100</v>
      </c>
      <c r="AC21" s="242">
        <f t="shared" si="7"/>
        <v>100</v>
      </c>
      <c r="AD21" s="236"/>
      <c r="AE21" s="3"/>
      <c r="AF21" s="3"/>
      <c r="AG21" s="3"/>
      <c r="AH21" s="3"/>
    </row>
    <row r="22" spans="1:34" ht="15" thickTop="1" x14ac:dyDescent="0.3">
      <c r="A22" s="184" t="s">
        <v>97</v>
      </c>
      <c r="B22" s="185">
        <v>61302.765678105898</v>
      </c>
      <c r="C22" s="186">
        <v>0</v>
      </c>
      <c r="D22" s="186">
        <v>0</v>
      </c>
      <c r="E22" s="187">
        <v>0</v>
      </c>
      <c r="F22" s="188"/>
      <c r="G22" s="382">
        <v>90.413620543311666</v>
      </c>
      <c r="H22" s="383">
        <v>0</v>
      </c>
      <c r="I22" s="383">
        <v>0</v>
      </c>
      <c r="J22" s="385">
        <v>0</v>
      </c>
      <c r="K22" s="381">
        <f t="shared" si="0"/>
        <v>90.413620543311666</v>
      </c>
      <c r="L22" s="185">
        <v>203.72210544962562</v>
      </c>
      <c r="M22" s="186">
        <v>0</v>
      </c>
      <c r="N22" s="186">
        <v>0</v>
      </c>
      <c r="O22" s="187">
        <v>0</v>
      </c>
      <c r="P22" s="188">
        <f t="shared" si="6"/>
        <v>203.72210544962562</v>
      </c>
      <c r="Q22" s="185">
        <v>127.11790519102675</v>
      </c>
      <c r="R22" s="186">
        <v>0</v>
      </c>
      <c r="S22" s="186">
        <v>0</v>
      </c>
      <c r="T22" s="187">
        <v>0</v>
      </c>
      <c r="U22" s="189">
        <f t="shared" si="1"/>
        <v>127.11790519102675</v>
      </c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 s="184" t="s">
        <v>98</v>
      </c>
      <c r="B23" s="185">
        <v>186221.63393676301</v>
      </c>
      <c r="C23" s="186">
        <v>0</v>
      </c>
      <c r="D23" s="186">
        <v>0</v>
      </c>
      <c r="E23" s="187">
        <v>0</v>
      </c>
      <c r="F23" s="188"/>
      <c r="G23" s="382">
        <v>274.65273322451839</v>
      </c>
      <c r="H23" s="383">
        <v>0</v>
      </c>
      <c r="I23" s="383">
        <v>0</v>
      </c>
      <c r="J23" s="385">
        <v>0</v>
      </c>
      <c r="K23" s="381">
        <f t="shared" si="0"/>
        <v>274.65273322451839</v>
      </c>
      <c r="L23" s="185">
        <v>618.85402601690566</v>
      </c>
      <c r="M23" s="186">
        <v>0</v>
      </c>
      <c r="N23" s="186">
        <v>0</v>
      </c>
      <c r="O23" s="187">
        <v>0</v>
      </c>
      <c r="P23" s="188">
        <f t="shared" si="6"/>
        <v>618.85402601690566</v>
      </c>
      <c r="Q23" s="185">
        <v>386.15066947535701</v>
      </c>
      <c r="R23" s="186">
        <v>0</v>
      </c>
      <c r="S23" s="186">
        <v>0</v>
      </c>
      <c r="T23" s="187">
        <v>0</v>
      </c>
      <c r="U23" s="189">
        <f t="shared" si="1"/>
        <v>386.15066947535701</v>
      </c>
    </row>
    <row r="24" spans="1:34" x14ac:dyDescent="0.3">
      <c r="A24" s="184" t="s">
        <v>29</v>
      </c>
      <c r="B24" s="185">
        <v>0</v>
      </c>
      <c r="C24" s="186">
        <v>1270760.599217023</v>
      </c>
      <c r="D24" s="186">
        <v>92418.827281224512</v>
      </c>
      <c r="E24" s="187">
        <v>0</v>
      </c>
      <c r="F24" s="188"/>
      <c r="G24" s="382">
        <v>0</v>
      </c>
      <c r="H24" s="383">
        <v>6202.8756487012124</v>
      </c>
      <c r="I24" s="383">
        <v>323.95420978775047</v>
      </c>
      <c r="J24" s="385">
        <v>0</v>
      </c>
      <c r="K24" s="381">
        <f t="shared" si="0"/>
        <v>6526.8298584889626</v>
      </c>
      <c r="L24" s="185">
        <v>0</v>
      </c>
      <c r="M24" s="186">
        <v>14512.482077200602</v>
      </c>
      <c r="N24" s="186">
        <v>654.35480006131831</v>
      </c>
      <c r="O24" s="187">
        <v>0</v>
      </c>
      <c r="P24" s="188">
        <f t="shared" si="6"/>
        <v>15166.836877261921</v>
      </c>
      <c r="Q24" s="185">
        <v>0</v>
      </c>
      <c r="R24" s="186">
        <v>1185.7143490274832</v>
      </c>
      <c r="S24" s="186">
        <v>7917.7895102750826</v>
      </c>
      <c r="T24" s="187">
        <v>0</v>
      </c>
      <c r="U24" s="189">
        <f t="shared" si="1"/>
        <v>9103.5038593025656</v>
      </c>
    </row>
    <row r="25" spans="1:34" x14ac:dyDescent="0.3">
      <c r="A25" s="184" t="s">
        <v>31</v>
      </c>
      <c r="B25" s="185">
        <v>0</v>
      </c>
      <c r="C25" s="186">
        <v>0</v>
      </c>
      <c r="D25" s="186">
        <v>3452218.5581370802</v>
      </c>
      <c r="E25" s="187">
        <v>0</v>
      </c>
      <c r="F25" s="188"/>
      <c r="G25" s="382">
        <v>0</v>
      </c>
      <c r="H25" s="383">
        <v>0</v>
      </c>
      <c r="I25" s="383">
        <v>12101.005476003347</v>
      </c>
      <c r="J25" s="385">
        <v>0</v>
      </c>
      <c r="K25" s="381">
        <f t="shared" si="0"/>
        <v>12101.005476003347</v>
      </c>
      <c r="L25" s="185">
        <v>0</v>
      </c>
      <c r="M25" s="186">
        <v>0</v>
      </c>
      <c r="N25" s="186">
        <v>24442.80944513443</v>
      </c>
      <c r="O25" s="187">
        <v>0</v>
      </c>
      <c r="P25" s="188">
        <f t="shared" si="6"/>
        <v>24442.80944513443</v>
      </c>
      <c r="Q25" s="185">
        <v>0</v>
      </c>
      <c r="R25" s="186">
        <v>44291.246716497721</v>
      </c>
      <c r="S25" s="186">
        <v>0</v>
      </c>
      <c r="T25" s="187">
        <v>0</v>
      </c>
      <c r="U25" s="189">
        <f t="shared" si="1"/>
        <v>44291.246716497721</v>
      </c>
    </row>
    <row r="26" spans="1:34" x14ac:dyDescent="0.3">
      <c r="A26" s="184" t="s">
        <v>30</v>
      </c>
      <c r="B26" s="185">
        <v>0</v>
      </c>
      <c r="C26" s="186">
        <v>318140.43133393303</v>
      </c>
      <c r="D26" s="186">
        <v>0</v>
      </c>
      <c r="E26" s="187">
        <v>0</v>
      </c>
      <c r="F26" s="188"/>
      <c r="G26" s="382">
        <v>0</v>
      </c>
      <c r="H26" s="383">
        <v>1552.9168402014129</v>
      </c>
      <c r="I26" s="383">
        <v>0</v>
      </c>
      <c r="J26" s="385">
        <v>0</v>
      </c>
      <c r="K26" s="381">
        <f t="shared" si="0"/>
        <v>1552.9168402014129</v>
      </c>
      <c r="L26" s="185">
        <v>0</v>
      </c>
      <c r="M26" s="186">
        <v>3633.2628746998716</v>
      </c>
      <c r="N26" s="186">
        <v>0</v>
      </c>
      <c r="O26" s="187">
        <v>0</v>
      </c>
      <c r="P26" s="188">
        <f t="shared" si="6"/>
        <v>3633.2628746998716</v>
      </c>
      <c r="Q26" s="185">
        <v>0</v>
      </c>
      <c r="R26" s="186">
        <v>0</v>
      </c>
      <c r="S26" s="186">
        <v>1982.2529684680685</v>
      </c>
      <c r="T26" s="187">
        <v>0</v>
      </c>
      <c r="U26" s="189">
        <f t="shared" si="1"/>
        <v>1982.2529684680685</v>
      </c>
    </row>
    <row r="27" spans="1:34" x14ac:dyDescent="0.3">
      <c r="A27" s="11" t="s">
        <v>99</v>
      </c>
      <c r="B27" s="177">
        <v>0</v>
      </c>
      <c r="C27" s="80">
        <v>0</v>
      </c>
      <c r="D27" s="80">
        <v>430600.05861422198</v>
      </c>
      <c r="E27" s="178">
        <v>0</v>
      </c>
      <c r="F27" s="51"/>
      <c r="G27" s="382">
        <v>0</v>
      </c>
      <c r="H27" s="383">
        <v>0</v>
      </c>
      <c r="I27" s="383">
        <v>1509.3753710859801</v>
      </c>
      <c r="J27" s="385">
        <v>0</v>
      </c>
      <c r="K27" s="381"/>
      <c r="L27" s="177">
        <v>0</v>
      </c>
      <c r="M27" s="80">
        <v>0</v>
      </c>
      <c r="N27" s="80">
        <v>3048.7858756691198</v>
      </c>
      <c r="O27" s="178">
        <v>0</v>
      </c>
      <c r="P27" s="197"/>
      <c r="Q27" s="177">
        <v>0</v>
      </c>
      <c r="R27" s="80">
        <v>5524.5092716588033</v>
      </c>
      <c r="S27" s="80">
        <v>0</v>
      </c>
      <c r="T27" s="178">
        <v>0</v>
      </c>
      <c r="U27" s="31">
        <f t="shared" si="1"/>
        <v>5524.5092716588033</v>
      </c>
    </row>
    <row r="28" spans="1:34" x14ac:dyDescent="0.3">
      <c r="A28" s="184" t="s">
        <v>43</v>
      </c>
      <c r="B28" s="185">
        <v>1592203.8028628901</v>
      </c>
      <c r="C28" s="186">
        <v>532439.74024956604</v>
      </c>
      <c r="D28" s="186">
        <v>0</v>
      </c>
      <c r="E28" s="187">
        <v>0</v>
      </c>
      <c r="F28" s="188"/>
      <c r="G28" s="382">
        <v>2348.2938961606578</v>
      </c>
      <c r="H28" s="383">
        <v>2598.9612057768859</v>
      </c>
      <c r="I28" s="383">
        <v>0</v>
      </c>
      <c r="J28" s="385">
        <v>0</v>
      </c>
      <c r="K28" s="381">
        <f t="shared" si="0"/>
        <v>4947.2551019375442</v>
      </c>
      <c r="L28" s="185">
        <v>5291.2312753937522</v>
      </c>
      <c r="M28" s="186">
        <v>6080.6277691660907</v>
      </c>
      <c r="N28" s="186">
        <v>0</v>
      </c>
      <c r="O28" s="187">
        <v>0</v>
      </c>
      <c r="P28" s="188">
        <f t="shared" si="6"/>
        <v>11371.859044559842</v>
      </c>
      <c r="Q28" s="185">
        <v>3301.6065395790583</v>
      </c>
      <c r="R28" s="186">
        <v>0</v>
      </c>
      <c r="S28" s="186">
        <v>3317.498034483544</v>
      </c>
      <c r="T28" s="187">
        <v>0</v>
      </c>
      <c r="U28" s="189">
        <f t="shared" si="1"/>
        <v>6619.1045740626023</v>
      </c>
    </row>
    <row r="29" spans="1:34" x14ac:dyDescent="0.3">
      <c r="A29" s="11" t="s">
        <v>100</v>
      </c>
      <c r="B29" s="177">
        <v>0</v>
      </c>
      <c r="C29" s="80">
        <v>0</v>
      </c>
      <c r="D29" s="80">
        <v>0</v>
      </c>
      <c r="E29" s="178">
        <v>870795.22255231685</v>
      </c>
      <c r="F29" s="51"/>
      <c r="G29" s="382">
        <v>0</v>
      </c>
      <c r="H29" s="383">
        <v>0</v>
      </c>
      <c r="I29" s="383">
        <v>0</v>
      </c>
      <c r="J29" s="385">
        <v>2558.5867585312421</v>
      </c>
      <c r="K29" s="381"/>
      <c r="L29" s="177">
        <v>0</v>
      </c>
      <c r="M29" s="80">
        <v>0</v>
      </c>
      <c r="N29" s="80">
        <v>0</v>
      </c>
      <c r="O29" s="178">
        <v>5468.8550821138933</v>
      </c>
      <c r="P29" s="197"/>
      <c r="Q29" s="177">
        <v>0</v>
      </c>
      <c r="R29" s="80">
        <v>0</v>
      </c>
      <c r="S29" s="80">
        <v>0</v>
      </c>
      <c r="T29" s="178">
        <v>4076.0322938495224</v>
      </c>
      <c r="U29" s="31">
        <f t="shared" si="1"/>
        <v>4076.0322938495224</v>
      </c>
    </row>
    <row r="30" spans="1:34" x14ac:dyDescent="0.3">
      <c r="A30" s="184" t="s">
        <v>101</v>
      </c>
      <c r="B30" s="185">
        <v>727745.66750247101</v>
      </c>
      <c r="C30" s="186">
        <v>0</v>
      </c>
      <c r="D30" s="186">
        <v>0</v>
      </c>
      <c r="E30" s="187">
        <v>0</v>
      </c>
      <c r="F30" s="188"/>
      <c r="G30" s="382">
        <v>1073.3303776065536</v>
      </c>
      <c r="H30" s="383">
        <v>0</v>
      </c>
      <c r="I30" s="383">
        <v>0</v>
      </c>
      <c r="J30" s="385">
        <v>0</v>
      </c>
      <c r="K30" s="381">
        <f t="shared" si="0"/>
        <v>1073.3303776065536</v>
      </c>
      <c r="L30" s="185">
        <v>2418.4533597380005</v>
      </c>
      <c r="M30" s="186">
        <v>0</v>
      </c>
      <c r="N30" s="186">
        <v>0</v>
      </c>
      <c r="O30" s="187">
        <v>0</v>
      </c>
      <c r="P30" s="188">
        <f t="shared" si="6"/>
        <v>2418.4533597380005</v>
      </c>
      <c r="Q30" s="185">
        <v>1509.0592364220051</v>
      </c>
      <c r="R30" s="186">
        <v>0</v>
      </c>
      <c r="S30" s="186">
        <v>0</v>
      </c>
      <c r="T30" s="187">
        <v>0</v>
      </c>
      <c r="U30" s="189">
        <f t="shared" si="1"/>
        <v>1509.0592364220051</v>
      </c>
    </row>
    <row r="31" spans="1:34" x14ac:dyDescent="0.3">
      <c r="A31" s="11" t="s">
        <v>102</v>
      </c>
      <c r="B31" s="177">
        <v>0</v>
      </c>
      <c r="C31" s="80">
        <v>122500.90664700299</v>
      </c>
      <c r="D31" s="80">
        <v>104247.708051469</v>
      </c>
      <c r="E31" s="178">
        <v>615551.47367487894</v>
      </c>
      <c r="F31" s="51"/>
      <c r="G31" s="382">
        <v>0</v>
      </c>
      <c r="H31" s="383">
        <v>597.95518625042405</v>
      </c>
      <c r="I31" s="383">
        <v>365.41779286198164</v>
      </c>
      <c r="J31" s="385">
        <v>1808.6248166621244</v>
      </c>
      <c r="K31" s="381"/>
      <c r="L31" s="177">
        <v>0</v>
      </c>
      <c r="M31" s="80">
        <v>1398.9985314707105</v>
      </c>
      <c r="N31" s="80">
        <v>738.1070520544032</v>
      </c>
      <c r="O31" s="178">
        <v>3865.8478112026041</v>
      </c>
      <c r="P31" s="197"/>
      <c r="Q31" s="177">
        <v>0</v>
      </c>
      <c r="R31" s="80">
        <v>1337.476431222434</v>
      </c>
      <c r="S31" s="80">
        <v>763.27232229772653</v>
      </c>
      <c r="T31" s="178">
        <v>2881.2832457572781</v>
      </c>
      <c r="U31" s="31">
        <f t="shared" si="1"/>
        <v>4982.0319992774384</v>
      </c>
    </row>
    <row r="32" spans="1:34" x14ac:dyDescent="0.3">
      <c r="A32" s="184" t="s">
        <v>38</v>
      </c>
      <c r="B32" s="185">
        <v>0</v>
      </c>
      <c r="C32" s="186">
        <v>130480.23352284099</v>
      </c>
      <c r="D32" s="186">
        <v>0</v>
      </c>
      <c r="E32" s="187">
        <v>0</v>
      </c>
      <c r="F32" s="188"/>
      <c r="G32" s="382">
        <v>0</v>
      </c>
      <c r="H32" s="383">
        <v>636.90412155866284</v>
      </c>
      <c r="I32" s="383">
        <v>0</v>
      </c>
      <c r="J32" s="385">
        <v>0</v>
      </c>
      <c r="K32" s="381">
        <f t="shared" si="0"/>
        <v>636.90412155866284</v>
      </c>
      <c r="L32" s="185">
        <v>0</v>
      </c>
      <c r="M32" s="186">
        <v>1490.124931160057</v>
      </c>
      <c r="N32" s="186">
        <v>0</v>
      </c>
      <c r="O32" s="187">
        <v>0</v>
      </c>
      <c r="P32" s="188">
        <f t="shared" si="6"/>
        <v>1490.124931160057</v>
      </c>
      <c r="Q32" s="185">
        <v>0</v>
      </c>
      <c r="R32" s="186">
        <v>0</v>
      </c>
      <c r="S32" s="186">
        <v>812.98950008518193</v>
      </c>
      <c r="T32" s="187">
        <v>0</v>
      </c>
      <c r="U32" s="189">
        <f t="shared" si="1"/>
        <v>812.98950008518193</v>
      </c>
    </row>
    <row r="33" spans="1:21" x14ac:dyDescent="0.3">
      <c r="A33" s="184" t="s">
        <v>33</v>
      </c>
      <c r="B33" s="185">
        <v>812451.43254069705</v>
      </c>
      <c r="C33" s="186">
        <v>792871.77224329405</v>
      </c>
      <c r="D33" s="186">
        <v>0</v>
      </c>
      <c r="E33" s="187">
        <v>0</v>
      </c>
      <c r="F33" s="188"/>
      <c r="G33" s="382">
        <v>1198.2603838351683</v>
      </c>
      <c r="H33" s="383">
        <v>3870.1900354958857</v>
      </c>
      <c r="I33" s="383">
        <v>0</v>
      </c>
      <c r="J33" s="385">
        <v>0</v>
      </c>
      <c r="K33" s="381">
        <f t="shared" si="0"/>
        <v>5068.450419331054</v>
      </c>
      <c r="L33" s="185">
        <v>2699.9486007181604</v>
      </c>
      <c r="M33" s="186">
        <v>9054.842738505442</v>
      </c>
      <c r="N33" s="186">
        <v>0</v>
      </c>
      <c r="O33" s="187">
        <v>0</v>
      </c>
      <c r="P33" s="188">
        <f t="shared" si="6"/>
        <v>11754.791339223602</v>
      </c>
      <c r="Q33" s="185">
        <v>1684.7057882562599</v>
      </c>
      <c r="R33" s="186">
        <v>0</v>
      </c>
      <c r="S33" s="186">
        <v>4940.184488824425</v>
      </c>
      <c r="T33" s="187">
        <v>0</v>
      </c>
      <c r="U33" s="189">
        <f t="shared" si="1"/>
        <v>6624.8902770806853</v>
      </c>
    </row>
    <row r="34" spans="1:21" x14ac:dyDescent="0.3">
      <c r="A34" s="184" t="s">
        <v>34</v>
      </c>
      <c r="B34" s="185">
        <v>286252.80160009</v>
      </c>
      <c r="C34" s="186">
        <v>34293.729101745703</v>
      </c>
      <c r="D34" s="186">
        <v>0</v>
      </c>
      <c r="E34" s="187">
        <v>0</v>
      </c>
      <c r="F34" s="188"/>
      <c r="G34" s="382">
        <v>422.18571865467715</v>
      </c>
      <c r="H34" s="383">
        <v>167.39560329415426</v>
      </c>
      <c r="I34" s="383">
        <v>0</v>
      </c>
      <c r="J34" s="385">
        <v>0</v>
      </c>
      <c r="K34" s="381">
        <f t="shared" si="0"/>
        <v>589.58132194883137</v>
      </c>
      <c r="L34" s="185">
        <v>951.27883363428236</v>
      </c>
      <c r="M34" s="186">
        <v>391.64507402582859</v>
      </c>
      <c r="N34" s="186">
        <v>0</v>
      </c>
      <c r="O34" s="187">
        <v>0</v>
      </c>
      <c r="P34" s="188">
        <f t="shared" si="6"/>
        <v>1342.9239076601109</v>
      </c>
      <c r="Q34" s="185">
        <v>593.57609876093807</v>
      </c>
      <c r="R34" s="186">
        <v>0</v>
      </c>
      <c r="S34" s="186">
        <v>213.67559610938565</v>
      </c>
      <c r="T34" s="187">
        <v>0</v>
      </c>
      <c r="U34" s="189">
        <f t="shared" si="1"/>
        <v>807.25169487032372</v>
      </c>
    </row>
    <row r="35" spans="1:21" x14ac:dyDescent="0.3">
      <c r="A35" s="184" t="s">
        <v>35</v>
      </c>
      <c r="B35" s="185">
        <v>0</v>
      </c>
      <c r="C35" s="186">
        <v>643065.58357794699</v>
      </c>
      <c r="D35" s="186">
        <v>22986.4581555767</v>
      </c>
      <c r="E35" s="187">
        <v>0</v>
      </c>
      <c r="F35" s="188"/>
      <c r="G35" s="382">
        <v>0</v>
      </c>
      <c r="H35" s="383">
        <v>3138.9514683971224</v>
      </c>
      <c r="I35" s="383">
        <v>80.574057328704711</v>
      </c>
      <c r="J35" s="385">
        <v>0</v>
      </c>
      <c r="K35" s="381">
        <f t="shared" si="0"/>
        <v>3219.5255257258273</v>
      </c>
      <c r="L35" s="185">
        <v>0</v>
      </c>
      <c r="M35" s="186">
        <v>7344.0093766596883</v>
      </c>
      <c r="N35" s="186">
        <v>162.75146172046254</v>
      </c>
      <c r="O35" s="187">
        <v>0</v>
      </c>
      <c r="P35" s="188">
        <f t="shared" si="6"/>
        <v>7506.7608383801507</v>
      </c>
      <c r="Q35" s="185">
        <v>0</v>
      </c>
      <c r="R35" s="186">
        <v>294.91148146092326</v>
      </c>
      <c r="S35" s="186">
        <v>4006.7798255703001</v>
      </c>
      <c r="T35" s="187">
        <v>0</v>
      </c>
      <c r="U35" s="189">
        <f t="shared" si="1"/>
        <v>4301.691307031223</v>
      </c>
    </row>
    <row r="36" spans="1:21" x14ac:dyDescent="0.3">
      <c r="A36" s="184" t="s">
        <v>36</v>
      </c>
      <c r="B36" s="185">
        <v>625492.06549725495</v>
      </c>
      <c r="C36" s="186">
        <v>127640.953709347</v>
      </c>
      <c r="D36" s="186">
        <v>0</v>
      </c>
      <c r="E36" s="187">
        <v>0</v>
      </c>
      <c r="F36" s="188"/>
      <c r="G36" s="382">
        <v>922.51959005690981</v>
      </c>
      <c r="H36" s="383">
        <v>623.04494176836852</v>
      </c>
      <c r="I36" s="383">
        <v>0</v>
      </c>
      <c r="J36" s="385">
        <v>0</v>
      </c>
      <c r="K36" s="381">
        <f t="shared" si="0"/>
        <v>1545.5645318252782</v>
      </c>
      <c r="L36" s="185">
        <v>2078.6429309607142</v>
      </c>
      <c r="M36" s="186">
        <v>1457.6994708248235</v>
      </c>
      <c r="N36" s="186">
        <v>0</v>
      </c>
      <c r="O36" s="187">
        <v>0</v>
      </c>
      <c r="P36" s="188">
        <f t="shared" si="6"/>
        <v>3536.3424017855377</v>
      </c>
      <c r="Q36" s="185">
        <v>1297.0253495107277</v>
      </c>
      <c r="R36" s="186">
        <v>0</v>
      </c>
      <c r="S36" s="186">
        <v>795.29866206433826</v>
      </c>
      <c r="T36" s="187">
        <v>0</v>
      </c>
      <c r="U36" s="189">
        <f t="shared" si="1"/>
        <v>2092.3240115750659</v>
      </c>
    </row>
    <row r="37" spans="1:21" x14ac:dyDescent="0.3">
      <c r="A37" s="184" t="s">
        <v>37</v>
      </c>
      <c r="B37" s="185">
        <v>0</v>
      </c>
      <c r="C37" s="186">
        <v>623424.44774981495</v>
      </c>
      <c r="D37" s="186">
        <v>0</v>
      </c>
      <c r="E37" s="187">
        <v>0</v>
      </c>
      <c r="F37" s="188"/>
      <c r="G37" s="382">
        <v>0</v>
      </c>
      <c r="H37" s="383">
        <v>3043.0785532184341</v>
      </c>
      <c r="I37" s="383">
        <v>0</v>
      </c>
      <c r="J37" s="385">
        <v>0</v>
      </c>
      <c r="K37" s="381">
        <f t="shared" si="0"/>
        <v>3043.0785532184341</v>
      </c>
      <c r="L37" s="185">
        <v>0</v>
      </c>
      <c r="M37" s="186">
        <v>7119.7014843176885</v>
      </c>
      <c r="N37" s="186">
        <v>0</v>
      </c>
      <c r="O37" s="187">
        <v>0</v>
      </c>
      <c r="P37" s="188">
        <f t="shared" si="6"/>
        <v>7119.7014843176885</v>
      </c>
      <c r="Q37" s="185">
        <v>0</v>
      </c>
      <c r="R37" s="186">
        <v>0</v>
      </c>
      <c r="S37" s="186">
        <v>3884.4008508635839</v>
      </c>
      <c r="T37" s="187">
        <v>0</v>
      </c>
      <c r="U37" s="189">
        <f t="shared" si="1"/>
        <v>3884.4008508635839</v>
      </c>
    </row>
    <row r="38" spans="1:21" x14ac:dyDescent="0.3">
      <c r="A38" s="11" t="s">
        <v>103</v>
      </c>
      <c r="B38" s="177">
        <v>2379.3514462390299</v>
      </c>
      <c r="C38" s="80">
        <v>260372.15962909901</v>
      </c>
      <c r="D38" s="80">
        <v>0</v>
      </c>
      <c r="E38" s="178">
        <v>0</v>
      </c>
      <c r="F38" s="51"/>
      <c r="G38" s="382">
        <v>3.509234476125227</v>
      </c>
      <c r="H38" s="383">
        <v>1270.9365788947166</v>
      </c>
      <c r="I38" s="383">
        <v>0</v>
      </c>
      <c r="J38" s="385">
        <v>0</v>
      </c>
      <c r="K38" s="381"/>
      <c r="L38" s="177">
        <v>7.9070900125073074</v>
      </c>
      <c r="M38" s="80">
        <v>2973.5312082759888</v>
      </c>
      <c r="N38" s="80">
        <v>0</v>
      </c>
      <c r="O38" s="178">
        <v>0</v>
      </c>
      <c r="P38" s="197"/>
      <c r="Q38" s="177">
        <v>4.9338421882516705</v>
      </c>
      <c r="R38" s="80">
        <v>0</v>
      </c>
      <c r="S38" s="80">
        <v>1622.3134047035956</v>
      </c>
      <c r="T38" s="178">
        <v>0</v>
      </c>
      <c r="U38" s="31">
        <f t="shared" si="1"/>
        <v>1627.2472468918472</v>
      </c>
    </row>
    <row r="39" spans="1:21" x14ac:dyDescent="0.3">
      <c r="A39" s="11"/>
      <c r="B39" s="177"/>
      <c r="C39" s="80"/>
      <c r="D39" s="80"/>
      <c r="E39" s="178"/>
      <c r="F39" s="51"/>
      <c r="G39" s="382"/>
      <c r="H39" s="383"/>
      <c r="I39" s="383"/>
      <c r="J39" s="385"/>
      <c r="K39" s="381"/>
      <c r="L39" s="177"/>
      <c r="M39" s="80"/>
      <c r="N39" s="80"/>
      <c r="O39" s="178"/>
      <c r="P39" s="197"/>
      <c r="Q39" s="177"/>
      <c r="R39" s="80"/>
      <c r="S39" s="80"/>
      <c r="T39" s="178"/>
      <c r="U39" s="31">
        <f t="shared" si="1"/>
        <v>0</v>
      </c>
    </row>
    <row r="40" spans="1:21" x14ac:dyDescent="0.3">
      <c r="A40" s="190" t="s">
        <v>40</v>
      </c>
      <c r="B40" s="191">
        <v>5088162.7205604929</v>
      </c>
      <c r="C40" s="192">
        <v>3878442.0770116113</v>
      </c>
      <c r="D40" s="192">
        <v>11853020.668894056</v>
      </c>
      <c r="E40" s="193">
        <v>27335813.287456766</v>
      </c>
      <c r="F40" s="194"/>
      <c r="G40" s="386">
        <v>7504.3794254731702</v>
      </c>
      <c r="H40" s="387">
        <v>18931.570532810398</v>
      </c>
      <c r="I40" s="387">
        <v>41548.200267734152</v>
      </c>
      <c r="J40" s="389">
        <v>80318.59626649163</v>
      </c>
      <c r="K40" s="381">
        <f t="shared" si="0"/>
        <v>148302.74649250935</v>
      </c>
      <c r="L40" s="191">
        <v>16909.044980870854</v>
      </c>
      <c r="M40" s="192">
        <v>44293.017240833644</v>
      </c>
      <c r="N40" s="192">
        <v>83923.170181716239</v>
      </c>
      <c r="O40" s="193">
        <v>171677.10335232443</v>
      </c>
      <c r="P40" s="188">
        <f t="shared" si="6"/>
        <v>316802.33575574518</v>
      </c>
      <c r="Q40" s="191">
        <v>10550.854910934744</v>
      </c>
      <c r="R40" s="192">
        <v>152071.79207826027</v>
      </c>
      <c r="S40" s="192">
        <v>24165.596582466555</v>
      </c>
      <c r="T40" s="193">
        <v>127953.9148271114</v>
      </c>
      <c r="U40" s="195">
        <f t="shared" si="1"/>
        <v>314742.158398773</v>
      </c>
    </row>
    <row r="41" spans="1:21" x14ac:dyDescent="0.3">
      <c r="G41" s="390"/>
      <c r="H41" s="390"/>
      <c r="I41" s="390"/>
      <c r="J41" s="390"/>
      <c r="K41" s="39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D886-7E43-4511-AB26-932600EAF84A}">
  <dimension ref="B1:D17"/>
  <sheetViews>
    <sheetView workbookViewId="0">
      <selection activeCell="D16" sqref="D16"/>
    </sheetView>
  </sheetViews>
  <sheetFormatPr defaultRowHeight="14.4" x14ac:dyDescent="0.3"/>
  <cols>
    <col min="2" max="2" width="15.21875" customWidth="1"/>
    <col min="3" max="3" width="14.21875" customWidth="1"/>
    <col min="4" max="4" width="14.6640625" customWidth="1"/>
  </cols>
  <sheetData>
    <row r="1" spans="2:4" x14ac:dyDescent="0.3">
      <c r="B1" s="376" t="s">
        <v>73</v>
      </c>
      <c r="C1" s="376"/>
      <c r="D1" s="376"/>
    </row>
    <row r="2" spans="2:4" ht="43.2" x14ac:dyDescent="0.3">
      <c r="B2" s="256" t="s">
        <v>137</v>
      </c>
      <c r="C2" s="256" t="s">
        <v>138</v>
      </c>
      <c r="D2" s="256" t="s">
        <v>140</v>
      </c>
    </row>
    <row r="3" spans="2:4" x14ac:dyDescent="0.3">
      <c r="B3" s="258">
        <v>5.7406069563893214E-2</v>
      </c>
      <c r="C3" s="285">
        <v>6.3368107627706616E-2</v>
      </c>
      <c r="D3" s="285">
        <v>5.8156134988612516E-2</v>
      </c>
    </row>
    <row r="4" spans="2:4" x14ac:dyDescent="0.3">
      <c r="B4" s="258">
        <v>0.11924467081991033</v>
      </c>
      <c r="C4" s="285">
        <v>0.11716480207178011</v>
      </c>
      <c r="D4" s="285">
        <v>0.1068580245277269</v>
      </c>
    </row>
    <row r="5" spans="2:4" x14ac:dyDescent="0.3">
      <c r="B5" s="258">
        <v>9.4922519026857152E-2</v>
      </c>
      <c r="C5" s="285">
        <v>9.6253155492038653E-2</v>
      </c>
      <c r="D5" s="285">
        <v>9.3896233457052322E-2</v>
      </c>
    </row>
    <row r="6" spans="2:4" x14ac:dyDescent="0.3">
      <c r="B6" s="258">
        <v>0.1066702233510457</v>
      </c>
      <c r="C6" s="285">
        <v>9.6655964239404146E-2</v>
      </c>
      <c r="D6" s="285">
        <v>0.10332635969144478</v>
      </c>
    </row>
    <row r="7" spans="2:4" x14ac:dyDescent="0.3">
      <c r="B7" s="258">
        <v>3.1474712443873544E-2</v>
      </c>
      <c r="C7" s="285">
        <v>3.0634444687116128E-2</v>
      </c>
      <c r="D7" s="285">
        <v>3.0477484470022995E-2</v>
      </c>
    </row>
    <row r="8" spans="2:4" x14ac:dyDescent="0.3">
      <c r="B8" s="258">
        <v>5.4047120362309041E-2</v>
      </c>
      <c r="C8" s="285">
        <v>5.8390670526553903E-2</v>
      </c>
      <c r="D8" s="285">
        <v>6.7042993622706673E-2</v>
      </c>
    </row>
    <row r="9" spans="2:4" x14ac:dyDescent="0.3">
      <c r="B9" s="258">
        <v>4.2221940070275271E-2</v>
      </c>
      <c r="C9" s="285">
        <v>4.2186001880839742E-2</v>
      </c>
      <c r="D9" s="285">
        <v>6.195106768475566E-2</v>
      </c>
    </row>
    <row r="10" spans="2:4" x14ac:dyDescent="0.3">
      <c r="B10" s="258">
        <v>0.16942351813928302</v>
      </c>
      <c r="C10" s="285">
        <v>0.18320178489015551</v>
      </c>
      <c r="D10" s="285">
        <v>0.16689544604871465</v>
      </c>
    </row>
    <row r="11" spans="2:4" x14ac:dyDescent="0.3">
      <c r="B11" s="258">
        <v>6.8841433790538795E-2</v>
      </c>
      <c r="C11" s="285">
        <v>6.3169877942027705E-2</v>
      </c>
      <c r="D11" s="285">
        <v>6.4028071178455451E-2</v>
      </c>
    </row>
    <row r="12" spans="2:4" x14ac:dyDescent="0.3">
      <c r="B12" s="258">
        <v>4.5261625335049877E-2</v>
      </c>
      <c r="C12" s="285">
        <v>4.2531115542269703E-2</v>
      </c>
      <c r="D12" s="285">
        <v>3.8781371760180823E-2</v>
      </c>
    </row>
    <row r="13" spans="2:4" x14ac:dyDescent="0.3">
      <c r="B13" s="258">
        <v>5.4796753595044573E-2</v>
      </c>
      <c r="C13" s="285">
        <v>4.8164037546593444E-2</v>
      </c>
      <c r="D13" s="285">
        <v>5.1070512376563369E-2</v>
      </c>
    </row>
    <row r="14" spans="2:4" x14ac:dyDescent="0.3">
      <c r="B14" s="258">
        <v>0.10626050468534079</v>
      </c>
      <c r="C14" s="285">
        <v>0.10319715281572864</v>
      </c>
      <c r="D14" s="285">
        <v>9.9820375734093428E-2</v>
      </c>
    </row>
    <row r="15" spans="2:4" x14ac:dyDescent="0.3">
      <c r="B15" s="258">
        <v>4.9428908816578764E-2</v>
      </c>
      <c r="C15" s="285">
        <v>5.508288473778547E-2</v>
      </c>
      <c r="D15" s="285">
        <v>5.7695924459670554E-2</v>
      </c>
    </row>
    <row r="16" spans="2:4" x14ac:dyDescent="0.3">
      <c r="C16" s="282"/>
      <c r="D16" s="282" t="s">
        <v>139</v>
      </c>
    </row>
    <row r="17" spans="2:2" ht="43.2" x14ac:dyDescent="0.3">
      <c r="B17" s="30" t="s">
        <v>141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Weighted Model Figures</vt:lpstr>
      <vt:lpstr>datapercentage</vt:lpstr>
      <vt:lpstr>datanumbers</vt:lpstr>
      <vt:lpstr>Catch_History</vt:lpstr>
      <vt:lpstr>TKA_limit</vt:lpstr>
      <vt:lpstr>Index of Fisheries Dependency </vt:lpstr>
      <vt:lpstr>Biomass Esitmation_ 2021</vt:lpstr>
      <vt:lpstr>Revision on the 170222</vt:lpstr>
      <vt:lpstr>CATCH</vt:lpstr>
      <vt:lpstr>NORMBEST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Adams FFA;Brian Kumasi</dc:creator>
  <cp:lastModifiedBy>Sam McKechnie</cp:lastModifiedBy>
  <cp:lastPrinted>2021-09-28T04:50:03Z</cp:lastPrinted>
  <dcterms:created xsi:type="dcterms:W3CDTF">2017-06-10T04:03:25Z</dcterms:created>
  <dcterms:modified xsi:type="dcterms:W3CDTF">2022-03-23T04:32:45Z</dcterms:modified>
</cp:coreProperties>
</file>