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701"/>
  <workbookPr/>
  <mc:AlternateContent xmlns:mc="http://schemas.openxmlformats.org/markup-compatibility/2006">
    <mc:Choice Requires="x15">
      <x15ac:absPath xmlns:x15ac="http://schemas.microsoft.com/office/spreadsheetml/2010/11/ac" url="C:\GitRep\albacator\"/>
    </mc:Choice>
  </mc:AlternateContent>
  <xr:revisionPtr revIDLastSave="0" documentId="13_ncr:1_{4D13BA57-FB8F-468F-9F7C-D0313E705143}" xr6:coauthVersionLast="47" xr6:coauthVersionMax="47" xr10:uidLastSave="{00000000-0000-0000-0000-000000000000}"/>
  <bookViews>
    <workbookView xWindow="-108" yWindow="-108" windowWidth="23256" windowHeight="12576" tabRatio="941" xr2:uid="{00000000-000D-0000-FFFF-FFFF00000000}"/>
  </bookViews>
  <sheets>
    <sheet name="Weighted Model Figures" sheetId="18" r:id="rId1"/>
    <sheet name="datapercentage" sheetId="17" r:id="rId2"/>
    <sheet name="datanumbers" sheetId="16" r:id="rId3"/>
    <sheet name="Catch_History" sheetId="4" r:id="rId4"/>
    <sheet name="SPA 2018_Stock Assessment" sheetId="14" r:id="rId5"/>
    <sheet name="TKA_limit" sheetId="6" r:id="rId6"/>
    <sheet name="EEZ_area" sheetId="1" r:id="rId7"/>
    <sheet name="Dependency Factors" sheetId="19" r:id="rId8"/>
    <sheet name="Biomass_2013&amp;2021" sheetId="2" r:id="rId9"/>
    <sheet name="Effort_VMSdays" sheetId="9" r:id="rId10"/>
    <sheet name="Effort_hooks" sheetId="11" r:id="rId11"/>
    <sheet name="TKA4" sheetId="10" r:id="rId12"/>
    <sheet name="Discussion" sheetId="7" r:id="rId13"/>
    <sheet name="Compilation" sheetId="13" r:id="rId14"/>
  </sheets>
  <definedNames>
    <definedName name="BIOMASS">'Biomass_2013&amp;2021'!$A$3:$E$20</definedName>
    <definedName name="CATCH">Catch_History!$A$5:$C$22</definedName>
    <definedName name="EEZAREA">EEZ_area!$A$2:$C$19</definedName>
    <definedName name="NORMBEST">Catch_History!$AD$34:$BC$51</definedName>
    <definedName name="OPTIONS">Compilation!$B$7:$K$25</definedName>
    <definedName name="VMS">Effort_VMSdays!$A$2:$G$19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A52" i="4" l="1"/>
  <c r="AB56" i="4"/>
  <c r="AB54" i="4"/>
  <c r="L6" i="17"/>
  <c r="G27" i="18" s="1"/>
  <c r="G31" i="18"/>
  <c r="G28" i="18"/>
  <c r="G29" i="18"/>
  <c r="G30" i="18"/>
  <c r="G32" i="18"/>
  <c r="G33" i="18"/>
  <c r="G34" i="18"/>
  <c r="G35" i="18"/>
  <c r="G36" i="18"/>
  <c r="G37" i="18"/>
  <c r="G38" i="18"/>
  <c r="G39" i="18"/>
  <c r="F8" i="18"/>
  <c r="K16" i="17"/>
  <c r="L7" i="17"/>
  <c r="L8" i="17"/>
  <c r="L10" i="17"/>
  <c r="L12" i="17"/>
  <c r="L13" i="17"/>
  <c r="L15" i="17"/>
  <c r="L16" i="17"/>
  <c r="L17" i="17"/>
  <c r="L18" i="17"/>
  <c r="L19" i="17"/>
  <c r="L20" i="17"/>
  <c r="L21" i="17"/>
  <c r="C23" i="16"/>
  <c r="Z54" i="4"/>
  <c r="Y54" i="4"/>
  <c r="X54" i="4"/>
  <c r="W54" i="4"/>
  <c r="V54" i="4"/>
  <c r="U54" i="4"/>
  <c r="T54" i="4"/>
  <c r="S54" i="4"/>
  <c r="R54" i="4"/>
  <c r="Q54" i="4"/>
  <c r="P54" i="4"/>
  <c r="O54" i="4"/>
  <c r="N54" i="4"/>
  <c r="M54" i="4"/>
  <c r="L54" i="4"/>
  <c r="K54" i="4"/>
  <c r="J54" i="4"/>
  <c r="I54" i="4"/>
  <c r="Z53" i="4"/>
  <c r="Y53" i="4"/>
  <c r="X53" i="4"/>
  <c r="W53" i="4"/>
  <c r="V53" i="4"/>
  <c r="U53" i="4"/>
  <c r="T53" i="4"/>
  <c r="S53" i="4"/>
  <c r="R53" i="4"/>
  <c r="Q53" i="4"/>
  <c r="P53" i="4"/>
  <c r="O53" i="4"/>
  <c r="N53" i="4"/>
  <c r="M53" i="4"/>
  <c r="L53" i="4"/>
  <c r="K53" i="4"/>
  <c r="J53" i="4"/>
  <c r="I53" i="4"/>
  <c r="H54" i="4"/>
  <c r="H53" i="4"/>
  <c r="Z52" i="4"/>
  <c r="Y52" i="4"/>
  <c r="X52" i="4"/>
  <c r="W52" i="4"/>
  <c r="V52" i="4"/>
  <c r="U52" i="4"/>
  <c r="T52" i="4"/>
  <c r="S52" i="4"/>
  <c r="R52" i="4"/>
  <c r="Q52" i="4"/>
  <c r="P52" i="4"/>
  <c r="O52" i="4"/>
  <c r="N52" i="4"/>
  <c r="M52" i="4"/>
  <c r="L52" i="4"/>
  <c r="K52" i="4"/>
  <c r="J52" i="4"/>
  <c r="I52" i="4"/>
  <c r="H52" i="4"/>
  <c r="N8" i="16"/>
  <c r="N18" i="16"/>
  <c r="N19" i="16"/>
  <c r="N20" i="16"/>
  <c r="N22" i="16"/>
  <c r="J10" i="19"/>
  <c r="N11" i="16" s="1"/>
  <c r="J7" i="19"/>
  <c r="Q22" i="19"/>
  <c r="J6" i="19"/>
  <c r="N7" i="16" s="1"/>
  <c r="J8" i="19"/>
  <c r="N9" i="16" s="1"/>
  <c r="J12" i="19"/>
  <c r="N13" i="16" s="1"/>
  <c r="J13" i="19"/>
  <c r="N14" i="16" s="1"/>
  <c r="J15" i="19"/>
  <c r="N16" i="16" s="1"/>
  <c r="J16" i="19"/>
  <c r="N17" i="16" s="1"/>
  <c r="J17" i="19"/>
  <c r="J18" i="19"/>
  <c r="J19" i="19"/>
  <c r="J20" i="19"/>
  <c r="N21" i="16" s="1"/>
  <c r="J21" i="19"/>
  <c r="B22" i="19"/>
  <c r="C22" i="19"/>
  <c r="D22" i="19"/>
  <c r="E22" i="19"/>
  <c r="F22" i="19"/>
  <c r="G22" i="19"/>
  <c r="H22" i="19"/>
  <c r="I22" i="19"/>
  <c r="D23" i="19"/>
  <c r="G23" i="19"/>
  <c r="H23" i="19"/>
  <c r="I23" i="19"/>
  <c r="L22" i="17" l="1"/>
  <c r="G40" i="18"/>
  <c r="N23" i="16"/>
  <c r="J22" i="19"/>
  <c r="F17" i="16"/>
  <c r="F18" i="16"/>
  <c r="F19" i="16"/>
  <c r="F20" i="16"/>
  <c r="F21" i="16"/>
  <c r="F22" i="16"/>
  <c r="F16" i="16"/>
  <c r="F14" i="16"/>
  <c r="F13" i="16"/>
  <c r="F8" i="16"/>
  <c r="F9" i="16"/>
  <c r="F7" i="16"/>
  <c r="M17" i="16"/>
  <c r="M18" i="16"/>
  <c r="M19" i="16"/>
  <c r="M20" i="16"/>
  <c r="M21" i="16"/>
  <c r="M22" i="16"/>
  <c r="M16" i="16"/>
  <c r="M14" i="16"/>
  <c r="M13" i="16"/>
  <c r="M8" i="16"/>
  <c r="M9" i="16"/>
  <c r="M7" i="16"/>
  <c r="Z33" i="2"/>
  <c r="Z34" i="2"/>
  <c r="Z36" i="2"/>
  <c r="Z37" i="2"/>
  <c r="Z38" i="2"/>
  <c r="Z39" i="2"/>
  <c r="Z40" i="2"/>
  <c r="Z41" i="2"/>
  <c r="Z42" i="2"/>
  <c r="Z43" i="2"/>
  <c r="Z44" i="2"/>
  <c r="Z32" i="2"/>
  <c r="Y45" i="2"/>
  <c r="AB40" i="2" s="1"/>
  <c r="AF45" i="4"/>
  <c r="AF38" i="4"/>
  <c r="AE50" i="4"/>
  <c r="AE40" i="4"/>
  <c r="AB39" i="2" l="1"/>
  <c r="AB38" i="2"/>
  <c r="AB32" i="2"/>
  <c r="AB37" i="2"/>
  <c r="AB44" i="2"/>
  <c r="AB36" i="2"/>
  <c r="AB43" i="2"/>
  <c r="AB35" i="2"/>
  <c r="AB41" i="2"/>
  <c r="AB33" i="2"/>
  <c r="AB42" i="2"/>
  <c r="AB34" i="2"/>
  <c r="L23" i="16"/>
  <c r="K23" i="16"/>
  <c r="J23" i="16"/>
  <c r="J22" i="2"/>
  <c r="I22" i="2"/>
  <c r="AB45" i="2" l="1"/>
  <c r="AF40" i="4"/>
  <c r="AF36" i="4"/>
  <c r="AE51" i="4"/>
  <c r="AE38" i="4"/>
  <c r="AE37" i="4"/>
  <c r="O7" i="17" l="1"/>
  <c r="J28" i="18" s="1"/>
  <c r="O8" i="17"/>
  <c r="J29" i="18" s="1"/>
  <c r="O10" i="17"/>
  <c r="J30" i="18" s="1"/>
  <c r="O12" i="17"/>
  <c r="J31" i="18" s="1"/>
  <c r="O13" i="17"/>
  <c r="J32" i="18" s="1"/>
  <c r="O15" i="17"/>
  <c r="J33" i="18" s="1"/>
  <c r="O16" i="17"/>
  <c r="J34" i="18" s="1"/>
  <c r="O17" i="17"/>
  <c r="J35" i="18" s="1"/>
  <c r="O18" i="17"/>
  <c r="J36" i="18" s="1"/>
  <c r="O19" i="17"/>
  <c r="J37" i="18" s="1"/>
  <c r="O20" i="17"/>
  <c r="J38" i="18" s="1"/>
  <c r="O21" i="17"/>
  <c r="J39" i="18" s="1"/>
  <c r="O6" i="17"/>
  <c r="J27" i="18" s="1"/>
  <c r="M7" i="17"/>
  <c r="H28" i="18" s="1"/>
  <c r="M8" i="17"/>
  <c r="M10" i="17"/>
  <c r="H30" i="18" s="1"/>
  <c r="M12" i="17"/>
  <c r="H31" i="18" s="1"/>
  <c r="M13" i="17"/>
  <c r="H32" i="18" s="1"/>
  <c r="M15" i="17"/>
  <c r="H33" i="18" s="1"/>
  <c r="M16" i="17"/>
  <c r="H34" i="18" s="1"/>
  <c r="M17" i="17"/>
  <c r="H35" i="18" s="1"/>
  <c r="M18" i="17"/>
  <c r="H36" i="18" s="1"/>
  <c r="M19" i="17"/>
  <c r="H37" i="18" s="1"/>
  <c r="M20" i="17"/>
  <c r="H38" i="18" s="1"/>
  <c r="M21" i="17"/>
  <c r="H39" i="18" s="1"/>
  <c r="M6" i="17"/>
  <c r="K7" i="17"/>
  <c r="F28" i="18" s="1"/>
  <c r="K8" i="17"/>
  <c r="F29" i="18" s="1"/>
  <c r="K10" i="17"/>
  <c r="F30" i="18" s="1"/>
  <c r="K12" i="17"/>
  <c r="F31" i="18" s="1"/>
  <c r="K13" i="17"/>
  <c r="F32" i="18" s="1"/>
  <c r="K15" i="17"/>
  <c r="F33" i="18" s="1"/>
  <c r="F34" i="18"/>
  <c r="K17" i="17"/>
  <c r="F35" i="18" s="1"/>
  <c r="K18" i="17"/>
  <c r="F36" i="18" s="1"/>
  <c r="K19" i="17"/>
  <c r="F37" i="18" s="1"/>
  <c r="K20" i="17"/>
  <c r="F38" i="18" s="1"/>
  <c r="K21" i="17"/>
  <c r="F39" i="18" s="1"/>
  <c r="K6" i="17"/>
  <c r="F27" i="18" s="1"/>
  <c r="Z56" i="4"/>
  <c r="Y56" i="4"/>
  <c r="X56" i="4"/>
  <c r="W56" i="4"/>
  <c r="V56" i="4"/>
  <c r="U56" i="4"/>
  <c r="T56" i="4"/>
  <c r="S56" i="4"/>
  <c r="R56" i="4"/>
  <c r="Q56" i="4"/>
  <c r="P56" i="4"/>
  <c r="O56" i="4"/>
  <c r="N56" i="4"/>
  <c r="M56" i="4"/>
  <c r="L56" i="4"/>
  <c r="K56" i="4"/>
  <c r="J56" i="4"/>
  <c r="I56" i="4"/>
  <c r="H56" i="4"/>
  <c r="H27" i="18" l="1"/>
  <c r="O22" i="17"/>
  <c r="H29" i="18"/>
  <c r="M22" i="17"/>
  <c r="K22" i="17"/>
  <c r="J40" i="18"/>
  <c r="F40" i="18"/>
  <c r="H40" i="18" l="1"/>
  <c r="P34" i="2"/>
  <c r="P37" i="2"/>
  <c r="P40" i="2"/>
  <c r="P46" i="2"/>
  <c r="P47" i="2"/>
  <c r="P48" i="2"/>
  <c r="P49" i="2"/>
  <c r="P50" i="2"/>
  <c r="P52" i="2"/>
  <c r="P54" i="2"/>
  <c r="P56" i="2"/>
  <c r="P57" i="2"/>
  <c r="P58" i="2"/>
  <c r="P59" i="2"/>
  <c r="P60" i="2"/>
  <c r="P61" i="2"/>
  <c r="P64" i="2"/>
  <c r="P32" i="2"/>
  <c r="K32" i="2"/>
  <c r="K34" i="2"/>
  <c r="K37" i="2"/>
  <c r="K40" i="2"/>
  <c r="K46" i="2"/>
  <c r="K47" i="2"/>
  <c r="K48" i="2"/>
  <c r="K49" i="2"/>
  <c r="K50" i="2"/>
  <c r="K52" i="2"/>
  <c r="K54" i="2"/>
  <c r="K56" i="2"/>
  <c r="K57" i="2"/>
  <c r="K58" i="2"/>
  <c r="K59" i="2"/>
  <c r="K60" i="2"/>
  <c r="K61" i="2"/>
  <c r="K64" i="2"/>
  <c r="B7" i="2"/>
  <c r="U64" i="2"/>
  <c r="U63" i="2"/>
  <c r="U62" i="2"/>
  <c r="U61" i="2"/>
  <c r="U60" i="2"/>
  <c r="U59" i="2"/>
  <c r="U58" i="2"/>
  <c r="U57" i="2"/>
  <c r="U56" i="2"/>
  <c r="U55" i="2"/>
  <c r="U54" i="2"/>
  <c r="U53" i="2"/>
  <c r="U52" i="2"/>
  <c r="U51" i="2"/>
  <c r="U50" i="2"/>
  <c r="U49" i="2"/>
  <c r="U48" i="2"/>
  <c r="U47" i="2"/>
  <c r="U46" i="2"/>
  <c r="U45" i="2"/>
  <c r="U44" i="2"/>
  <c r="U43" i="2"/>
  <c r="U42" i="2"/>
  <c r="U41" i="2"/>
  <c r="U40" i="2"/>
  <c r="U39" i="2"/>
  <c r="U38" i="2"/>
  <c r="U37" i="2"/>
  <c r="U36" i="2"/>
  <c r="U35" i="2"/>
  <c r="U34" i="2"/>
  <c r="U33" i="2"/>
  <c r="U32" i="2"/>
  <c r="U31" i="2"/>
  <c r="X35" i="2" l="1"/>
  <c r="D23" i="16"/>
  <c r="D17" i="17" s="1"/>
  <c r="G16" i="18" s="1"/>
  <c r="E23" i="16"/>
  <c r="E7" i="17" s="1"/>
  <c r="H9" i="18" s="1"/>
  <c r="G23" i="16"/>
  <c r="C19" i="17"/>
  <c r="F18" i="18" s="1"/>
  <c r="C23" i="1"/>
  <c r="AJ35" i="4"/>
  <c r="AF51" i="4"/>
  <c r="AF50" i="4"/>
  <c r="AF46" i="4"/>
  <c r="AE46" i="4"/>
  <c r="AE45" i="4"/>
  <c r="AB29" i="4"/>
  <c r="AA29" i="4"/>
  <c r="AB36" i="4"/>
  <c r="AB37" i="4"/>
  <c r="AB38" i="4"/>
  <c r="AB40" i="4"/>
  <c r="AB41" i="4"/>
  <c r="AB42" i="4"/>
  <c r="AB43" i="4"/>
  <c r="AB44" i="4"/>
  <c r="AB45" i="4"/>
  <c r="AB46" i="4"/>
  <c r="AB47" i="4"/>
  <c r="AB48" i="4"/>
  <c r="AB49" i="4"/>
  <c r="AB50" i="4"/>
  <c r="AB51" i="4"/>
  <c r="AB35" i="4"/>
  <c r="AA36" i="4"/>
  <c r="AE36" i="4" s="1"/>
  <c r="AA37" i="4"/>
  <c r="AF37" i="4" s="1"/>
  <c r="AA38" i="4"/>
  <c r="AA40" i="4"/>
  <c r="AA41" i="4"/>
  <c r="AA42" i="4"/>
  <c r="AA43" i="4"/>
  <c r="AA44" i="4"/>
  <c r="AA45" i="4"/>
  <c r="AA46" i="4"/>
  <c r="AA47" i="4"/>
  <c r="AA48" i="4"/>
  <c r="AA49" i="4"/>
  <c r="AE49" i="4" s="1"/>
  <c r="AA50" i="4"/>
  <c r="AA51" i="4"/>
  <c r="AA35" i="4"/>
  <c r="AB23" i="4"/>
  <c r="S23" i="4"/>
  <c r="R23" i="4"/>
  <c r="AB53" i="4" l="1"/>
  <c r="AA54" i="4"/>
  <c r="AA53" i="4"/>
  <c r="AB52" i="4"/>
  <c r="AF49" i="4"/>
  <c r="AE42" i="4"/>
  <c r="AF42" i="4"/>
  <c r="AF43" i="4"/>
  <c r="AF48" i="4"/>
  <c r="AE48" i="4"/>
  <c r="AE47" i="4"/>
  <c r="AF47" i="4"/>
  <c r="AE43" i="4"/>
  <c r="AA56" i="4"/>
  <c r="X45" i="2"/>
  <c r="Z35" i="2"/>
  <c r="F11" i="16"/>
  <c r="F23" i="16" s="1"/>
  <c r="F19" i="17" s="1"/>
  <c r="I18" i="18" s="1"/>
  <c r="M11" i="16"/>
  <c r="G12" i="17"/>
  <c r="J12" i="18" s="1"/>
  <c r="G20" i="17"/>
  <c r="J19" i="18" s="1"/>
  <c r="G15" i="17"/>
  <c r="J14" i="18" s="1"/>
  <c r="G16" i="17"/>
  <c r="J15" i="18" s="1"/>
  <c r="G17" i="17"/>
  <c r="J16" i="18" s="1"/>
  <c r="G13" i="17"/>
  <c r="J13" i="18" s="1"/>
  <c r="G21" i="17"/>
  <c r="J20" i="18" s="1"/>
  <c r="G7" i="17"/>
  <c r="J9" i="18" s="1"/>
  <c r="G6" i="17"/>
  <c r="J8" i="18" s="1"/>
  <c r="G8" i="17"/>
  <c r="J10" i="18" s="1"/>
  <c r="G10" i="17"/>
  <c r="J11" i="18" s="1"/>
  <c r="G18" i="17"/>
  <c r="J17" i="18" s="1"/>
  <c r="G19" i="17"/>
  <c r="J18" i="18" s="1"/>
  <c r="D6" i="17"/>
  <c r="G8" i="18" s="1"/>
  <c r="D16" i="17"/>
  <c r="G15" i="18" s="1"/>
  <c r="D15" i="17"/>
  <c r="G14" i="18" s="1"/>
  <c r="D13" i="17"/>
  <c r="G13" i="18" s="1"/>
  <c r="C12" i="17"/>
  <c r="F12" i="18" s="1"/>
  <c r="D12" i="17"/>
  <c r="G12" i="18" s="1"/>
  <c r="D10" i="17"/>
  <c r="G11" i="18" s="1"/>
  <c r="C10" i="17"/>
  <c r="F11" i="18" s="1"/>
  <c r="D21" i="17"/>
  <c r="G20" i="18" s="1"/>
  <c r="D20" i="17"/>
  <c r="G19" i="18" s="1"/>
  <c r="C6" i="17"/>
  <c r="C17" i="17"/>
  <c r="F16" i="18" s="1"/>
  <c r="D19" i="17"/>
  <c r="G18" i="18" s="1"/>
  <c r="D8" i="17"/>
  <c r="G10" i="18" s="1"/>
  <c r="C13" i="17"/>
  <c r="F13" i="18" s="1"/>
  <c r="C15" i="17"/>
  <c r="F14" i="18" s="1"/>
  <c r="C16" i="17"/>
  <c r="F15" i="18" s="1"/>
  <c r="C7" i="17"/>
  <c r="F9" i="18" s="1"/>
  <c r="C18" i="17"/>
  <c r="F17" i="18" s="1"/>
  <c r="D18" i="17"/>
  <c r="G17" i="18" s="1"/>
  <c r="D7" i="17"/>
  <c r="G9" i="18" s="1"/>
  <c r="C20" i="17"/>
  <c r="F19" i="18" s="1"/>
  <c r="C21" i="17"/>
  <c r="F20" i="18" s="1"/>
  <c r="C8" i="17"/>
  <c r="F10" i="18" s="1"/>
  <c r="E8" i="17"/>
  <c r="H10" i="18" s="1"/>
  <c r="E21" i="17"/>
  <c r="H20" i="18" s="1"/>
  <c r="E16" i="17"/>
  <c r="H15" i="18" s="1"/>
  <c r="E13" i="17"/>
  <c r="H13" i="18" s="1"/>
  <c r="E6" i="17"/>
  <c r="H8" i="18" s="1"/>
  <c r="E20" i="17"/>
  <c r="H19" i="18" s="1"/>
  <c r="E19" i="17"/>
  <c r="H18" i="18" s="1"/>
  <c r="E12" i="17"/>
  <c r="H12" i="18" s="1"/>
  <c r="E18" i="17"/>
  <c r="H17" i="18" s="1"/>
  <c r="E10" i="17"/>
  <c r="H11" i="18" s="1"/>
  <c r="E17" i="17"/>
  <c r="H16" i="18" s="1"/>
  <c r="E15" i="17"/>
  <c r="H14" i="18" s="1"/>
  <c r="AA23" i="4"/>
  <c r="J21" i="18" l="1"/>
  <c r="S25" i="18"/>
  <c r="S6" i="18"/>
  <c r="R25" i="18"/>
  <c r="R6" i="18"/>
  <c r="F20" i="17"/>
  <c r="I19" i="18" s="1"/>
  <c r="F17" i="17"/>
  <c r="I16" i="18" s="1"/>
  <c r="M16" i="18" s="1"/>
  <c r="AA34" i="2"/>
  <c r="AA42" i="2"/>
  <c r="AA44" i="2"/>
  <c r="AA43" i="2"/>
  <c r="AA36" i="2"/>
  <c r="AA37" i="2"/>
  <c r="AA32" i="2"/>
  <c r="AA38" i="2"/>
  <c r="AA33" i="2"/>
  <c r="AA39" i="2"/>
  <c r="AA41" i="2"/>
  <c r="AA40" i="2"/>
  <c r="F8" i="17"/>
  <c r="I10" i="18" s="1"/>
  <c r="M10" i="18" s="1"/>
  <c r="F16" i="17"/>
  <c r="I15" i="18" s="1"/>
  <c r="F18" i="17"/>
  <c r="I17" i="18" s="1"/>
  <c r="F7" i="17"/>
  <c r="I9" i="18" s="1"/>
  <c r="F6" i="17"/>
  <c r="I8" i="18" s="1"/>
  <c r="AF44" i="4"/>
  <c r="AE44" i="4"/>
  <c r="F15" i="17"/>
  <c r="I14" i="18" s="1"/>
  <c r="M14" i="18" s="1"/>
  <c r="F13" i="17"/>
  <c r="I13" i="18" s="1"/>
  <c r="M13" i="18" s="1"/>
  <c r="F21" i="17"/>
  <c r="I20" i="18" s="1"/>
  <c r="M20" i="18" s="1"/>
  <c r="F12" i="17"/>
  <c r="I12" i="18" s="1"/>
  <c r="M12" i="18" s="1"/>
  <c r="Z45" i="2"/>
  <c r="H21" i="18"/>
  <c r="F10" i="17"/>
  <c r="I11" i="18" s="1"/>
  <c r="M11" i="18" s="1"/>
  <c r="AA35" i="2"/>
  <c r="I21" i="18"/>
  <c r="M23" i="16"/>
  <c r="G21" i="18"/>
  <c r="F21" i="18"/>
  <c r="G22" i="17"/>
  <c r="M18" i="18"/>
  <c r="C22" i="17"/>
  <c r="M15" i="18"/>
  <c r="M17" i="18"/>
  <c r="D22" i="17"/>
  <c r="M19" i="18"/>
  <c r="M9" i="18"/>
  <c r="E22" i="17"/>
  <c r="P23" i="4"/>
  <c r="Q23" i="4"/>
  <c r="T23" i="4"/>
  <c r="U23" i="4"/>
  <c r="V23" i="4"/>
  <c r="W23" i="4"/>
  <c r="X23" i="4"/>
  <c r="Y23" i="4"/>
  <c r="Z23" i="4"/>
  <c r="N23" i="4"/>
  <c r="F22" i="17" l="1"/>
  <c r="AC32" i="2"/>
  <c r="AC40" i="2"/>
  <c r="AC37" i="2"/>
  <c r="AC36" i="2"/>
  <c r="AC44" i="2"/>
  <c r="AC39" i="2"/>
  <c r="AC38" i="2"/>
  <c r="AC34" i="2"/>
  <c r="AC41" i="2"/>
  <c r="AC43" i="2"/>
  <c r="AC42" i="2"/>
  <c r="AC33" i="2"/>
  <c r="AC35" i="2"/>
  <c r="AA45" i="2"/>
  <c r="N12" i="17"/>
  <c r="I31" i="18" s="1"/>
  <c r="M31" i="18" s="1"/>
  <c r="N21" i="17"/>
  <c r="I39" i="18" s="1"/>
  <c r="M39" i="18" s="1"/>
  <c r="N13" i="17"/>
  <c r="I32" i="18" s="1"/>
  <c r="M32" i="18" s="1"/>
  <c r="N6" i="17"/>
  <c r="N19" i="17"/>
  <c r="I37" i="18" s="1"/>
  <c r="M37" i="18" s="1"/>
  <c r="N15" i="17"/>
  <c r="I33" i="18" s="1"/>
  <c r="M33" i="18" s="1"/>
  <c r="N16" i="17"/>
  <c r="I34" i="18" s="1"/>
  <c r="M34" i="18" s="1"/>
  <c r="N17" i="17"/>
  <c r="I35" i="18" s="1"/>
  <c r="M35" i="18" s="1"/>
  <c r="N20" i="17"/>
  <c r="I38" i="18" s="1"/>
  <c r="M38" i="18" s="1"/>
  <c r="N7" i="17"/>
  <c r="I28" i="18" s="1"/>
  <c r="M28" i="18" s="1"/>
  <c r="N18" i="17"/>
  <c r="I36" i="18" s="1"/>
  <c r="M36" i="18" s="1"/>
  <c r="N8" i="17"/>
  <c r="I29" i="18" s="1"/>
  <c r="N10" i="17"/>
  <c r="I30" i="18" s="1"/>
  <c r="M30" i="18" s="1"/>
  <c r="M8" i="18"/>
  <c r="AJ36" i="4"/>
  <c r="AJ37" i="4"/>
  <c r="AJ38" i="4"/>
  <c r="AJ39" i="4"/>
  <c r="AJ40" i="4"/>
  <c r="AJ41" i="4"/>
  <c r="AJ42" i="4"/>
  <c r="AJ43" i="4"/>
  <c r="AJ44" i="4"/>
  <c r="AJ45" i="4"/>
  <c r="AJ46" i="4"/>
  <c r="AJ47" i="4"/>
  <c r="AJ48" i="4"/>
  <c r="AJ49" i="4"/>
  <c r="AJ50" i="4"/>
  <c r="AJ51" i="4"/>
  <c r="M21" i="18" l="1"/>
  <c r="N10" i="18" s="1"/>
  <c r="R10" i="18" s="1"/>
  <c r="AC45" i="2"/>
  <c r="M29" i="18"/>
  <c r="I27" i="18"/>
  <c r="M27" i="18" s="1"/>
  <c r="N22" i="17"/>
  <c r="N18" i="18"/>
  <c r="R18" i="18" s="1"/>
  <c r="N19" i="18"/>
  <c r="R19" i="18" s="1"/>
  <c r="N14" i="18"/>
  <c r="R14" i="18" s="1"/>
  <c r="N9" i="18"/>
  <c r="R9" i="18" s="1"/>
  <c r="AJ53" i="4"/>
  <c r="AJ52" i="4"/>
  <c r="AJ54" i="4"/>
  <c r="I23" i="4"/>
  <c r="J23" i="4"/>
  <c r="K23" i="4"/>
  <c r="L23" i="4"/>
  <c r="M23" i="4"/>
  <c r="O23" i="4"/>
  <c r="H23" i="4"/>
  <c r="N17" i="18" l="1"/>
  <c r="R17" i="18" s="1"/>
  <c r="N20" i="18"/>
  <c r="R20" i="18" s="1"/>
  <c r="N13" i="18"/>
  <c r="R13" i="18" s="1"/>
  <c r="N12" i="18"/>
  <c r="R12" i="18" s="1"/>
  <c r="N16" i="18"/>
  <c r="R16" i="18" s="1"/>
  <c r="N11" i="18"/>
  <c r="R11" i="18" s="1"/>
  <c r="N8" i="18"/>
  <c r="R8" i="18" s="1"/>
  <c r="N15" i="18"/>
  <c r="R15" i="18" s="1"/>
  <c r="M40" i="18"/>
  <c r="I40" i="18"/>
  <c r="S9" i="18"/>
  <c r="S10" i="18"/>
  <c r="S17" i="18"/>
  <c r="S13" i="18"/>
  <c r="S15" i="18"/>
  <c r="S14" i="18"/>
  <c r="S19" i="18"/>
  <c r="S18" i="18"/>
  <c r="S8" i="18"/>
  <c r="S20" i="18"/>
  <c r="O15" i="18"/>
  <c r="P15" i="18"/>
  <c r="Q15" i="18"/>
  <c r="O9" i="18"/>
  <c r="Q9" i="18"/>
  <c r="P9" i="18"/>
  <c r="P12" i="18"/>
  <c r="Q12" i="18"/>
  <c r="O14" i="18"/>
  <c r="Q14" i="18"/>
  <c r="P14" i="18"/>
  <c r="O19" i="18"/>
  <c r="P19" i="18"/>
  <c r="Q19" i="18"/>
  <c r="Q8" i="18"/>
  <c r="P8" i="18"/>
  <c r="O18" i="18"/>
  <c r="P18" i="18"/>
  <c r="Q18" i="18"/>
  <c r="O20" i="18"/>
  <c r="P20" i="18"/>
  <c r="Q20" i="18"/>
  <c r="P13" i="18"/>
  <c r="Q13" i="18"/>
  <c r="P16" i="18"/>
  <c r="O17" i="18"/>
  <c r="Q17" i="18"/>
  <c r="P17" i="18"/>
  <c r="O10" i="18"/>
  <c r="P10" i="18"/>
  <c r="Q10" i="18"/>
  <c r="O8" i="18"/>
  <c r="U18" i="13"/>
  <c r="U17" i="13"/>
  <c r="U14" i="13"/>
  <c r="U13" i="13"/>
  <c r="U10" i="13"/>
  <c r="U8" i="13"/>
  <c r="Z18" i="13"/>
  <c r="Z17" i="13"/>
  <c r="Z14" i="13"/>
  <c r="Z13" i="13"/>
  <c r="Z10" i="13"/>
  <c r="Z8" i="13"/>
  <c r="K8" i="13"/>
  <c r="P11" i="18" l="1"/>
  <c r="S11" i="18"/>
  <c r="O11" i="18"/>
  <c r="N21" i="18"/>
  <c r="S21" i="18" s="1"/>
  <c r="O12" i="18"/>
  <c r="Q16" i="18"/>
  <c r="S16" i="18"/>
  <c r="O16" i="18"/>
  <c r="O13" i="18"/>
  <c r="S12" i="18"/>
  <c r="Q11" i="18"/>
  <c r="Q21" i="18" s="1"/>
  <c r="N29" i="18"/>
  <c r="S29" i="18" s="1"/>
  <c r="N27" i="18"/>
  <c r="N35" i="18"/>
  <c r="N34" i="18"/>
  <c r="N30" i="18"/>
  <c r="N32" i="18"/>
  <c r="N36" i="18"/>
  <c r="N33" i="18"/>
  <c r="N37" i="18"/>
  <c r="N28" i="18"/>
  <c r="N39" i="18"/>
  <c r="N38" i="18"/>
  <c r="N31" i="18"/>
  <c r="R21" i="18"/>
  <c r="O21" i="18"/>
  <c r="P21" i="18"/>
  <c r="K18" i="13"/>
  <c r="K17" i="13"/>
  <c r="K14" i="13"/>
  <c r="K13" i="13"/>
  <c r="K12" i="13"/>
  <c r="R29" i="18" l="1"/>
  <c r="Q29" i="18"/>
  <c r="O29" i="18"/>
  <c r="P29" i="18"/>
  <c r="R27" i="18"/>
  <c r="S27" i="18"/>
  <c r="N40" i="18"/>
  <c r="S40" i="18" s="1"/>
  <c r="P27" i="18"/>
  <c r="O27" i="18"/>
  <c r="Q27" i="18"/>
  <c r="O33" i="18"/>
  <c r="Q33" i="18"/>
  <c r="R33" i="18"/>
  <c r="S33" i="18"/>
  <c r="P33" i="18"/>
  <c r="R32" i="18"/>
  <c r="S32" i="18"/>
  <c r="P32" i="18"/>
  <c r="O32" i="18"/>
  <c r="Q32" i="18"/>
  <c r="P28" i="18"/>
  <c r="S28" i="18"/>
  <c r="R28" i="18"/>
  <c r="Q28" i="18"/>
  <c r="O28" i="18"/>
  <c r="R30" i="18"/>
  <c r="O30" i="18"/>
  <c r="P30" i="18"/>
  <c r="Q30" i="18"/>
  <c r="S30" i="18"/>
  <c r="S37" i="18"/>
  <c r="R37" i="18"/>
  <c r="Q37" i="18"/>
  <c r="P37" i="18"/>
  <c r="O37" i="18"/>
  <c r="S38" i="18"/>
  <c r="R38" i="18"/>
  <c r="P38" i="18"/>
  <c r="Q38" i="18"/>
  <c r="O38" i="18"/>
  <c r="S34" i="18"/>
  <c r="R34" i="18"/>
  <c r="Q34" i="18"/>
  <c r="P34" i="18"/>
  <c r="O34" i="18"/>
  <c r="S36" i="18"/>
  <c r="R36" i="18"/>
  <c r="Q36" i="18"/>
  <c r="O36" i="18"/>
  <c r="P36" i="18"/>
  <c r="R31" i="18"/>
  <c r="S31" i="18"/>
  <c r="Q31" i="18"/>
  <c r="P31" i="18"/>
  <c r="O31" i="18"/>
  <c r="P39" i="18"/>
  <c r="Q39" i="18"/>
  <c r="O39" i="18"/>
  <c r="R39" i="18"/>
  <c r="S39" i="18"/>
  <c r="O35" i="18"/>
  <c r="R35" i="18"/>
  <c r="S35" i="18"/>
  <c r="P35" i="18"/>
  <c r="Q35" i="18"/>
  <c r="AB24" i="13"/>
  <c r="AC24" i="13" s="1"/>
  <c r="AB23" i="13"/>
  <c r="AC23" i="13" s="1"/>
  <c r="AB22" i="13"/>
  <c r="AC22" i="13" s="1"/>
  <c r="AB21" i="13"/>
  <c r="AC21" i="13" s="1"/>
  <c r="AB20" i="13"/>
  <c r="AC20" i="13" s="1"/>
  <c r="AB19" i="13"/>
  <c r="AC19" i="13" s="1"/>
  <c r="AB18" i="13"/>
  <c r="AC18" i="13" s="1"/>
  <c r="AB17" i="13"/>
  <c r="AC17" i="13" s="1"/>
  <c r="AB16" i="13"/>
  <c r="AC16" i="13" s="1"/>
  <c r="AB15" i="13"/>
  <c r="AC15" i="13" s="1"/>
  <c r="AB14" i="13"/>
  <c r="AC14" i="13" s="1"/>
  <c r="AB13" i="13"/>
  <c r="AC13" i="13" s="1"/>
  <c r="AB12" i="13"/>
  <c r="AC12" i="13" s="1"/>
  <c r="AB11" i="13"/>
  <c r="AC11" i="13" s="1"/>
  <c r="AB10" i="13"/>
  <c r="AC10" i="13" s="1"/>
  <c r="AB9" i="13"/>
  <c r="AC9" i="13" s="1"/>
  <c r="AB8" i="13"/>
  <c r="AC8" i="13" s="1"/>
  <c r="B19" i="9"/>
  <c r="M19" i="9" s="1"/>
  <c r="B18" i="9"/>
  <c r="M18" i="9" s="1"/>
  <c r="B17" i="9"/>
  <c r="M17" i="9" s="1"/>
  <c r="B16" i="9"/>
  <c r="M16" i="9" s="1"/>
  <c r="B15" i="9"/>
  <c r="M15" i="9" s="1"/>
  <c r="B14" i="9"/>
  <c r="M14" i="9" s="1"/>
  <c r="B13" i="9"/>
  <c r="B12" i="9"/>
  <c r="B11" i="9"/>
  <c r="M11" i="9" s="1"/>
  <c r="B10" i="9"/>
  <c r="M10" i="9" s="1"/>
  <c r="B9" i="9"/>
  <c r="B8" i="9"/>
  <c r="B7" i="9"/>
  <c r="B6" i="9"/>
  <c r="M6" i="9" s="1"/>
  <c r="B5" i="9"/>
  <c r="B4" i="9"/>
  <c r="M4" i="9" s="1"/>
  <c r="B3" i="9"/>
  <c r="B19" i="1"/>
  <c r="B18" i="1"/>
  <c r="B17" i="1"/>
  <c r="B16" i="1"/>
  <c r="B15" i="1"/>
  <c r="B14" i="1"/>
  <c r="B13" i="1"/>
  <c r="B12" i="1"/>
  <c r="B11" i="1"/>
  <c r="B10" i="1"/>
  <c r="B9" i="1"/>
  <c r="B8" i="1"/>
  <c r="B7" i="1"/>
  <c r="B6" i="1"/>
  <c r="B5" i="1"/>
  <c r="B4" i="1"/>
  <c r="B3" i="1"/>
  <c r="B20" i="2"/>
  <c r="B19" i="2"/>
  <c r="B18" i="2"/>
  <c r="B17" i="2"/>
  <c r="B16" i="2"/>
  <c r="B15" i="2"/>
  <c r="B14" i="2"/>
  <c r="B13" i="2"/>
  <c r="B12" i="2"/>
  <c r="B11" i="2"/>
  <c r="B10" i="2"/>
  <c r="B9" i="2"/>
  <c r="B8" i="2"/>
  <c r="B6" i="2"/>
  <c r="B5" i="2"/>
  <c r="B4" i="2"/>
  <c r="O40" i="18" l="1"/>
  <c r="R40" i="18"/>
  <c r="Q40" i="18"/>
  <c r="P40" i="18"/>
  <c r="AB25" i="13"/>
  <c r="M8" i="9"/>
  <c r="M12" i="9"/>
  <c r="M9" i="9"/>
  <c r="M13" i="9"/>
  <c r="AC25" i="13"/>
  <c r="M7" i="9"/>
  <c r="M5" i="9"/>
  <c r="M3" i="9"/>
  <c r="N21" i="9" l="1"/>
  <c r="N17" i="9" s="1"/>
  <c r="N22" i="13" s="1"/>
  <c r="N5" i="9"/>
  <c r="N10" i="13" s="1"/>
  <c r="N15" i="9" l="1"/>
  <c r="N20" i="13" s="1"/>
  <c r="N14" i="9"/>
  <c r="N19" i="13" s="1"/>
  <c r="N6" i="9"/>
  <c r="N11" i="13" s="1"/>
  <c r="N16" i="9"/>
  <c r="N21" i="13" s="1"/>
  <c r="N12" i="9"/>
  <c r="N17" i="13" s="1"/>
  <c r="N9" i="9"/>
  <c r="N14" i="13" s="1"/>
  <c r="N13" i="9"/>
  <c r="N18" i="13" s="1"/>
  <c r="N19" i="9"/>
  <c r="N24" i="13" s="1"/>
  <c r="N11" i="9"/>
  <c r="N16" i="13" s="1"/>
  <c r="N10" i="9"/>
  <c r="N15" i="13" s="1"/>
  <c r="N3" i="9"/>
  <c r="N8" i="13" s="1"/>
  <c r="N8" i="9"/>
  <c r="N13" i="13" s="1"/>
  <c r="N4" i="9"/>
  <c r="N9" i="13" s="1"/>
  <c r="N7" i="9"/>
  <c r="N12" i="13" s="1"/>
  <c r="N18" i="9"/>
  <c r="N23" i="13" s="1"/>
  <c r="N20" i="9" l="1"/>
  <c r="N25" i="13"/>
  <c r="J8" i="13" l="1"/>
  <c r="J13" i="13"/>
  <c r="J17" i="13"/>
  <c r="J18" i="13"/>
  <c r="J12" i="13"/>
  <c r="J14" i="13"/>
  <c r="J21" i="13"/>
  <c r="J9" i="13"/>
  <c r="J22" i="13"/>
  <c r="J10" i="13"/>
  <c r="J24" i="13"/>
  <c r="J20" i="13"/>
  <c r="J16" i="13"/>
  <c r="J23" i="13"/>
  <c r="J19" i="13"/>
  <c r="J15" i="13"/>
  <c r="J11" i="13"/>
  <c r="H8" i="13" l="1"/>
  <c r="H14" i="13"/>
  <c r="H12" i="13"/>
  <c r="H13" i="13"/>
  <c r="H18" i="13"/>
  <c r="H17" i="13"/>
  <c r="I8" i="13"/>
  <c r="I18" i="13"/>
  <c r="I12" i="13"/>
  <c r="I13" i="13"/>
  <c r="I17" i="13"/>
  <c r="I14" i="13"/>
  <c r="I21" i="13"/>
  <c r="I9" i="13"/>
  <c r="I24" i="13"/>
  <c r="I20" i="13"/>
  <c r="I16" i="13"/>
  <c r="I23" i="13"/>
  <c r="I19" i="13"/>
  <c r="I15" i="13"/>
  <c r="I11" i="13"/>
  <c r="I22" i="13"/>
  <c r="I10" i="13"/>
  <c r="H23" i="13"/>
  <c r="H19" i="13"/>
  <c r="H15" i="13"/>
  <c r="H11" i="13"/>
  <c r="H24" i="13"/>
  <c r="H9" i="13"/>
  <c r="H22" i="13"/>
  <c r="H10" i="13"/>
  <c r="H20" i="13"/>
  <c r="H21" i="13"/>
  <c r="H16" i="13"/>
  <c r="J25" i="13"/>
  <c r="H25" i="13" l="1"/>
  <c r="I25" i="13"/>
  <c r="G20" i="9" l="1"/>
  <c r="O21" i="9" s="1"/>
  <c r="F20" i="9"/>
  <c r="E20" i="9"/>
  <c r="D20" i="9"/>
  <c r="C20" i="9"/>
  <c r="AA2" i="9"/>
  <c r="Z2" i="9"/>
  <c r="Y2" i="9"/>
  <c r="X2" i="9"/>
  <c r="L21" i="9" s="1"/>
  <c r="L14" i="9" s="1"/>
  <c r="E21" i="2"/>
  <c r="D21" i="2"/>
  <c r="C21" i="2"/>
  <c r="V3" i="2"/>
  <c r="U3" i="2"/>
  <c r="T3" i="2"/>
  <c r="H22" i="2" s="1"/>
  <c r="H18" i="2" s="1"/>
  <c r="M24" i="13"/>
  <c r="C20" i="1"/>
  <c r="C21" i="1" s="1"/>
  <c r="P2" i="1"/>
  <c r="O2" i="1"/>
  <c r="N2" i="1"/>
  <c r="F8" i="1" s="1"/>
  <c r="C22" i="4"/>
  <c r="C21" i="4"/>
  <c r="C20" i="4"/>
  <c r="C19" i="4"/>
  <c r="C18" i="4"/>
  <c r="C17" i="4"/>
  <c r="D16" i="4"/>
  <c r="C16" i="4"/>
  <c r="D15" i="4"/>
  <c r="C15" i="4"/>
  <c r="C14" i="4"/>
  <c r="C13" i="4"/>
  <c r="D12" i="4"/>
  <c r="C12" i="4"/>
  <c r="D11" i="4"/>
  <c r="C11" i="4"/>
  <c r="D10" i="4"/>
  <c r="C10" i="4"/>
  <c r="C9" i="4"/>
  <c r="C8" i="4"/>
  <c r="C7" i="4"/>
  <c r="D24" i="4" s="1"/>
  <c r="D21" i="4" s="1"/>
  <c r="D6" i="4"/>
  <c r="C6" i="4"/>
  <c r="D19" i="6"/>
  <c r="K24" i="13" s="1"/>
  <c r="D18" i="6"/>
  <c r="K23" i="13" s="1"/>
  <c r="D17" i="6"/>
  <c r="K22" i="13" s="1"/>
  <c r="D16" i="6"/>
  <c r="K21" i="13" s="1"/>
  <c r="D15" i="6"/>
  <c r="K20" i="13" s="1"/>
  <c r="D14" i="6"/>
  <c r="K19" i="13" s="1"/>
  <c r="D11" i="6"/>
  <c r="K16" i="13" s="1"/>
  <c r="D10" i="6"/>
  <c r="K15" i="13" s="1"/>
  <c r="D6" i="6"/>
  <c r="K11" i="13" s="1"/>
  <c r="D5" i="6"/>
  <c r="K10" i="13" s="1"/>
  <c r="D4" i="6"/>
  <c r="K9" i="13" s="1"/>
  <c r="D14" i="10"/>
  <c r="D13" i="10"/>
  <c r="D12" i="10"/>
  <c r="D11" i="10"/>
  <c r="D10" i="10"/>
  <c r="D9" i="10"/>
  <c r="D8" i="10"/>
  <c r="D7" i="10"/>
  <c r="D6" i="10"/>
  <c r="D5" i="10"/>
  <c r="D4" i="10"/>
  <c r="M14" i="13" l="1"/>
  <c r="H14" i="2"/>
  <c r="L8" i="9"/>
  <c r="M18" i="13"/>
  <c r="H10" i="2"/>
  <c r="L9" i="9"/>
  <c r="H9" i="2"/>
  <c r="L13" i="9"/>
  <c r="H4" i="2"/>
  <c r="O19" i="9"/>
  <c r="O15" i="9"/>
  <c r="O12" i="9"/>
  <c r="O6" i="9"/>
  <c r="O16" i="9"/>
  <c r="O18" i="9"/>
  <c r="O14" i="9"/>
  <c r="O11" i="9"/>
  <c r="O8" i="9"/>
  <c r="O5" i="9"/>
  <c r="O9" i="9"/>
  <c r="O3" i="9"/>
  <c r="O17" i="9"/>
  <c r="O13" i="9"/>
  <c r="O10" i="9"/>
  <c r="O4" i="9"/>
  <c r="O7" i="9"/>
  <c r="F22" i="2"/>
  <c r="F6" i="2" s="1"/>
  <c r="D15" i="10"/>
  <c r="C14" i="10" s="1"/>
  <c r="G22" i="2"/>
  <c r="G4" i="2" s="1"/>
  <c r="K25" i="13"/>
  <c r="L12" i="9"/>
  <c r="H13" i="2"/>
  <c r="L7" i="9"/>
  <c r="H8" i="2"/>
  <c r="M17" i="13"/>
  <c r="M13" i="13"/>
  <c r="M12" i="13"/>
  <c r="H6" i="2"/>
  <c r="H7" i="2"/>
  <c r="H12" i="2"/>
  <c r="H15" i="2"/>
  <c r="H19" i="2"/>
  <c r="H5" i="2"/>
  <c r="H11" i="2"/>
  <c r="H20" i="2"/>
  <c r="H17" i="2"/>
  <c r="M10" i="13"/>
  <c r="L5" i="9"/>
  <c r="L3" i="9"/>
  <c r="L11" i="9"/>
  <c r="L19" i="9"/>
  <c r="L4" i="9"/>
  <c r="L6" i="9"/>
  <c r="L16" i="9"/>
  <c r="L18" i="9"/>
  <c r="L17" i="9"/>
  <c r="L10" i="9"/>
  <c r="M15" i="13"/>
  <c r="M16" i="13"/>
  <c r="M19" i="13"/>
  <c r="M20" i="13"/>
  <c r="M21" i="13"/>
  <c r="M22" i="13"/>
  <c r="M23" i="13"/>
  <c r="M8" i="13"/>
  <c r="M9" i="13"/>
  <c r="M11" i="13"/>
  <c r="H16" i="2"/>
  <c r="C23" i="4"/>
  <c r="D8" i="4"/>
  <c r="D14" i="4"/>
  <c r="D18" i="4"/>
  <c r="D20" i="4"/>
  <c r="D22" i="4"/>
  <c r="D7" i="4"/>
  <c r="D9" i="4"/>
  <c r="D13" i="4"/>
  <c r="D17" i="4"/>
  <c r="D19" i="4"/>
  <c r="C8" i="10" l="1"/>
  <c r="L10" i="13"/>
  <c r="F4" i="2"/>
  <c r="G19" i="2"/>
  <c r="F12" i="2"/>
  <c r="G20" i="2"/>
  <c r="G8" i="2"/>
  <c r="F17" i="2"/>
  <c r="G18" i="2"/>
  <c r="G16" i="2"/>
  <c r="G9" i="2"/>
  <c r="F8" i="2"/>
  <c r="F20" i="2"/>
  <c r="F10" i="2"/>
  <c r="F14" i="2"/>
  <c r="F9" i="2"/>
  <c r="G15" i="2"/>
  <c r="G13" i="2"/>
  <c r="G5" i="2"/>
  <c r="G12" i="2"/>
  <c r="G11" i="2"/>
  <c r="F13" i="2"/>
  <c r="G17" i="2"/>
  <c r="G14" i="2"/>
  <c r="G10" i="2"/>
  <c r="G6" i="2"/>
  <c r="F19" i="2"/>
  <c r="F18" i="2"/>
  <c r="C4" i="10"/>
  <c r="O20" i="9"/>
  <c r="C6" i="10"/>
  <c r="F15" i="2"/>
  <c r="F11" i="2"/>
  <c r="F16" i="2"/>
  <c r="F5" i="2"/>
  <c r="K22" i="2" s="1"/>
  <c r="F7" i="2"/>
  <c r="G7" i="2"/>
  <c r="C11" i="10"/>
  <c r="C5" i="10"/>
  <c r="C13" i="10"/>
  <c r="C9" i="10"/>
  <c r="C7" i="10"/>
  <c r="C12" i="10"/>
  <c r="C10" i="10"/>
  <c r="H21" i="2"/>
  <c r="L20" i="9"/>
  <c r="M25" i="13"/>
  <c r="D23" i="4"/>
  <c r="E10" i="13" l="1"/>
  <c r="G10" i="13"/>
  <c r="L13" i="13"/>
  <c r="L12" i="13"/>
  <c r="L18" i="13"/>
  <c r="L17" i="13"/>
  <c r="L14" i="13"/>
  <c r="L8" i="13"/>
  <c r="L23" i="13"/>
  <c r="L20" i="13"/>
  <c r="L9" i="13"/>
  <c r="L15" i="13"/>
  <c r="G15" i="13" s="1"/>
  <c r="L24" i="13"/>
  <c r="L16" i="13"/>
  <c r="L11" i="13"/>
  <c r="L19" i="13"/>
  <c r="L22" i="13"/>
  <c r="L21" i="13"/>
  <c r="G21" i="2"/>
  <c r="F21" i="2"/>
  <c r="C15" i="10"/>
  <c r="E8" i="13" l="1"/>
  <c r="G8" i="13"/>
  <c r="E12" i="13"/>
  <c r="G12" i="13"/>
  <c r="E14" i="13"/>
  <c r="G14" i="13"/>
  <c r="E13" i="13"/>
  <c r="G13" i="13"/>
  <c r="E17" i="13"/>
  <c r="G17" i="13"/>
  <c r="E18" i="13"/>
  <c r="G18" i="13"/>
  <c r="E16" i="13"/>
  <c r="G16" i="13"/>
  <c r="E20" i="13"/>
  <c r="G20" i="13"/>
  <c r="E22" i="13"/>
  <c r="G22" i="13"/>
  <c r="E23" i="13"/>
  <c r="G23" i="13"/>
  <c r="E21" i="13"/>
  <c r="G21" i="13"/>
  <c r="E24" i="13"/>
  <c r="G24" i="13"/>
  <c r="E19" i="13"/>
  <c r="G19" i="13"/>
  <c r="E11" i="13"/>
  <c r="G11" i="13"/>
  <c r="E9" i="13"/>
  <c r="G9" i="13"/>
  <c r="L25" i="13"/>
  <c r="E15" i="13"/>
  <c r="G25" i="13" l="1"/>
  <c r="F14" i="13" s="1"/>
  <c r="E25" i="13"/>
  <c r="D8" i="13" s="1"/>
  <c r="AD8" i="13" s="1"/>
  <c r="T8" i="13"/>
  <c r="F24" i="13" l="1"/>
  <c r="F11" i="13"/>
  <c r="F19" i="13"/>
  <c r="F20" i="13"/>
  <c r="F16" i="13"/>
  <c r="Y20" i="13"/>
  <c r="Y19" i="13"/>
  <c r="Y11" i="13"/>
  <c r="Y16" i="13"/>
  <c r="Y14" i="13"/>
  <c r="F9" i="13"/>
  <c r="D20" i="13"/>
  <c r="D15" i="13"/>
  <c r="D18" i="13"/>
  <c r="D11" i="13"/>
  <c r="D16" i="13"/>
  <c r="D24" i="13"/>
  <c r="D13" i="13"/>
  <c r="D21" i="13"/>
  <c r="D22" i="13"/>
  <c r="D23" i="13"/>
  <c r="D14" i="13"/>
  <c r="F18" i="13"/>
  <c r="D10" i="13"/>
  <c r="AD10" i="13" s="1"/>
  <c r="D19" i="13"/>
  <c r="D9" i="13"/>
  <c r="D17" i="13"/>
  <c r="D12" i="13"/>
  <c r="F15" i="13"/>
  <c r="F10" i="13"/>
  <c r="F17" i="13"/>
  <c r="F12" i="13"/>
  <c r="F21" i="13"/>
  <c r="F8" i="13"/>
  <c r="F13" i="13"/>
  <c r="F22" i="13"/>
  <c r="F23" i="13"/>
  <c r="T22" i="13"/>
  <c r="T23" i="13"/>
  <c r="AD14" i="13"/>
  <c r="T14" i="13"/>
  <c r="T19" i="13"/>
  <c r="AD17" i="13"/>
  <c r="T17" i="13"/>
  <c r="T12" i="13"/>
  <c r="T10" i="13"/>
  <c r="AD18" i="13"/>
  <c r="T18" i="13"/>
  <c r="T21" i="13"/>
  <c r="T20" i="13"/>
  <c r="T15" i="13"/>
  <c r="T11" i="13"/>
  <c r="T16" i="13"/>
  <c r="T24" i="13"/>
  <c r="AD13" i="13"/>
  <c r="T13" i="13"/>
  <c r="AD12" i="13" l="1"/>
  <c r="AD21" i="13"/>
  <c r="AD11" i="13"/>
  <c r="AD16" i="13"/>
  <c r="AD9" i="13"/>
  <c r="AD22" i="13"/>
  <c r="AD20" i="13"/>
  <c r="AD19" i="13"/>
  <c r="AD23" i="13"/>
  <c r="AD24" i="13"/>
  <c r="AD15" i="13"/>
  <c r="Y24" i="13"/>
  <c r="Y22" i="13"/>
  <c r="Y13" i="13"/>
  <c r="Y17" i="13"/>
  <c r="Y18" i="13"/>
  <c r="Y9" i="13"/>
  <c r="X25" i="13"/>
  <c r="Y12" i="13"/>
  <c r="Y23" i="13"/>
  <c r="Y21" i="13"/>
  <c r="Y15" i="13"/>
  <c r="Y8" i="13"/>
  <c r="D25" i="13"/>
  <c r="F25" i="13"/>
  <c r="S25" i="13"/>
  <c r="T9" i="13"/>
  <c r="T25" i="13" s="1"/>
  <c r="U12" i="13" s="1"/>
  <c r="U15" i="13" l="1"/>
  <c r="U11" i="13"/>
  <c r="U9" i="13"/>
  <c r="U20" i="13"/>
  <c r="U23" i="13"/>
  <c r="AD25" i="13"/>
  <c r="U24" i="13"/>
  <c r="U19" i="13"/>
  <c r="U22" i="13"/>
  <c r="U16" i="13"/>
  <c r="U21" i="13"/>
  <c r="Y10" i="13"/>
  <c r="Y25" i="13" s="1"/>
  <c r="U25" i="13" l="1"/>
  <c r="Z20" i="13"/>
  <c r="Z23" i="13"/>
  <c r="Z9" i="13"/>
  <c r="Z21" i="13"/>
  <c r="Z24" i="13"/>
  <c r="Z12" i="13"/>
  <c r="Z19" i="13"/>
  <c r="Z11" i="13"/>
  <c r="Z15" i="13"/>
  <c r="Z22" i="13"/>
  <c r="Z16" i="13"/>
  <c r="Z25" i="13"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Joyce Samuelu Ah Leong</author>
  </authors>
  <commentList>
    <comment ref="J26" authorId="0" shapeId="0" xr:uid="{00000000-0006-0000-0000-000001000000}">
      <text>
        <r>
          <rPr>
            <b/>
            <sz val="9"/>
            <color indexed="81"/>
            <rFont val="Tahoma"/>
            <family val="2"/>
          </rPr>
          <t>Joyce Samuelu Ah Leong:</t>
        </r>
        <r>
          <rPr>
            <sz val="9"/>
            <color indexed="81"/>
            <rFont val="Tahoma"/>
            <family val="2"/>
          </rPr>
          <t xml:space="preserve">
Waiting on SPC for update figures if possible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Tim Adams FFA</author>
  </authors>
  <commentList>
    <comment ref="S24" authorId="0" shapeId="0" xr:uid="{00000000-0006-0000-0D00-000001000000}">
      <text>
        <r>
          <rPr>
            <b/>
            <sz val="9"/>
            <color indexed="81"/>
            <rFont val="Tahoma"/>
            <family val="2"/>
          </rPr>
          <t>Tim Adams FFA:</t>
        </r>
        <r>
          <rPr>
            <sz val="9"/>
            <color indexed="81"/>
            <rFont val="Tahoma"/>
            <family val="2"/>
          </rPr>
          <t xml:space="preserve">
To recalculate after option change in NORMBEST, put "=D24*$T$5" into this cell, copy to rest of column with C8:C24 all set to "CMA". Then copy column and paste special as values back into same column.</t>
        </r>
      </text>
    </comment>
    <comment ref="X24" authorId="0" shapeId="0" xr:uid="{00000000-0006-0000-0D00-000002000000}">
      <text>
        <r>
          <rPr>
            <b/>
            <sz val="9"/>
            <color indexed="81"/>
            <rFont val="Tahoma"/>
            <family val="2"/>
          </rPr>
          <t>Tim Adams FFA:</t>
        </r>
        <r>
          <rPr>
            <sz val="9"/>
            <color indexed="81"/>
            <rFont val="Tahoma"/>
            <family val="2"/>
          </rPr>
          <t xml:space="preserve">
To recalculate after option change in NORMBEST, put "=F24*$X$5" into this cell, copy to rest of column with C8:C24 all set to "CMA". Then copy column and paste special as values back into same column.</t>
        </r>
      </text>
    </comment>
  </commentList>
</comments>
</file>

<file path=xl/sharedStrings.xml><?xml version="1.0" encoding="utf-8"?>
<sst xmlns="http://schemas.openxmlformats.org/spreadsheetml/2006/main" count="894" uniqueCount="296">
  <si>
    <t>% Total</t>
  </si>
  <si>
    <t>AU</t>
  </si>
  <si>
    <t>CK</t>
  </si>
  <si>
    <t>FJ</t>
  </si>
  <si>
    <t>NU</t>
  </si>
  <si>
    <t>NZ</t>
  </si>
  <si>
    <t>PG</t>
  </si>
  <si>
    <t>SB</t>
  </si>
  <si>
    <t>TK</t>
  </si>
  <si>
    <t>TO</t>
  </si>
  <si>
    <t>TV</t>
  </si>
  <si>
    <t>VU</t>
  </si>
  <si>
    <t>WS</t>
  </si>
  <si>
    <t>KI</t>
  </si>
  <si>
    <t>AS</t>
  </si>
  <si>
    <t>PF</t>
  </si>
  <si>
    <t>NC</t>
  </si>
  <si>
    <t>Notes</t>
  </si>
  <si>
    <t>*Area of marine jurisdiction within the 2015 SPA Stock Assessment model Area</t>
  </si>
  <si>
    <t>TKA</t>
  </si>
  <si>
    <t>CMA</t>
  </si>
  <si>
    <t>Zone</t>
  </si>
  <si>
    <t>Group</t>
  </si>
  <si>
    <t>Area_km2</t>
  </si>
  <si>
    <t>*</t>
  </si>
  <si>
    <t>FFA</t>
  </si>
  <si>
    <t>NONFFA</t>
  </si>
  <si>
    <t>TOTAL</t>
  </si>
  <si>
    <t>TOTALAREA</t>
  </si>
  <si>
    <t>**</t>
  </si>
  <si>
    <t>** Use only CMA TKA FFA or NONFFA in Column B otherwise formulas don't work</t>
  </si>
  <si>
    <t>VU***</t>
  </si>
  <si>
    <t>Criteria for data selection - do not change</t>
  </si>
  <si>
    <t>SB0</t>
  </si>
  <si>
    <t>TOTB</t>
  </si>
  <si>
    <t>ZONE</t>
  </si>
  <si>
    <t>American Samoa</t>
  </si>
  <si>
    <t>Australia</t>
  </si>
  <si>
    <t>Cook Islands</t>
  </si>
  <si>
    <t>Fiji</t>
  </si>
  <si>
    <t>New Caledonia</t>
  </si>
  <si>
    <t>Niue</t>
  </si>
  <si>
    <t>New Zealand</t>
  </si>
  <si>
    <t>French Polynesia</t>
  </si>
  <si>
    <t>Solomon Islands</t>
  </si>
  <si>
    <t>Tokelau</t>
  </si>
  <si>
    <t>Tonga</t>
  </si>
  <si>
    <t>Tuvalu</t>
  </si>
  <si>
    <t>Vanuatu</t>
  </si>
  <si>
    <t>Samoa</t>
  </si>
  <si>
    <t>TOTALBIOMASS</t>
  </si>
  <si>
    <t>CMA_SB</t>
  </si>
  <si>
    <t>CMA_B0</t>
  </si>
  <si>
    <t>CMA_TOTB</t>
  </si>
  <si>
    <t>Biomass estimated from latest year (2013)</t>
  </si>
  <si>
    <t>in latest SPC MFCL stock assessment</t>
  </si>
  <si>
    <t>The area of each jurisdiction (EEZ+TS+AW)</t>
  </si>
  <si>
    <t>falling into each MFCL model region was</t>
  </si>
  <si>
    <t>calculated, and the biomass in each model</t>
  </si>
  <si>
    <t>the relative area of each jurisdiction in that region</t>
  </si>
  <si>
    <t>NOTE</t>
  </si>
  <si>
    <t>EEZ/High Seas</t>
  </si>
  <si>
    <t>High Seas</t>
  </si>
  <si>
    <t>Kiribati</t>
  </si>
  <si>
    <t>NA</t>
  </si>
  <si>
    <t>Papua New Guinea</t>
  </si>
  <si>
    <t>Western Samoa</t>
  </si>
  <si>
    <t>Total</t>
  </si>
  <si>
    <t xml:space="preserve">Zone </t>
  </si>
  <si>
    <t>HS</t>
  </si>
  <si>
    <t>TOTAL TKA</t>
  </si>
  <si>
    <t>% of TKA</t>
  </si>
  <si>
    <t>High Seas*</t>
  </si>
  <si>
    <t xml:space="preserve">Note: </t>
  </si>
  <si>
    <t>* High Seas in the Convention Area south of the Equator</t>
  </si>
  <si>
    <t>ZN</t>
  </si>
  <si>
    <t>TROLL FISHERY: ANNUAL SOUTH PACIFIC ALBACORE TROLL CATCH ESTIMATES BY EEZ AND HIGH SEAS</t>
  </si>
  <si>
    <t>LONGLINE FISHERY: ANNUAL SOUTH PACIFIC ALBACORE LONGLINE CATCH ESTIMATES BY EEZ AND HIGH SEAS</t>
  </si>
  <si>
    <t>Dataset</t>
  </si>
  <si>
    <t>Tokelau Arrangement Limits</t>
  </si>
  <si>
    <t>Biomass (MFCL)</t>
  </si>
  <si>
    <t>Biomass (SEAPODYM)</t>
  </si>
  <si>
    <t>Effort (Hooks)</t>
  </si>
  <si>
    <t>Pros</t>
  </si>
  <si>
    <t>Cons</t>
  </si>
  <si>
    <t>Methodology and result already agreed</t>
  </si>
  <si>
    <t>Total is approx twice as much as latest total actual catch in these zones, although overfishing against TRP is already occurring</t>
  </si>
  <si>
    <t>Historical Catch</t>
  </si>
  <si>
    <t>Fine-grained enough to provide EEZ estimates. Fisheries-data-independent</t>
  </si>
  <si>
    <t>Effort (LL VMS days)</t>
  </si>
  <si>
    <t>Effort (logsheet days)</t>
  </si>
  <si>
    <t>*** High Seas in the Convention Area south of the Equator</t>
  </si>
  <si>
    <t>HS***</t>
  </si>
  <si>
    <t>Mixes tropical longline, southern longlining and trolling (in case of NZ data)</t>
  </si>
  <si>
    <t>% of EEZ</t>
  </si>
  <si>
    <t>complex</t>
  </si>
  <si>
    <t>LL VMS DAYS IN ZONE WITHIN ALB MODEL AREA</t>
  </si>
  <si>
    <t>in Area</t>
  </si>
  <si>
    <t>CMA %</t>
  </si>
  <si>
    <t>2015</t>
  </si>
  <si>
    <t>2014</t>
  </si>
  <si>
    <t>2011</t>
  </si>
  <si>
    <t>2012</t>
  </si>
  <si>
    <t>2013</t>
  </si>
  <si>
    <t>ALL %</t>
  </si>
  <si>
    <t>TKA limit</t>
  </si>
  <si>
    <t>Options that were discussed at TKA4 in October 2016, taking various catch histories,</t>
  </si>
  <si>
    <t>choosing the best for each Participant, then scaling them back to total 100% of TAC</t>
  </si>
  <si>
    <t>Best choice for each EEZ from options on right</t>
  </si>
  <si>
    <t>Average of best 2 catches of last 3 years</t>
  </si>
  <si>
    <t>Average of best 3 catches of last 10 years</t>
  </si>
  <si>
    <t>Average of best 5 catches of last 15 years</t>
  </si>
  <si>
    <t>TKA ZONE</t>
  </si>
  <si>
    <t>"NORMALIZED BEST CHOICE SHARES" for each EEZ based on best catch histories</t>
  </si>
  <si>
    <t xml:space="preserve">TKA EEZ catch limit </t>
  </si>
  <si>
    <t xml:space="preserve">region was apportioned according to to </t>
  </si>
  <si>
    <t>CATCH MT LL+TROLL</t>
  </si>
  <si>
    <t>Total for group -&gt;</t>
  </si>
  <si>
    <t>(Raised) Effort - 100's of Hooks</t>
  </si>
  <si>
    <t>Note NZ mainly troll data</t>
  </si>
  <si>
    <t>Relatively impartial</t>
  </si>
  <si>
    <t>Not necessarily related to catch of albacore, since targeting cannot be estimated from VMS data. If targeting tropical tuna then overestimates degree of albacore fishing. Doesn't include NZ troll days at sea &amp; no AU data available. Includes transit days as well as fishing days, which may be significant for some zones</t>
  </si>
  <si>
    <t>Relatively accurately measured, since VMS aboard longliners became widespread in WCPFC region.</t>
  </si>
  <si>
    <t>GROUP</t>
  </si>
  <si>
    <t>OPT1</t>
  </si>
  <si>
    <t>OPT2</t>
  </si>
  <si>
    <t>OPT3</t>
  </si>
  <si>
    <t>CALCULATIONS FOR NORMBEST ON COMPILATION SHEET</t>
  </si>
  <si>
    <t>OPT4</t>
  </si>
  <si>
    <t>NORMBEST</t>
  </si>
  <si>
    <t>BEST</t>
  </si>
  <si>
    <t>CMATOTAL</t>
  </si>
  <si>
    <t>OPT5</t>
  </si>
  <si>
    <t>Biomass (2013 SB) MFCL</t>
  </si>
  <si>
    <t>Average of best 2 catches 2013-15</t>
  </si>
  <si>
    <t>Average of best 3 catches 2006-15</t>
  </si>
  <si>
    <t>Average of best 5 catches 2001-15</t>
  </si>
  <si>
    <t>Zone area</t>
  </si>
  <si>
    <t>OPT6</t>
  </si>
  <si>
    <t>AVG</t>
  </si>
  <si>
    <t>2011-15</t>
  </si>
  <si>
    <t>CMA%</t>
  </si>
  <si>
    <t>Avg Effort VMS days 2011-15</t>
  </si>
  <si>
    <t>OPT7</t>
  </si>
  <si>
    <t>Initial "deposit" of biomass - factored by above</t>
  </si>
  <si>
    <t>CMA accumulated biomass deposit</t>
  </si>
  <si>
    <t>"NORMALISED BEST CHOICE SHARES" for each EEZ based on best option</t>
  </si>
  <si>
    <t xml:space="preserve">suggestion 1: NORMBEST share </t>
  </si>
  <si>
    <t>Initial PACA as NORMBEST % of total CMA deposit (MT)</t>
  </si>
  <si>
    <t>OPTIONS</t>
  </si>
  <si>
    <t>REGPACA</t>
  </si>
  <si>
    <t>BIOMASS</t>
  </si>
  <si>
    <t>CMABIO</t>
  </si>
  <si>
    <t>CMAPACA2</t>
  </si>
  <si>
    <t>CMAPACA1</t>
  </si>
  <si>
    <t>NORMBEST share of Regional TAC above for CMA only (MT)</t>
  </si>
  <si>
    <t>Note that with each new addition to the CMA, the TAC increases</t>
  </si>
  <si>
    <t>Illustration of how CMA shares might possibly be converted to zone catch allocations</t>
  </si>
  <si>
    <t>THIS COLUMN NEEDS TO BE RECALCULATED IF ZONE BEST OPTIONS CHANGE</t>
  </si>
  <si>
    <t>Add "CMA" to this column to include in calc</t>
  </si>
  <si>
    <t xml:space="preserve">Options that might be included in calculation of initial Zone catch shares </t>
  </si>
  <si>
    <t>Best choice from the  options included (right)-&gt;</t>
  </si>
  <si>
    <t>X</t>
  </si>
  <si>
    <r>
      <t xml:space="preserve">of a Total Regional </t>
    </r>
    <r>
      <rPr>
        <b/>
        <sz val="11"/>
        <color theme="1"/>
        <rFont val="Calibri"/>
        <family val="2"/>
        <scheme val="minor"/>
      </rPr>
      <t>TAC</t>
    </r>
  </si>
  <si>
    <r>
      <t xml:space="preserve">"deposits" of % </t>
    </r>
    <r>
      <rPr>
        <b/>
        <sz val="11"/>
        <color theme="1"/>
        <rFont val="Calibri"/>
        <family val="2"/>
        <scheme val="minor"/>
      </rPr>
      <t xml:space="preserve">spawning biomass </t>
    </r>
    <r>
      <rPr>
        <sz val="11"/>
        <color theme="1"/>
        <rFont val="Calibri"/>
        <family val="2"/>
        <scheme val="minor"/>
      </rPr>
      <t>in zone</t>
    </r>
  </si>
  <si>
    <t>Cells formatted like this can be altered</t>
  </si>
  <si>
    <t>Mark the options to be included with an X-&gt;</t>
  </si>
  <si>
    <r>
      <t xml:space="preserve">Not yet established as a credible stock assessment methodology for management. Use of different environmental forcing data produces very different estimates for same areas. Seems to be more unreliable at edges of range. </t>
    </r>
    <r>
      <rPr>
        <b/>
        <sz val="11"/>
        <color theme="1"/>
        <rFont val="Calibri"/>
        <family val="2"/>
        <scheme val="minor"/>
      </rPr>
      <t>Ruled out</t>
    </r>
    <r>
      <rPr>
        <sz val="11"/>
        <color theme="1"/>
        <rFont val="Calibri"/>
        <family val="2"/>
        <scheme val="minor"/>
      </rPr>
      <t>.</t>
    </r>
  </si>
  <si>
    <t xml:space="preserve">Catch estimates are not always very accurate - raised against incomplete logsheets, and most logsheets not verified by observers or port monitoring. especially in earlier years. Annual Catch Estimates may change of additional catch or raising factor data becomes available. </t>
  </si>
  <si>
    <t>Directly aligned with CMA allocation metric (tonnes catch), and if ACE then aligned with WCPFC reporting.</t>
  </si>
  <si>
    <t>2015 model regions much broader than individual zones, so EEZ estimates are fuzzy. Fishery-data-dependent since very little tagging data available for ALB. May be more reflective of "cryptic" biomass unavailable to longline fisheries than actual fishery potential, but probably less bias if only adult biomass is used, rather than total.</t>
  </si>
  <si>
    <t>Can possibly be scaled according to catch composition, with lower weighting for vessels where albacore is not obvious target that day</t>
  </si>
  <si>
    <t>Longline VDS limits</t>
  </si>
  <si>
    <t>Result already agreed for VDS participants (SB, TK, TV)</t>
  </si>
  <si>
    <t>Total is much greater than latest total actual effort in LL VDS zones, although overfishing is occurring. Not clear how compatible limits might be calculated for non-VDS Participants</t>
  </si>
  <si>
    <t>Longline data can possibly be scaled according to hook depth proxy to help take account of targeting</t>
  </si>
  <si>
    <t xml:space="preserve">Mixes tropical longline, southern longlining (and trolling in case of NZ data). </t>
  </si>
  <si>
    <t>(proportion of biomass deposited)</t>
  </si>
  <si>
    <t>RegionalTAC</t>
  </si>
  <si>
    <t>CMA TAC</t>
  </si>
  <si>
    <t>Regional TAC</t>
  </si>
  <si>
    <t>NORMEAN</t>
  </si>
  <si>
    <t>GMEAN</t>
  </si>
  <si>
    <t>NORM-ALISED Geometric mean of included EEZ options</t>
  </si>
  <si>
    <t>Geo-metric mean of options included (right)-&gt;</t>
  </si>
  <si>
    <t xml:space="preserve">Note: TKA limit option must not be chosen if Geometric mean is to be used, and if </t>
  </si>
  <si>
    <t>non-TKA zones included because of zero values for non-TKA participants</t>
  </si>
  <si>
    <t>CMAGM</t>
  </si>
  <si>
    <t>GEOMEAN share of Regional TAC above for CMA only (MT)</t>
  </si>
  <si>
    <t>NORMAL-ISED GEOMEAN share of TAC above, if all EZs were in CMA</t>
  </si>
  <si>
    <t>NORMBEST share of TAC above, if all EZs were in CMA</t>
  </si>
  <si>
    <t xml:space="preserve">suggestion 2: NORMMEAN share </t>
  </si>
  <si>
    <t>CMANBEST</t>
  </si>
  <si>
    <t>CMAPACA3</t>
  </si>
  <si>
    <t>suggestion 3: NORMBEST share of total</t>
  </si>
  <si>
    <t>NORMAL-ISED GEOMEAN share of TAC for CMA zones</t>
  </si>
  <si>
    <t>NORMAL-ISED BEST share of TAC for CMA zones</t>
  </si>
  <si>
    <r>
      <t>F</t>
    </r>
    <r>
      <rPr>
        <i/>
        <sz val="11"/>
        <color theme="1"/>
        <rFont val="Calibri"/>
        <family val="2"/>
        <scheme val="minor"/>
      </rPr>
      <t>recent</t>
    </r>
    <r>
      <rPr>
        <sz val="11"/>
        <color theme="1"/>
        <rFont val="Calibri"/>
        <family val="2"/>
        <scheme val="minor"/>
      </rPr>
      <t>/FMSY</t>
    </r>
  </si>
  <si>
    <t>SBF=o</t>
  </si>
  <si>
    <t>SBMSY</t>
  </si>
  <si>
    <r>
      <t>SB</t>
    </r>
    <r>
      <rPr>
        <i/>
        <sz val="11"/>
        <color theme="1"/>
        <rFont val="Calibri"/>
        <family val="2"/>
        <scheme val="minor"/>
      </rPr>
      <t>recent</t>
    </r>
    <r>
      <rPr>
        <sz val="11"/>
        <color theme="1"/>
        <rFont val="Calibri"/>
        <family val="2"/>
        <scheme val="minor"/>
      </rPr>
      <t>/SBMSY</t>
    </r>
  </si>
  <si>
    <r>
      <t>SB</t>
    </r>
    <r>
      <rPr>
        <i/>
        <sz val="11"/>
        <color theme="1"/>
        <rFont val="Calibri"/>
        <family val="2"/>
        <scheme val="minor"/>
      </rPr>
      <t>recent</t>
    </r>
    <r>
      <rPr>
        <sz val="11"/>
        <color theme="1"/>
        <rFont val="Calibri"/>
        <family val="2"/>
        <scheme val="minor"/>
      </rPr>
      <t>/SBF=0</t>
    </r>
  </si>
  <si>
    <r>
      <t>SB</t>
    </r>
    <r>
      <rPr>
        <i/>
        <sz val="11"/>
        <color theme="1"/>
        <rFont val="Calibri"/>
        <family val="2"/>
        <scheme val="minor"/>
      </rPr>
      <t>latest</t>
    </r>
    <r>
      <rPr>
        <sz val="11"/>
        <color theme="1"/>
        <rFont val="Calibri"/>
        <family val="2"/>
        <scheme val="minor"/>
      </rPr>
      <t>/SBF=0</t>
    </r>
  </si>
  <si>
    <t>MSY (mt)</t>
  </si>
  <si>
    <t>90th Percentile</t>
  </si>
  <si>
    <t xml:space="preserve">Grid Median </t>
  </si>
  <si>
    <t>10th Percentile</t>
  </si>
  <si>
    <t>Management Quantity</t>
  </si>
  <si>
    <t>2018 Stock Assessment</t>
  </si>
  <si>
    <t>;</t>
  </si>
  <si>
    <t>Av. 2014-2016 catches</t>
  </si>
  <si>
    <t xml:space="preserve">                                                                                                                                                                                                                                                                                                                                                                                                    </t>
  </si>
  <si>
    <t>Data from WCPFC-SC117-2021/SA-IP-04</t>
  </si>
  <si>
    <t>Av. Highest 3 annual catches from 2010-2020</t>
  </si>
  <si>
    <t>Av. Of the highest 5 annual catches from  2005-2020</t>
  </si>
  <si>
    <t>Interim TKA Limits</t>
  </si>
  <si>
    <t>Estimated Biomass in EEZ</t>
  </si>
  <si>
    <t>Index of fisheries dependency</t>
  </si>
  <si>
    <t>-</t>
  </si>
  <si>
    <t>2021 Stock Assessment</t>
  </si>
  <si>
    <t>Note: We've added a total of 2500t (minimum limit agreed for the TKA limits), for consistency.</t>
  </si>
  <si>
    <t>Insert a weighting for each option (they will be normalised to add up to 100% in the NORSUM calculation)</t>
  </si>
  <si>
    <t>WEIGHT-&gt;</t>
  </si>
  <si>
    <t>Weighted Sum</t>
  </si>
  <si>
    <t>Catch Limits based on Potential TAC</t>
  </si>
  <si>
    <t>WEIGHTED SUM</t>
  </si>
  <si>
    <t>Spawning (adult) biomass</t>
  </si>
  <si>
    <t>Unfished spawning biomass</t>
  </si>
  <si>
    <t>Total (adults + juveniles) biomass</t>
  </si>
  <si>
    <t>Area</t>
  </si>
  <si>
    <t>km^2</t>
  </si>
  <si>
    <t>metric tonnes</t>
  </si>
  <si>
    <t>SBF=0</t>
  </si>
  <si>
    <t>B</t>
  </si>
  <si>
    <t>Reg 1</t>
  </si>
  <si>
    <t>Reg 2</t>
  </si>
  <si>
    <t>Reg 3</t>
  </si>
  <si>
    <t>Reg 4</t>
  </si>
  <si>
    <t>SUM</t>
  </si>
  <si>
    <t>Chile</t>
  </si>
  <si>
    <t>Easter Island</t>
  </si>
  <si>
    <t>Ecuador</t>
  </si>
  <si>
    <t>Galapagos</t>
  </si>
  <si>
    <t>Gilbert Islands</t>
  </si>
  <si>
    <t>Howland and Baker islands</t>
  </si>
  <si>
    <t>Indonesia</t>
  </si>
  <si>
    <t>Islas San Felix and San Ambrosio</t>
  </si>
  <si>
    <t>Jarvis Island</t>
  </si>
  <si>
    <t>Line Group</t>
  </si>
  <si>
    <t>Micronesia (FSM)</t>
  </si>
  <si>
    <t>Nauru</t>
  </si>
  <si>
    <t>Norfolk Island</t>
  </si>
  <si>
    <t>Peru</t>
  </si>
  <si>
    <t>Phoenix Group</t>
  </si>
  <si>
    <t>Pitcairn</t>
  </si>
  <si>
    <t>Wallis and Futuna</t>
  </si>
  <si>
    <t>SB SUM</t>
  </si>
  <si>
    <t>SB0 SUM</t>
  </si>
  <si>
    <t>FFA EEZs</t>
  </si>
  <si>
    <t>Other EEZs</t>
  </si>
  <si>
    <t>FFA EEZs Catches 2020</t>
  </si>
  <si>
    <t>FFA EEZs Catches  2019</t>
  </si>
  <si>
    <t>New Zealand T&amp;LL</t>
  </si>
  <si>
    <t>NZ  (T&amp;LL)</t>
  </si>
  <si>
    <t>*NZ</t>
  </si>
  <si>
    <t>*NZ is the total of Troll and LL Catches.</t>
  </si>
  <si>
    <t>Av. Highest 3 annual catches from 2010-2019</t>
  </si>
  <si>
    <t>Av. Of the highest 5 annual catches from  2005-2019</t>
  </si>
  <si>
    <t>Av. Highest 5 annual catches from  2005-2019</t>
  </si>
  <si>
    <t xml:space="preserve">Av. Highest 3 annual catches from 2010-2019 </t>
  </si>
  <si>
    <t>NZ*</t>
  </si>
  <si>
    <t>* - NZ T&amp;LL catches</t>
  </si>
  <si>
    <t>SB0S</t>
  </si>
  <si>
    <t xml:space="preserve">TOTAL </t>
  </si>
  <si>
    <t xml:space="preserve"> SB %</t>
  </si>
  <si>
    <t>SB0%</t>
  </si>
  <si>
    <t>TOTAL %</t>
  </si>
  <si>
    <t>OPT9</t>
  </si>
  <si>
    <t>OPT8</t>
  </si>
  <si>
    <t>Contribution of Fisheries to GDP</t>
  </si>
  <si>
    <t>Foreign LL access as % govt revenue</t>
  </si>
  <si>
    <t xml:space="preserve">Index of fisheries depend-ency </t>
  </si>
  <si>
    <t>Effort LL VMS days Avg 2011-15</t>
  </si>
  <si>
    <t>Zone area within ALB model area</t>
  </si>
  <si>
    <t>AVG best 5 catches of last 15 years</t>
  </si>
  <si>
    <t>AVG best 3 catches of last 10 years</t>
  </si>
  <si>
    <t>AVG best 2 catches of last 3 years</t>
  </si>
  <si>
    <t>Best catch 2006-15</t>
  </si>
  <si>
    <t>Dependency factors for OPTION 9</t>
  </si>
  <si>
    <t>These are the underlying numbers that make up the CMA percentages in the "data" worksheet</t>
  </si>
  <si>
    <t>TU</t>
  </si>
  <si>
    <t>KR*</t>
  </si>
  <si>
    <t>CK*</t>
  </si>
  <si>
    <t>Ranking scores by component and overall index rating (TKA6-WP4</t>
  </si>
  <si>
    <t>Longline and Troll Combined</t>
  </si>
  <si>
    <t>Longline Only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</si>
</sst>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 #,##0.00_-;_-* &quot;-&quot;??_-;_-@_-"/>
    <numFmt numFmtId="164" formatCode="_(* #,##0.00_);_(* \(#,##0.00\);_(* &quot;-&quot;??_);_(@_)"/>
    <numFmt numFmtId="165" formatCode="0.0%"/>
    <numFmt numFmtId="166" formatCode="_-* #,##0_-;\-* #,##0_-;_-* &quot;-&quot;??_-;_-@_-"/>
    <numFmt numFmtId="169" formatCode="#,##0.0000"/>
    <numFmt numFmtId="170" formatCode="#,##0.00000"/>
    <numFmt numFmtId="171" formatCode="0.000%"/>
  </numFmts>
  <fonts count="23" x14ac:knownFonts="1">
    <font>
      <sz val="11"/>
      <color theme="1"/>
      <name val="Calibri"/>
      <family val="2"/>
      <scheme val="minor"/>
    </font>
    <font>
      <sz val="11"/>
      <color theme="1"/>
      <name val="Calibri"/>
      <family val="2"/>
      <scheme val="minor"/>
    </font>
    <font>
      <b/>
      <sz val="11"/>
      <color theme="1"/>
      <name val="Calibri"/>
      <family val="2"/>
      <scheme val="minor"/>
    </font>
    <font>
      <sz val="9"/>
      <color theme="1"/>
      <name val="Calibri"/>
      <family val="2"/>
    </font>
    <font>
      <sz val="11"/>
      <color rgb="FF000000"/>
      <name val="Calibri"/>
      <family val="2"/>
      <scheme val="minor"/>
    </font>
    <font>
      <i/>
      <sz val="11"/>
      <color theme="1"/>
      <name val="Calibri"/>
      <family val="2"/>
      <scheme val="minor"/>
    </font>
    <font>
      <i/>
      <sz val="11"/>
      <color rgb="FF000000"/>
      <name val="Calibri"/>
      <family val="2"/>
      <scheme val="minor"/>
    </font>
    <font>
      <sz val="11"/>
      <color theme="0" tint="-4.9989318521683403E-2"/>
      <name val="Calibri"/>
      <family val="2"/>
      <scheme val="minor"/>
    </font>
    <font>
      <sz val="11"/>
      <color rgb="FFFFFF00"/>
      <name val="Calibri"/>
      <family val="2"/>
      <scheme val="minor"/>
    </font>
    <font>
      <b/>
      <sz val="14"/>
      <color theme="1"/>
      <name val="Calibri"/>
      <family val="2"/>
      <scheme val="minor"/>
    </font>
    <font>
      <sz val="9"/>
      <color indexed="81"/>
      <name val="Tahoma"/>
      <family val="2"/>
    </font>
    <font>
      <b/>
      <sz val="9"/>
      <color indexed="81"/>
      <name val="Tahoma"/>
      <family val="2"/>
    </font>
    <font>
      <b/>
      <sz val="9"/>
      <color theme="1"/>
      <name val="Calibri"/>
      <family val="2"/>
    </font>
    <font>
      <sz val="10"/>
      <color theme="1"/>
      <name val="Calibri"/>
      <family val="2"/>
      <scheme val="minor"/>
    </font>
    <font>
      <b/>
      <u/>
      <sz val="11"/>
      <color theme="1"/>
      <name val="Calibri"/>
      <family val="2"/>
      <scheme val="minor"/>
    </font>
    <font>
      <sz val="11"/>
      <color rgb="FF3F3F76"/>
      <name val="Calibri"/>
      <family val="2"/>
      <scheme val="minor"/>
    </font>
    <font>
      <b/>
      <sz val="10"/>
      <color theme="1"/>
      <name val="Calibri"/>
      <family val="2"/>
    </font>
    <font>
      <sz val="9"/>
      <color theme="1"/>
      <name val="Calibri"/>
      <family val="2"/>
      <scheme val="minor"/>
    </font>
    <font>
      <sz val="9"/>
      <name val="Calibri"/>
      <family val="2"/>
      <scheme val="minor"/>
    </font>
    <font>
      <b/>
      <sz val="9"/>
      <name val="Calibri"/>
      <family val="2"/>
      <scheme val="minor"/>
    </font>
    <font>
      <sz val="9"/>
      <name val="Calibri"/>
      <family val="2"/>
    </font>
    <font>
      <b/>
      <sz val="11"/>
      <color rgb="FF000000"/>
      <name val="Calibri"/>
      <family val="2"/>
      <scheme val="minor"/>
    </font>
    <font>
      <b/>
      <i/>
      <sz val="11"/>
      <color theme="1"/>
      <name val="Calibri"/>
      <family val="2"/>
      <scheme val="minor"/>
    </font>
  </fonts>
  <fills count="22">
    <fill>
      <patternFill patternType="none"/>
    </fill>
    <fill>
      <patternFill patternType="gray125"/>
    </fill>
    <fill>
      <patternFill patternType="solid">
        <fgColor theme="0" tint="-0.14999847407452621"/>
        <bgColor indexed="64"/>
      </patternFill>
    </fill>
    <fill>
      <patternFill patternType="solid">
        <fgColor rgb="FFD9D9D9"/>
        <bgColor indexed="64"/>
      </patternFill>
    </fill>
    <fill>
      <patternFill patternType="solid">
        <fgColor rgb="FFFFFF00"/>
        <bgColor indexed="64"/>
      </patternFill>
    </fill>
    <fill>
      <patternFill patternType="solid">
        <fgColor rgb="FFFABF8F"/>
        <bgColor indexed="64"/>
      </patternFill>
    </fill>
    <fill>
      <patternFill patternType="solid">
        <fgColor rgb="FFFBD4B4"/>
        <bgColor indexed="64"/>
      </patternFill>
    </fill>
    <fill>
      <patternFill patternType="solid">
        <fgColor rgb="FFBFBFBF"/>
        <bgColor indexed="64"/>
      </patternFill>
    </fill>
    <fill>
      <patternFill patternType="solid">
        <fgColor theme="1" tint="0.34998626667073579"/>
        <bgColor indexed="64"/>
      </patternFill>
    </fill>
    <fill>
      <patternFill patternType="solid">
        <fgColor rgb="FF92D050"/>
        <bgColor indexed="64"/>
      </patternFill>
    </fill>
    <fill>
      <patternFill patternType="solid">
        <fgColor rgb="FFFF0000"/>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rgb="FFFFCC99"/>
      </patternFill>
    </fill>
    <fill>
      <patternFill patternType="solid">
        <fgColor theme="5" tint="0.59999389629810485"/>
        <bgColor indexed="64"/>
      </patternFill>
    </fill>
    <fill>
      <patternFill patternType="solid">
        <fgColor theme="5" tint="0.39997558519241921"/>
        <bgColor indexed="64"/>
      </patternFill>
    </fill>
    <fill>
      <patternFill patternType="solid">
        <fgColor theme="2" tint="-9.9978637043366805E-2"/>
        <bgColor indexed="64"/>
      </patternFill>
    </fill>
    <fill>
      <patternFill patternType="solid">
        <fgColor theme="8" tint="0.79998168889431442"/>
        <bgColor indexed="64"/>
      </patternFill>
    </fill>
    <fill>
      <patternFill patternType="solid">
        <fgColor theme="0"/>
        <bgColor indexed="64"/>
      </patternFill>
    </fill>
    <fill>
      <patternFill patternType="solid">
        <fgColor rgb="FF00B0F0"/>
        <bgColor indexed="64"/>
      </patternFill>
    </fill>
    <fill>
      <patternFill patternType="solid">
        <fgColor theme="5"/>
        <bgColor indexed="64"/>
      </patternFill>
    </fill>
  </fills>
  <borders count="60">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diagonal/>
    </border>
    <border>
      <left/>
      <right/>
      <top/>
      <bottom style="thin">
        <color indexed="64"/>
      </bottom>
      <diagonal/>
    </border>
    <border>
      <left style="medium">
        <color indexed="64"/>
      </left>
      <right style="medium">
        <color indexed="64"/>
      </right>
      <top/>
      <bottom style="medium">
        <color indexed="64"/>
      </bottom>
      <diagonal/>
    </border>
    <border>
      <left/>
      <right/>
      <top style="medium">
        <color indexed="64"/>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diagonal/>
    </border>
    <border>
      <left/>
      <right/>
      <top style="thin">
        <color indexed="64"/>
      </top>
      <bottom style="thin">
        <color indexed="64"/>
      </bottom>
      <diagonal/>
    </border>
    <border>
      <left style="thin">
        <color rgb="FF7F7F7F"/>
      </left>
      <right style="thin">
        <color rgb="FF7F7F7F"/>
      </right>
      <top style="thin">
        <color rgb="FF7F7F7F"/>
      </top>
      <bottom style="thin">
        <color rgb="FF7F7F7F"/>
      </bottom>
      <diagonal/>
    </border>
    <border>
      <left/>
      <right/>
      <top style="medium">
        <color indexed="64"/>
      </top>
      <bottom style="thin">
        <color indexed="64"/>
      </bottom>
      <diagonal/>
    </border>
    <border>
      <left style="medium">
        <color indexed="64"/>
      </left>
      <right style="thin">
        <color indexed="64"/>
      </right>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bottom/>
      <diagonal/>
    </border>
    <border>
      <left style="medium">
        <color indexed="64"/>
      </left>
      <right style="thin">
        <color indexed="64"/>
      </right>
      <top style="medium">
        <color indexed="64"/>
      </top>
      <bottom/>
      <diagonal/>
    </border>
    <border>
      <left style="thin">
        <color indexed="64"/>
      </left>
      <right style="thin">
        <color indexed="64"/>
      </right>
      <top style="thin">
        <color indexed="64"/>
      </top>
      <bottom style="double">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medium">
        <color indexed="64"/>
      </bottom>
      <diagonal/>
    </border>
    <border>
      <left style="medium">
        <color indexed="64"/>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style="thin">
        <color indexed="64"/>
      </right>
      <top/>
      <bottom style="medium">
        <color indexed="64"/>
      </bottom>
      <diagonal/>
    </border>
  </borders>
  <cellStyleXfs count="5">
    <xf numFmtId="0" fontId="0" fillId="0" borderId="0"/>
    <xf numFmtId="43" fontId="1" fillId="0" borderId="0" applyFont="0" applyFill="0" applyBorder="0" applyAlignment="0" applyProtection="0"/>
    <xf numFmtId="9" fontId="1" fillId="0" borderId="0" applyFont="0" applyFill="0" applyBorder="0" applyAlignment="0" applyProtection="0"/>
    <xf numFmtId="164" fontId="1" fillId="0" borderId="0" applyFont="0" applyFill="0" applyBorder="0" applyAlignment="0" applyProtection="0"/>
    <xf numFmtId="0" fontId="15" fillId="14" borderId="36" applyNumberFormat="0" applyAlignment="0" applyProtection="0"/>
  </cellStyleXfs>
  <cellXfs count="466">
    <xf numFmtId="0" fontId="0" fillId="0" borderId="0" xfId="0"/>
    <xf numFmtId="3" fontId="0" fillId="0" borderId="0" xfId="0" applyNumberFormat="1"/>
    <xf numFmtId="0" fontId="0" fillId="0" borderId="1" xfId="0" applyBorder="1"/>
    <xf numFmtId="0" fontId="0" fillId="0" borderId="2" xfId="0" applyBorder="1"/>
    <xf numFmtId="0" fontId="0" fillId="0" borderId="3" xfId="0" applyBorder="1"/>
    <xf numFmtId="0" fontId="0" fillId="0" borderId="4" xfId="0" applyBorder="1"/>
    <xf numFmtId="0" fontId="0" fillId="0" borderId="0" xfId="0" applyBorder="1"/>
    <xf numFmtId="0" fontId="0" fillId="0" borderId="5" xfId="0" applyBorder="1"/>
    <xf numFmtId="0" fontId="0" fillId="0" borderId="6" xfId="0" applyBorder="1"/>
    <xf numFmtId="0" fontId="0" fillId="0" borderId="7" xfId="0" applyBorder="1"/>
    <xf numFmtId="0" fontId="0" fillId="0" borderId="8" xfId="0" applyBorder="1"/>
    <xf numFmtId="10" fontId="0" fillId="0" borderId="9" xfId="2" applyNumberFormat="1" applyFont="1" applyBorder="1"/>
    <xf numFmtId="0" fontId="0" fillId="2" borderId="11" xfId="0" applyFill="1" applyBorder="1" applyAlignment="1">
      <alignment horizontal="right"/>
    </xf>
    <xf numFmtId="0" fontId="0" fillId="2" borderId="0" xfId="0" applyFill="1"/>
    <xf numFmtId="3" fontId="0" fillId="2" borderId="0" xfId="0" applyNumberFormat="1" applyFill="1"/>
    <xf numFmtId="10" fontId="0" fillId="2" borderId="9" xfId="0" applyNumberFormat="1" applyFill="1" applyBorder="1"/>
    <xf numFmtId="166" fontId="0" fillId="2" borderId="9" xfId="1" applyNumberFormat="1" applyFont="1" applyFill="1" applyBorder="1"/>
    <xf numFmtId="0" fontId="0" fillId="2" borderId="0" xfId="0" applyFill="1" applyAlignment="1">
      <alignment horizontal="center"/>
    </xf>
    <xf numFmtId="3" fontId="0" fillId="2" borderId="0" xfId="0" applyNumberFormat="1" applyFill="1" applyAlignment="1">
      <alignment horizontal="center"/>
    </xf>
    <xf numFmtId="0" fontId="2" fillId="2" borderId="0" xfId="0" applyFont="1" applyFill="1"/>
    <xf numFmtId="3" fontId="2" fillId="2" borderId="0" xfId="0" applyNumberFormat="1" applyFont="1" applyFill="1" applyAlignment="1">
      <alignment horizontal="right"/>
    </xf>
    <xf numFmtId="0" fontId="2" fillId="2" borderId="10" xfId="0" applyFont="1" applyFill="1" applyBorder="1" applyAlignment="1">
      <alignment horizontal="right"/>
    </xf>
    <xf numFmtId="165" fontId="0" fillId="0" borderId="0" xfId="2" applyNumberFormat="1" applyFont="1" applyBorder="1"/>
    <xf numFmtId="3" fontId="0" fillId="3" borderId="0" xfId="0" applyNumberFormat="1" applyFill="1"/>
    <xf numFmtId="10" fontId="0" fillId="3" borderId="9" xfId="2" applyNumberFormat="1" applyFont="1" applyFill="1" applyBorder="1"/>
    <xf numFmtId="0" fontId="0" fillId="0" borderId="0" xfId="0" applyAlignment="1">
      <alignment horizontal="right"/>
    </xf>
    <xf numFmtId="0" fontId="2" fillId="2" borderId="0" xfId="0" applyFont="1" applyFill="1" applyBorder="1" applyAlignment="1">
      <alignment horizontal="right"/>
    </xf>
    <xf numFmtId="0" fontId="0" fillId="0" borderId="0" xfId="0" applyFill="1"/>
    <xf numFmtId="0" fontId="3" fillId="0" borderId="14" xfId="0" applyFont="1" applyBorder="1" applyAlignment="1">
      <alignment horizontal="left" vertical="center" wrapText="1"/>
    </xf>
    <xf numFmtId="0" fontId="3" fillId="6" borderId="14" xfId="0" applyFont="1" applyFill="1" applyBorder="1" applyAlignment="1">
      <alignment horizontal="left" vertical="center" wrapText="1"/>
    </xf>
    <xf numFmtId="0" fontId="3" fillId="0" borderId="14" xfId="0" applyFont="1" applyBorder="1" applyAlignment="1">
      <alignment horizontal="justify" vertical="center" wrapText="1"/>
    </xf>
    <xf numFmtId="0" fontId="0" fillId="0" borderId="16" xfId="0" applyBorder="1"/>
    <xf numFmtId="0" fontId="0" fillId="0" borderId="17" xfId="0" applyBorder="1"/>
    <xf numFmtId="0" fontId="0" fillId="0" borderId="18" xfId="0" applyBorder="1"/>
    <xf numFmtId="0" fontId="0" fillId="0" borderId="19" xfId="0" applyBorder="1"/>
    <xf numFmtId="0" fontId="0" fillId="0" borderId="20" xfId="0" applyBorder="1"/>
    <xf numFmtId="0" fontId="0" fillId="0" borderId="21" xfId="0" applyBorder="1"/>
    <xf numFmtId="0" fontId="0" fillId="0" borderId="13" xfId="0" applyBorder="1"/>
    <xf numFmtId="0" fontId="0" fillId="0" borderId="22" xfId="0" applyBorder="1"/>
    <xf numFmtId="0" fontId="0" fillId="0" borderId="9" xfId="0" applyBorder="1"/>
    <xf numFmtId="165" fontId="0" fillId="0" borderId="9" xfId="2" applyNumberFormat="1" applyFont="1" applyBorder="1"/>
    <xf numFmtId="0" fontId="2" fillId="7" borderId="9" xfId="0" applyFont="1" applyFill="1" applyBorder="1" applyAlignment="1">
      <alignment vertical="center" wrapText="1"/>
    </xf>
    <xf numFmtId="0" fontId="2" fillId="7" borderId="9" xfId="0" applyFont="1" applyFill="1" applyBorder="1" applyAlignment="1">
      <alignment horizontal="justify" vertical="center" wrapText="1"/>
    </xf>
    <xf numFmtId="0" fontId="2" fillId="7" borderId="9" xfId="0" applyFont="1" applyFill="1" applyBorder="1" applyAlignment="1">
      <alignment horizontal="center" vertical="center" wrapText="1"/>
    </xf>
    <xf numFmtId="0" fontId="4" fillId="0" borderId="9" xfId="0" applyFont="1" applyBorder="1" applyAlignment="1">
      <alignment horizontal="justify" vertical="center" wrapText="1"/>
    </xf>
    <xf numFmtId="166" fontId="4" fillId="0" borderId="9" xfId="1" applyNumberFormat="1" applyFont="1" applyBorder="1" applyAlignment="1">
      <alignment horizontal="right" vertical="center" wrapText="1"/>
    </xf>
    <xf numFmtId="166" fontId="0" fillId="0" borderId="9" xfId="1" applyNumberFormat="1" applyFont="1" applyBorder="1" applyAlignment="1">
      <alignment horizontal="right" vertical="center" wrapText="1"/>
    </xf>
    <xf numFmtId="0" fontId="6" fillId="3" borderId="9" xfId="0" applyFont="1" applyFill="1" applyBorder="1" applyAlignment="1">
      <alignment horizontal="justify" vertical="center" wrapText="1"/>
    </xf>
    <xf numFmtId="166" fontId="5" fillId="3" borderId="9" xfId="1" applyNumberFormat="1" applyFont="1" applyFill="1" applyBorder="1" applyAlignment="1">
      <alignment horizontal="right" vertical="center" wrapText="1"/>
    </xf>
    <xf numFmtId="0" fontId="4" fillId="0" borderId="0" xfId="0" applyFont="1" applyFill="1" applyBorder="1" applyAlignment="1">
      <alignment horizontal="justify" vertical="center" wrapText="1"/>
    </xf>
    <xf numFmtId="0" fontId="4" fillId="0" borderId="0" xfId="0" applyFont="1" applyFill="1" applyBorder="1" applyAlignment="1">
      <alignment horizontal="left" vertical="top"/>
    </xf>
    <xf numFmtId="0" fontId="3" fillId="5" borderId="1" xfId="0" applyFont="1" applyFill="1" applyBorder="1" applyAlignment="1">
      <alignment horizontal="left" vertical="center" wrapText="1"/>
    </xf>
    <xf numFmtId="0" fontId="3" fillId="5" borderId="8" xfId="0" applyFont="1" applyFill="1" applyBorder="1" applyAlignment="1">
      <alignment horizontal="left" vertical="center" wrapText="1"/>
    </xf>
    <xf numFmtId="0" fontId="3" fillId="6" borderId="8" xfId="0" applyFont="1" applyFill="1" applyBorder="1" applyAlignment="1">
      <alignment horizontal="left" vertical="center" wrapText="1"/>
    </xf>
    <xf numFmtId="0" fontId="3" fillId="5" borderId="1" xfId="0" applyFont="1" applyFill="1" applyBorder="1" applyAlignment="1">
      <alignment horizontal="justify" vertical="center" wrapText="1"/>
    </xf>
    <xf numFmtId="0" fontId="0" fillId="0" borderId="0" xfId="0" applyAlignment="1">
      <alignment wrapText="1"/>
    </xf>
    <xf numFmtId="0" fontId="0" fillId="0" borderId="0" xfId="0" applyAlignment="1">
      <alignment vertical="center" wrapText="1"/>
    </xf>
    <xf numFmtId="0" fontId="2" fillId="0" borderId="9" xfId="0" applyFont="1" applyBorder="1" applyAlignment="1">
      <alignment wrapText="1"/>
    </xf>
    <xf numFmtId="0" fontId="0" fillId="0" borderId="9" xfId="0" applyBorder="1" applyAlignment="1">
      <alignment vertical="center" wrapText="1"/>
    </xf>
    <xf numFmtId="0" fontId="0" fillId="0" borderId="0" xfId="0"/>
    <xf numFmtId="166" fontId="0" fillId="0" borderId="0" xfId="1" applyNumberFormat="1" applyFont="1"/>
    <xf numFmtId="166" fontId="0" fillId="0" borderId="0" xfId="0" applyNumberFormat="1"/>
    <xf numFmtId="0" fontId="2" fillId="2" borderId="9" xfId="0" applyFont="1" applyFill="1" applyBorder="1"/>
    <xf numFmtId="0" fontId="0" fillId="2" borderId="9" xfId="0" applyFill="1" applyBorder="1"/>
    <xf numFmtId="166" fontId="0" fillId="0" borderId="9" xfId="1" applyNumberFormat="1" applyFont="1" applyBorder="1"/>
    <xf numFmtId="166" fontId="0" fillId="2" borderId="9" xfId="0" applyNumberFormat="1" applyFill="1" applyBorder="1"/>
    <xf numFmtId="166" fontId="0" fillId="0" borderId="0" xfId="0" applyNumberFormat="1" applyFill="1" applyBorder="1"/>
    <xf numFmtId="9" fontId="0" fillId="0" borderId="9" xfId="2" applyFont="1" applyBorder="1"/>
    <xf numFmtId="0" fontId="0" fillId="0" borderId="0" xfId="0" applyFill="1" applyBorder="1"/>
    <xf numFmtId="0" fontId="0" fillId="2" borderId="9" xfId="0" applyFill="1" applyBorder="1" applyAlignment="1">
      <alignment horizontal="right"/>
    </xf>
    <xf numFmtId="9" fontId="0" fillId="0" borderId="9" xfId="2" applyFont="1" applyBorder="1" applyAlignment="1">
      <alignment horizontal="right"/>
    </xf>
    <xf numFmtId="0" fontId="0" fillId="2" borderId="9" xfId="0" quotePrefix="1" applyFill="1" applyBorder="1" applyAlignment="1">
      <alignment horizontal="right"/>
    </xf>
    <xf numFmtId="10" fontId="0" fillId="4" borderId="9" xfId="2" applyNumberFormat="1" applyFont="1" applyFill="1" applyBorder="1"/>
    <xf numFmtId="0" fontId="2" fillId="2" borderId="10" xfId="0" applyFont="1" applyFill="1" applyBorder="1"/>
    <xf numFmtId="0" fontId="0" fillId="2" borderId="10" xfId="0" quotePrefix="1" applyFill="1" applyBorder="1"/>
    <xf numFmtId="0" fontId="0" fillId="2" borderId="10" xfId="0" quotePrefix="1" applyFill="1" applyBorder="1" applyAlignment="1">
      <alignment horizontal="right"/>
    </xf>
    <xf numFmtId="0" fontId="0" fillId="2" borderId="23" xfId="0" applyFill="1" applyBorder="1" applyAlignment="1">
      <alignment horizontal="right"/>
    </xf>
    <xf numFmtId="166" fontId="0" fillId="2" borderId="11" xfId="1" applyNumberFormat="1" applyFont="1" applyFill="1" applyBorder="1"/>
    <xf numFmtId="0" fontId="0" fillId="0" borderId="9" xfId="0" applyFill="1" applyBorder="1"/>
    <xf numFmtId="0" fontId="0" fillId="4" borderId="9" xfId="0" applyFill="1" applyBorder="1"/>
    <xf numFmtId="165" fontId="0" fillId="4" borderId="9" xfId="2" applyNumberFormat="1" applyFont="1" applyFill="1" applyBorder="1"/>
    <xf numFmtId="0" fontId="0" fillId="0" borderId="9" xfId="0" applyBorder="1" applyAlignment="1">
      <alignment wrapText="1"/>
    </xf>
    <xf numFmtId="0" fontId="0" fillId="0" borderId="9" xfId="0" applyBorder="1" applyAlignment="1">
      <alignment horizontal="center" wrapText="1"/>
    </xf>
    <xf numFmtId="0" fontId="0" fillId="0" borderId="0" xfId="0" applyBorder="1" applyAlignment="1">
      <alignment horizontal="center" wrapText="1"/>
    </xf>
    <xf numFmtId="0" fontId="3" fillId="0" borderId="0" xfId="0" applyFont="1" applyFill="1" applyBorder="1" applyAlignment="1">
      <alignment horizontal="center" vertical="center" wrapText="1"/>
    </xf>
    <xf numFmtId="166" fontId="0" fillId="0" borderId="9" xfId="1" applyNumberFormat="1" applyFont="1" applyFill="1" applyBorder="1"/>
    <xf numFmtId="166" fontId="0" fillId="0" borderId="9" xfId="0" applyNumberFormat="1" applyBorder="1"/>
    <xf numFmtId="166" fontId="0" fillId="0" borderId="11" xfId="1" applyNumberFormat="1" applyFont="1" applyFill="1" applyBorder="1"/>
    <xf numFmtId="0" fontId="0" fillId="0" borderId="9" xfId="0" applyBorder="1" applyAlignment="1">
      <alignment horizontal="right"/>
    </xf>
    <xf numFmtId="0" fontId="2" fillId="2" borderId="18" xfId="0" applyFont="1" applyFill="1" applyBorder="1" applyAlignment="1">
      <alignment horizontal="right"/>
    </xf>
    <xf numFmtId="0" fontId="0" fillId="2" borderId="20" xfId="0" applyFill="1" applyBorder="1" applyAlignment="1">
      <alignment horizontal="right"/>
    </xf>
    <xf numFmtId="0" fontId="0" fillId="0" borderId="0" xfId="0" quotePrefix="1" applyFill="1" applyBorder="1" applyAlignment="1">
      <alignment horizontal="right"/>
    </xf>
    <xf numFmtId="166" fontId="0" fillId="0" borderId="0" xfId="1" applyNumberFormat="1" applyFont="1" applyFill="1" applyBorder="1"/>
    <xf numFmtId="0" fontId="4" fillId="0" borderId="11" xfId="0" applyFont="1" applyBorder="1" applyAlignment="1">
      <alignment horizontal="left" vertical="center" wrapText="1"/>
    </xf>
    <xf numFmtId="0" fontId="4" fillId="0" borderId="9" xfId="0" applyFont="1" applyBorder="1" applyAlignment="1">
      <alignment horizontal="left" vertical="center" wrapText="1"/>
    </xf>
    <xf numFmtId="0" fontId="0" fillId="0" borderId="7" xfId="0" quotePrefix="1" applyBorder="1" applyAlignment="1">
      <alignment horizontal="right" wrapText="1"/>
    </xf>
    <xf numFmtId="0" fontId="0" fillId="0" borderId="2" xfId="0" applyBorder="1" applyAlignment="1">
      <alignment horizontal="right" wrapText="1"/>
    </xf>
    <xf numFmtId="0" fontId="4" fillId="0" borderId="23" xfId="0" applyFont="1" applyFill="1" applyBorder="1" applyAlignment="1">
      <alignment horizontal="left" vertical="center"/>
    </xf>
    <xf numFmtId="0" fontId="0" fillId="0" borderId="0" xfId="0" applyBorder="1" applyAlignment="1">
      <alignment wrapText="1"/>
    </xf>
    <xf numFmtId="1" fontId="0" fillId="0" borderId="0" xfId="2" applyNumberFormat="1" applyFont="1" applyBorder="1"/>
    <xf numFmtId="165" fontId="0" fillId="0" borderId="9" xfId="2" applyNumberFormat="1" applyFont="1" applyFill="1" applyBorder="1"/>
    <xf numFmtId="3" fontId="0" fillId="0" borderId="9" xfId="0" applyNumberFormat="1" applyBorder="1"/>
    <xf numFmtId="165" fontId="0" fillId="0" borderId="0" xfId="0" applyNumberFormat="1"/>
    <xf numFmtId="166" fontId="0" fillId="4" borderId="9" xfId="2" applyNumberFormat="1" applyFont="1" applyFill="1" applyBorder="1"/>
    <xf numFmtId="0" fontId="0" fillId="3" borderId="9" xfId="0" applyFill="1" applyBorder="1"/>
    <xf numFmtId="165" fontId="0" fillId="3" borderId="9" xfId="0" applyNumberFormat="1" applyFill="1" applyBorder="1"/>
    <xf numFmtId="3" fontId="0" fillId="3" borderId="9" xfId="0" applyNumberFormat="1" applyFill="1" applyBorder="1"/>
    <xf numFmtId="0" fontId="0" fillId="3" borderId="9" xfId="0" applyFill="1" applyBorder="1" applyAlignment="1">
      <alignment wrapText="1"/>
    </xf>
    <xf numFmtId="0" fontId="0" fillId="3" borderId="9" xfId="0" applyFill="1" applyBorder="1" applyAlignment="1">
      <alignment horizontal="center" wrapText="1"/>
    </xf>
    <xf numFmtId="0" fontId="0" fillId="0" borderId="0" xfId="0" quotePrefix="1"/>
    <xf numFmtId="49" fontId="0" fillId="0" borderId="0" xfId="0" applyNumberFormat="1" applyAlignment="1">
      <alignment horizontal="right" textRotation="90"/>
    </xf>
    <xf numFmtId="0" fontId="2" fillId="0" borderId="0" xfId="0" applyFont="1"/>
    <xf numFmtId="0" fontId="0" fillId="0" borderId="0" xfId="0" applyAlignment="1">
      <alignment horizontal="center"/>
    </xf>
    <xf numFmtId="0" fontId="0" fillId="4" borderId="9" xfId="0" applyFill="1" applyBorder="1" applyAlignment="1">
      <alignment horizontal="center"/>
    </xf>
    <xf numFmtId="0" fontId="0" fillId="0" borderId="9" xfId="0" applyBorder="1" applyAlignment="1">
      <alignment horizontal="center"/>
    </xf>
    <xf numFmtId="0" fontId="7" fillId="10" borderId="0" xfId="0" applyFont="1" applyFill="1"/>
    <xf numFmtId="3" fontId="0" fillId="4" borderId="9" xfId="0" applyNumberFormat="1" applyFill="1" applyBorder="1"/>
    <xf numFmtId="3" fontId="2" fillId="3" borderId="10" xfId="0" applyNumberFormat="1" applyFont="1" applyFill="1" applyBorder="1"/>
    <xf numFmtId="0" fontId="2" fillId="0" borderId="9" xfId="0" applyFont="1" applyBorder="1" applyAlignment="1">
      <alignment horizontal="center" wrapText="1"/>
    </xf>
    <xf numFmtId="0" fontId="2" fillId="9" borderId="9" xfId="0" applyFont="1" applyFill="1" applyBorder="1" applyAlignment="1">
      <alignment horizontal="center" wrapText="1"/>
    </xf>
    <xf numFmtId="0" fontId="2" fillId="0" borderId="9" xfId="0" applyFont="1" applyBorder="1" applyAlignment="1">
      <alignment horizontal="center"/>
    </xf>
    <xf numFmtId="3" fontId="2" fillId="0" borderId="9" xfId="0" applyNumberFormat="1" applyFont="1" applyBorder="1" applyAlignment="1">
      <alignment horizontal="center"/>
    </xf>
    <xf numFmtId="165" fontId="0" fillId="0" borderId="9" xfId="2" quotePrefix="1" applyNumberFormat="1" applyFont="1" applyBorder="1"/>
    <xf numFmtId="0" fontId="8" fillId="8" borderId="9" xfId="0" applyFont="1" applyFill="1" applyBorder="1" applyAlignment="1">
      <alignment horizontal="center"/>
    </xf>
    <xf numFmtId="0" fontId="8" fillId="8" borderId="9" xfId="0" applyFont="1" applyFill="1" applyBorder="1" applyAlignment="1"/>
    <xf numFmtId="0" fontId="0" fillId="0" borderId="9" xfId="0" applyBorder="1" applyAlignment="1"/>
    <xf numFmtId="0" fontId="8" fillId="8" borderId="9" xfId="0" applyFont="1" applyFill="1" applyBorder="1" applyAlignment="1">
      <alignment horizontal="left"/>
    </xf>
    <xf numFmtId="0" fontId="9" fillId="0" borderId="0" xfId="0" applyFont="1"/>
    <xf numFmtId="166" fontId="8" fillId="8" borderId="9" xfId="1" applyNumberFormat="1" applyFont="1" applyFill="1" applyBorder="1" applyAlignment="1">
      <alignment horizontal="center"/>
    </xf>
    <xf numFmtId="0" fontId="5" fillId="0" borderId="0" xfId="0" applyFont="1"/>
    <xf numFmtId="0" fontId="0" fillId="0" borderId="0" xfId="0" applyAlignment="1">
      <alignment horizontal="center" vertical="center"/>
    </xf>
    <xf numFmtId="0" fontId="0" fillId="2" borderId="11" xfId="0" quotePrefix="1" applyFill="1" applyBorder="1" applyAlignment="1">
      <alignment horizontal="center" vertical="center"/>
    </xf>
    <xf numFmtId="0" fontId="0" fillId="2" borderId="11" xfId="0" quotePrefix="1" applyFill="1" applyBorder="1" applyAlignment="1">
      <alignment horizontal="right" vertical="center"/>
    </xf>
    <xf numFmtId="3" fontId="0" fillId="0" borderId="9" xfId="0" applyNumberFormat="1" applyFill="1" applyBorder="1"/>
    <xf numFmtId="3" fontId="0" fillId="0" borderId="10" xfId="0" applyNumberFormat="1" applyFill="1" applyBorder="1"/>
    <xf numFmtId="0" fontId="2" fillId="0" borderId="23" xfId="0" applyFont="1" applyFill="1" applyBorder="1" applyAlignment="1">
      <alignment horizontal="center"/>
    </xf>
    <xf numFmtId="0" fontId="3" fillId="4" borderId="14" xfId="0" applyFont="1" applyFill="1" applyBorder="1" applyAlignment="1">
      <alignment horizontal="left" vertical="center" wrapText="1"/>
    </xf>
    <xf numFmtId="0" fontId="3" fillId="5" borderId="7" xfId="0" applyFont="1" applyFill="1" applyBorder="1" applyAlignment="1">
      <alignment horizontal="left" vertical="center" wrapText="1"/>
    </xf>
    <xf numFmtId="0" fontId="4" fillId="0" borderId="24" xfId="0" applyFont="1" applyBorder="1" applyAlignment="1">
      <alignment horizontal="justify" vertical="center" wrapText="1"/>
    </xf>
    <xf numFmtId="0" fontId="4" fillId="4" borderId="24" xfId="0" applyFont="1" applyFill="1" applyBorder="1" applyAlignment="1">
      <alignment horizontal="justify" vertical="center" wrapText="1"/>
    </xf>
    <xf numFmtId="3" fontId="3" fillId="0" borderId="9" xfId="0" applyNumberFormat="1" applyFont="1" applyBorder="1" applyAlignment="1">
      <alignment horizontal="center" vertical="center" wrapText="1"/>
    </xf>
    <xf numFmtId="3" fontId="3" fillId="4" borderId="9" xfId="0" applyNumberFormat="1" applyFont="1" applyFill="1" applyBorder="1" applyAlignment="1">
      <alignment horizontal="center" vertical="center" wrapText="1"/>
    </xf>
    <xf numFmtId="0" fontId="3" fillId="6" borderId="7" xfId="0" applyFont="1" applyFill="1" applyBorder="1" applyAlignment="1">
      <alignment horizontal="left" vertical="center" wrapText="1"/>
    </xf>
    <xf numFmtId="3" fontId="3" fillId="0" borderId="28" xfId="0" applyNumberFormat="1" applyFont="1" applyBorder="1" applyAlignment="1">
      <alignment horizontal="center" vertical="center" wrapText="1"/>
    </xf>
    <xf numFmtId="3" fontId="3" fillId="4" borderId="28" xfId="0" applyNumberFormat="1" applyFont="1" applyFill="1" applyBorder="1" applyAlignment="1">
      <alignment horizontal="center" vertical="center" wrapText="1"/>
    </xf>
    <xf numFmtId="3" fontId="3" fillId="6" borderId="30" xfId="0" applyNumberFormat="1" applyFont="1" applyFill="1" applyBorder="1" applyAlignment="1">
      <alignment horizontal="center" vertical="center" wrapText="1"/>
    </xf>
    <xf numFmtId="3" fontId="3" fillId="6" borderId="31" xfId="0" applyNumberFormat="1" applyFont="1" applyFill="1" applyBorder="1" applyAlignment="1">
      <alignment horizontal="center" vertical="center" wrapText="1"/>
    </xf>
    <xf numFmtId="0" fontId="12" fillId="5" borderId="25" xfId="0" applyFont="1" applyFill="1" applyBorder="1" applyAlignment="1">
      <alignment horizontal="center" vertical="center" wrapText="1"/>
    </xf>
    <xf numFmtId="0" fontId="12" fillId="5" borderId="26" xfId="0" applyFont="1" applyFill="1" applyBorder="1" applyAlignment="1">
      <alignment horizontal="center" vertical="center" wrapText="1"/>
    </xf>
    <xf numFmtId="3" fontId="0" fillId="0" borderId="9" xfId="0" applyNumberFormat="1" applyBorder="1" applyAlignment="1">
      <alignment horizontal="right"/>
    </xf>
    <xf numFmtId="0" fontId="0" fillId="11" borderId="32" xfId="0" applyFill="1" applyBorder="1" applyAlignment="1">
      <alignment horizontal="right"/>
    </xf>
    <xf numFmtId="0" fontId="13" fillId="0" borderId="0" xfId="0" applyFont="1"/>
    <xf numFmtId="166" fontId="0" fillId="0" borderId="0" xfId="1" applyNumberFormat="1" applyFont="1" applyBorder="1"/>
    <xf numFmtId="166" fontId="0" fillId="2" borderId="0" xfId="0" applyNumberFormat="1" applyFill="1" applyBorder="1"/>
    <xf numFmtId="0" fontId="0" fillId="13" borderId="0" xfId="0" quotePrefix="1" applyFill="1" applyBorder="1" applyAlignment="1">
      <alignment horizontal="right"/>
    </xf>
    <xf numFmtId="3" fontId="0" fillId="0" borderId="0" xfId="0" applyNumberFormat="1" applyFill="1" applyBorder="1" applyAlignment="1">
      <alignment horizontal="right"/>
    </xf>
    <xf numFmtId="3" fontId="3" fillId="0" borderId="24" xfId="0" applyNumberFormat="1" applyFont="1" applyBorder="1" applyAlignment="1">
      <alignment horizontal="center" vertical="center" wrapText="1"/>
    </xf>
    <xf numFmtId="0" fontId="0" fillId="11" borderId="28" xfId="0" applyFill="1" applyBorder="1" applyAlignment="1">
      <alignment horizontal="right"/>
    </xf>
    <xf numFmtId="4" fontId="0" fillId="0" borderId="0" xfId="0" applyNumberFormat="1"/>
    <xf numFmtId="0" fontId="0" fillId="0" borderId="0" xfId="0" applyFill="1" applyBorder="1" applyAlignment="1">
      <alignment vertical="top" wrapText="1"/>
    </xf>
    <xf numFmtId="3" fontId="14" fillId="0" borderId="7" xfId="0" applyNumberFormat="1" applyFont="1" applyBorder="1" applyAlignment="1">
      <alignment horizontal="right"/>
    </xf>
    <xf numFmtId="3" fontId="3" fillId="0" borderId="16" xfId="0" applyNumberFormat="1" applyFont="1" applyBorder="1" applyAlignment="1">
      <alignment horizontal="center" vertical="center" wrapText="1"/>
    </xf>
    <xf numFmtId="3" fontId="2" fillId="0" borderId="15" xfId="0" applyNumberFormat="1" applyFont="1" applyBorder="1"/>
    <xf numFmtId="0" fontId="3" fillId="5" borderId="7" xfId="0" applyFont="1" applyFill="1" applyBorder="1" applyAlignment="1">
      <alignment horizontal="justify" vertical="center" wrapText="1"/>
    </xf>
    <xf numFmtId="0" fontId="3" fillId="0" borderId="9" xfId="0" applyFont="1" applyBorder="1" applyAlignment="1">
      <alignment horizontal="center" vertical="center" wrapText="1"/>
    </xf>
    <xf numFmtId="0" fontId="12" fillId="6" borderId="14" xfId="0" applyFont="1" applyFill="1" applyBorder="1" applyAlignment="1">
      <alignment horizontal="justify" vertical="center" wrapText="1"/>
    </xf>
    <xf numFmtId="0" fontId="12" fillId="6" borderId="7" xfId="0" applyFont="1" applyFill="1" applyBorder="1" applyAlignment="1">
      <alignment horizontal="justify" vertical="center" wrapText="1"/>
    </xf>
    <xf numFmtId="0" fontId="12" fillId="6" borderId="9" xfId="0" applyFont="1" applyFill="1" applyBorder="1" applyAlignment="1">
      <alignment horizontal="center" vertical="center" wrapText="1"/>
    </xf>
    <xf numFmtId="0" fontId="0" fillId="0" borderId="0" xfId="0" applyBorder="1" applyAlignment="1">
      <alignment horizontal="center"/>
    </xf>
    <xf numFmtId="0" fontId="17" fillId="0" borderId="0" xfId="0" applyFont="1" applyBorder="1" applyAlignment="1">
      <alignment horizontal="center"/>
    </xf>
    <xf numFmtId="0" fontId="0" fillId="4" borderId="28" xfId="0" applyFill="1" applyBorder="1" applyAlignment="1">
      <alignment horizontal="right"/>
    </xf>
    <xf numFmtId="0" fontId="14" fillId="0" borderId="0" xfId="0" applyFont="1" applyFill="1" applyBorder="1" applyAlignment="1"/>
    <xf numFmtId="3" fontId="3" fillId="6" borderId="9" xfId="0" applyNumberFormat="1" applyFont="1" applyFill="1" applyBorder="1" applyAlignment="1">
      <alignment horizontal="center" vertical="center" wrapText="1"/>
    </xf>
    <xf numFmtId="0" fontId="17" fillId="0" borderId="0" xfId="0" applyFont="1" applyFill="1" applyBorder="1" applyAlignment="1">
      <alignment horizontal="center"/>
    </xf>
    <xf numFmtId="3" fontId="3" fillId="0" borderId="11" xfId="0" applyNumberFormat="1" applyFont="1" applyBorder="1" applyAlignment="1">
      <alignment horizontal="center" vertical="center" wrapText="1"/>
    </xf>
    <xf numFmtId="166" fontId="17" fillId="0" borderId="9" xfId="1" applyNumberFormat="1" applyFont="1" applyBorder="1" applyAlignment="1">
      <alignment horizontal="center"/>
    </xf>
    <xf numFmtId="3" fontId="20" fillId="4" borderId="9" xfId="0" applyNumberFormat="1" applyFont="1" applyFill="1" applyBorder="1" applyAlignment="1">
      <alignment horizontal="center" vertical="center" wrapText="1"/>
    </xf>
    <xf numFmtId="166" fontId="18" fillId="4" borderId="9" xfId="1" applyNumberFormat="1" applyFont="1" applyFill="1" applyBorder="1" applyAlignment="1">
      <alignment horizontal="center"/>
    </xf>
    <xf numFmtId="166" fontId="17" fillId="0" borderId="9" xfId="1" applyNumberFormat="1" applyFont="1" applyFill="1" applyBorder="1" applyAlignment="1">
      <alignment horizontal="center"/>
    </xf>
    <xf numFmtId="166" fontId="17" fillId="15" borderId="9" xfId="1" applyNumberFormat="1" applyFont="1" applyFill="1" applyBorder="1" applyAlignment="1">
      <alignment horizontal="center"/>
    </xf>
    <xf numFmtId="166" fontId="17" fillId="0" borderId="11" xfId="1" applyNumberFormat="1" applyFont="1" applyBorder="1" applyAlignment="1">
      <alignment horizontal="center"/>
    </xf>
    <xf numFmtId="0" fontId="19" fillId="14" borderId="31" xfId="4" applyFont="1" applyBorder="1" applyAlignment="1">
      <alignment horizontal="center" vertical="center" wrapText="1"/>
    </xf>
    <xf numFmtId="166" fontId="17" fillId="0" borderId="9" xfId="0" applyNumberFormat="1" applyFont="1" applyBorder="1" applyAlignment="1">
      <alignment horizontal="center"/>
    </xf>
    <xf numFmtId="0" fontId="12" fillId="5" borderId="38" xfId="0" applyFont="1" applyFill="1" applyBorder="1" applyAlignment="1">
      <alignment horizontal="center" vertical="center" wrapText="1"/>
    </xf>
    <xf numFmtId="0" fontId="12" fillId="5" borderId="11" xfId="0" applyFont="1" applyFill="1" applyBorder="1" applyAlignment="1">
      <alignment horizontal="center" vertical="center" wrapText="1"/>
    </xf>
    <xf numFmtId="0" fontId="12" fillId="5" borderId="21" xfId="0" applyFont="1" applyFill="1" applyBorder="1" applyAlignment="1">
      <alignment horizontal="center" vertical="center" wrapText="1"/>
    </xf>
    <xf numFmtId="0" fontId="19" fillId="14" borderId="11" xfId="4" applyFont="1" applyBorder="1" applyAlignment="1">
      <alignment horizontal="center"/>
    </xf>
    <xf numFmtId="0" fontId="3" fillId="0" borderId="9" xfId="0" applyFont="1" applyFill="1" applyBorder="1" applyAlignment="1">
      <alignment horizontal="center" vertical="center" wrapText="1"/>
    </xf>
    <xf numFmtId="0" fontId="3" fillId="16" borderId="9" xfId="0" applyFont="1" applyFill="1" applyBorder="1" applyAlignment="1">
      <alignment horizontal="center" vertical="center" wrapText="1"/>
    </xf>
    <xf numFmtId="0" fontId="19" fillId="0" borderId="0" xfId="4" applyFont="1" applyFill="1" applyBorder="1" applyAlignment="1">
      <alignment horizontal="center"/>
    </xf>
    <xf numFmtId="0" fontId="18" fillId="0" borderId="0" xfId="0" applyFont="1" applyFill="1" applyBorder="1" applyAlignment="1">
      <alignment horizontal="center"/>
    </xf>
    <xf numFmtId="0" fontId="17" fillId="0" borderId="37" xfId="0" applyFont="1" applyFill="1" applyBorder="1" applyAlignment="1">
      <alignment horizontal="center"/>
    </xf>
    <xf numFmtId="0" fontId="17" fillId="0" borderId="17" xfId="0" applyFont="1" applyFill="1" applyBorder="1" applyAlignment="1">
      <alignment horizontal="center"/>
    </xf>
    <xf numFmtId="3" fontId="3" fillId="0" borderId="0" xfId="0" applyNumberFormat="1" applyFont="1" applyFill="1" applyBorder="1" applyAlignment="1">
      <alignment horizontal="center" vertical="center" wrapText="1"/>
    </xf>
    <xf numFmtId="0" fontId="17" fillId="0" borderId="35" xfId="0" applyFont="1" applyFill="1" applyBorder="1" applyAlignment="1">
      <alignment horizontal="center"/>
    </xf>
    <xf numFmtId="0" fontId="18" fillId="0" borderId="35" xfId="0" applyFont="1" applyFill="1" applyBorder="1" applyAlignment="1">
      <alignment horizontal="center"/>
    </xf>
    <xf numFmtId="0" fontId="0" fillId="0" borderId="25" xfId="0" applyBorder="1"/>
    <xf numFmtId="3" fontId="0" fillId="0" borderId="0" xfId="0" applyNumberFormat="1" applyFont="1" applyBorder="1" applyAlignment="1">
      <alignment horizontal="right"/>
    </xf>
    <xf numFmtId="0" fontId="0" fillId="0" borderId="0" xfId="0" applyFill="1" applyBorder="1" applyAlignment="1">
      <alignment horizontal="center" vertical="top" wrapText="1"/>
    </xf>
    <xf numFmtId="3" fontId="0" fillId="0" borderId="0" xfId="0" applyNumberFormat="1" applyFont="1" applyFill="1" applyBorder="1" applyAlignment="1">
      <alignment horizontal="right"/>
    </xf>
    <xf numFmtId="3" fontId="0" fillId="0" borderId="35" xfId="0" applyNumberFormat="1" applyBorder="1" applyAlignment="1">
      <alignment horizontal="right"/>
    </xf>
    <xf numFmtId="3" fontId="0" fillId="4" borderId="35" xfId="0" applyNumberFormat="1" applyFill="1" applyBorder="1" applyAlignment="1">
      <alignment horizontal="right"/>
    </xf>
    <xf numFmtId="3" fontId="0" fillId="0" borderId="17" xfId="0" applyNumberFormat="1" applyBorder="1" applyAlignment="1">
      <alignment horizontal="right"/>
    </xf>
    <xf numFmtId="3" fontId="0" fillId="0" borderId="13" xfId="0" applyNumberFormat="1" applyFont="1" applyBorder="1" applyAlignment="1">
      <alignment horizontal="right"/>
    </xf>
    <xf numFmtId="3" fontId="2" fillId="0" borderId="0" xfId="0" applyNumberFormat="1" applyFont="1" applyFill="1" applyBorder="1"/>
    <xf numFmtId="3" fontId="14" fillId="0" borderId="0" xfId="0" applyNumberFormat="1" applyFont="1" applyFill="1" applyBorder="1" applyAlignment="1">
      <alignment horizontal="right"/>
    </xf>
    <xf numFmtId="3" fontId="2" fillId="0" borderId="0" xfId="0" applyNumberFormat="1" applyFont="1" applyBorder="1"/>
    <xf numFmtId="3" fontId="14" fillId="0" borderId="0" xfId="0" applyNumberFormat="1" applyFont="1" applyBorder="1" applyAlignment="1">
      <alignment horizontal="right"/>
    </xf>
    <xf numFmtId="3" fontId="0" fillId="0" borderId="29" xfId="0" applyNumberFormat="1" applyBorder="1" applyAlignment="1">
      <alignment horizontal="right"/>
    </xf>
    <xf numFmtId="0" fontId="0" fillId="11" borderId="30" xfId="0" applyFill="1" applyBorder="1" applyAlignment="1">
      <alignment horizontal="right"/>
    </xf>
    <xf numFmtId="3" fontId="0" fillId="11" borderId="9" xfId="0" applyNumberFormat="1" applyFill="1" applyBorder="1" applyAlignment="1">
      <alignment horizontal="right"/>
    </xf>
    <xf numFmtId="0" fontId="0" fillId="0" borderId="28" xfId="0" applyFill="1" applyBorder="1" applyAlignment="1">
      <alignment horizontal="right"/>
    </xf>
    <xf numFmtId="3" fontId="0" fillId="0" borderId="9" xfId="0" applyNumberFormat="1" applyFill="1" applyBorder="1" applyAlignment="1">
      <alignment horizontal="right"/>
    </xf>
    <xf numFmtId="3" fontId="0" fillId="11" borderId="31" xfId="0" applyNumberFormat="1" applyFill="1" applyBorder="1" applyAlignment="1">
      <alignment horizontal="right"/>
    </xf>
    <xf numFmtId="3" fontId="3" fillId="0" borderId="9" xfId="0" applyNumberFormat="1" applyFont="1" applyFill="1" applyBorder="1" applyAlignment="1">
      <alignment horizontal="center" vertical="center" wrapText="1"/>
    </xf>
    <xf numFmtId="3" fontId="3" fillId="13" borderId="9" xfId="0" applyNumberFormat="1" applyFont="1" applyFill="1" applyBorder="1" applyAlignment="1">
      <alignment horizontal="center" vertical="center" wrapText="1"/>
    </xf>
    <xf numFmtId="0" fontId="0" fillId="0" borderId="9" xfId="0" applyNumberFormat="1" applyBorder="1" applyAlignment="1">
      <alignment horizontal="right"/>
    </xf>
    <xf numFmtId="0" fontId="0" fillId="0" borderId="29" xfId="0" applyNumberFormat="1" applyBorder="1" applyAlignment="1">
      <alignment horizontal="right"/>
    </xf>
    <xf numFmtId="0" fontId="2" fillId="0" borderId="0" xfId="0" applyNumberFormat="1" applyFont="1" applyBorder="1"/>
    <xf numFmtId="0" fontId="0" fillId="0" borderId="0" xfId="0" applyNumberFormat="1" applyFont="1" applyBorder="1" applyAlignment="1">
      <alignment horizontal="right"/>
    </xf>
    <xf numFmtId="9" fontId="0" fillId="11" borderId="9" xfId="0" applyNumberFormat="1" applyFill="1" applyBorder="1" applyAlignment="1">
      <alignment horizontal="right"/>
    </xf>
    <xf numFmtId="2" fontId="0" fillId="0" borderId="0" xfId="0" applyNumberFormat="1"/>
    <xf numFmtId="0" fontId="2" fillId="0" borderId="40" xfId="0" applyFont="1" applyBorder="1"/>
    <xf numFmtId="3" fontId="0" fillId="0" borderId="40" xfId="0" applyNumberFormat="1" applyBorder="1"/>
    <xf numFmtId="9" fontId="0" fillId="11" borderId="31" xfId="0" applyNumberFormat="1" applyFill="1" applyBorder="1" applyAlignment="1">
      <alignment horizontal="right"/>
    </xf>
    <xf numFmtId="10" fontId="0" fillId="11" borderId="29" xfId="0" applyNumberFormat="1" applyFill="1" applyBorder="1" applyAlignment="1">
      <alignment horizontal="right"/>
    </xf>
    <xf numFmtId="9" fontId="0" fillId="11" borderId="29" xfId="0" applyNumberFormat="1" applyFill="1" applyBorder="1" applyAlignment="1">
      <alignment horizontal="right"/>
    </xf>
    <xf numFmtId="10" fontId="0" fillId="11" borderId="41" xfId="0" applyNumberFormat="1" applyFill="1" applyBorder="1" applyAlignment="1">
      <alignment horizontal="right"/>
    </xf>
    <xf numFmtId="0" fontId="0" fillId="0" borderId="0" xfId="0" applyFill="1" applyBorder="1" applyAlignment="1">
      <alignment horizontal="right"/>
    </xf>
    <xf numFmtId="9" fontId="0" fillId="0" borderId="0" xfId="2" applyFont="1" applyFill="1" applyBorder="1"/>
    <xf numFmtId="0" fontId="0" fillId="0" borderId="0" xfId="0" applyFont="1" applyFill="1" applyBorder="1" applyAlignment="1">
      <alignment horizontal="right"/>
    </xf>
    <xf numFmtId="9" fontId="0" fillId="0" borderId="0" xfId="0" applyNumberFormat="1" applyFill="1" applyBorder="1"/>
    <xf numFmtId="3" fontId="0" fillId="0" borderId="0" xfId="2" applyNumberFormat="1" applyFont="1" applyFill="1" applyBorder="1"/>
    <xf numFmtId="3" fontId="0" fillId="0" borderId="0" xfId="0" applyNumberFormat="1" applyFill="1" applyBorder="1"/>
    <xf numFmtId="3" fontId="1" fillId="0" borderId="0" xfId="2" applyNumberFormat="1" applyFont="1" applyFill="1" applyBorder="1"/>
    <xf numFmtId="3" fontId="0" fillId="0" borderId="0" xfId="0" applyNumberFormat="1" applyFont="1" applyFill="1" applyBorder="1"/>
    <xf numFmtId="0" fontId="14" fillId="0" borderId="0" xfId="0" applyFont="1" applyFill="1" applyBorder="1" applyAlignment="1">
      <alignment horizontal="right"/>
    </xf>
    <xf numFmtId="3" fontId="14" fillId="0" borderId="0" xfId="0" applyNumberFormat="1" applyFont="1" applyFill="1" applyBorder="1"/>
    <xf numFmtId="0" fontId="2" fillId="0" borderId="0" xfId="0" applyFont="1" applyFill="1" applyBorder="1" applyAlignment="1">
      <alignment vertical="center" wrapText="1"/>
    </xf>
    <xf numFmtId="0" fontId="2" fillId="0" borderId="0" xfId="0" applyFont="1" applyFill="1" applyBorder="1" applyAlignment="1">
      <alignment horizontal="justify" vertical="center" wrapText="1"/>
    </xf>
    <xf numFmtId="0" fontId="2" fillId="0" borderId="0" xfId="0" applyFont="1" applyFill="1" applyBorder="1" applyAlignment="1">
      <alignment horizontal="center" vertical="center" wrapText="1"/>
    </xf>
    <xf numFmtId="166" fontId="4" fillId="0" borderId="0" xfId="1" applyNumberFormat="1" applyFont="1" applyFill="1" applyBorder="1" applyAlignment="1">
      <alignment horizontal="right" vertical="center" wrapText="1"/>
    </xf>
    <xf numFmtId="165" fontId="0" fillId="0" borderId="0" xfId="2" applyNumberFormat="1" applyFont="1" applyFill="1" applyBorder="1"/>
    <xf numFmtId="166" fontId="0" fillId="0" borderId="0" xfId="1" applyNumberFormat="1" applyFont="1" applyFill="1" applyBorder="1" applyAlignment="1">
      <alignment horizontal="right" vertical="center" wrapText="1"/>
    </xf>
    <xf numFmtId="0" fontId="6" fillId="0" borderId="0" xfId="0" applyFont="1" applyFill="1" applyBorder="1" applyAlignment="1">
      <alignment horizontal="justify" vertical="center" wrapText="1"/>
    </xf>
    <xf numFmtId="166" fontId="5" fillId="0" borderId="0" xfId="1" applyNumberFormat="1" applyFont="1" applyFill="1" applyBorder="1" applyAlignment="1">
      <alignment horizontal="right" vertical="center" wrapText="1"/>
    </xf>
    <xf numFmtId="0" fontId="0" fillId="12" borderId="3" xfId="0" applyFill="1" applyBorder="1" applyAlignment="1">
      <alignment vertical="top" wrapText="1"/>
    </xf>
    <xf numFmtId="0" fontId="0" fillId="12" borderId="12" xfId="0" applyFill="1" applyBorder="1" applyAlignment="1">
      <alignment vertical="top" wrapText="1"/>
    </xf>
    <xf numFmtId="0" fontId="0" fillId="12" borderId="43" xfId="0" applyFill="1" applyBorder="1" applyAlignment="1">
      <alignment vertical="top" wrapText="1"/>
    </xf>
    <xf numFmtId="0" fontId="0" fillId="12" borderId="27" xfId="0" applyFill="1" applyBorder="1" applyAlignment="1">
      <alignment vertical="top" wrapText="1"/>
    </xf>
    <xf numFmtId="0" fontId="0" fillId="0" borderId="43" xfId="0" applyFill="1" applyBorder="1" applyAlignment="1">
      <alignment horizontal="center"/>
    </xf>
    <xf numFmtId="10" fontId="0" fillId="11" borderId="9" xfId="0" applyNumberFormat="1" applyFill="1" applyBorder="1" applyAlignment="1">
      <alignment horizontal="right"/>
    </xf>
    <xf numFmtId="0" fontId="2" fillId="0" borderId="28" xfId="0" applyFont="1" applyFill="1" applyBorder="1" applyAlignment="1">
      <alignment horizontal="left"/>
    </xf>
    <xf numFmtId="0" fontId="2" fillId="11" borderId="28" xfId="0" applyFont="1" applyFill="1" applyBorder="1" applyAlignment="1">
      <alignment horizontal="left"/>
    </xf>
    <xf numFmtId="0" fontId="2" fillId="4" borderId="28" xfId="0" applyFont="1" applyFill="1" applyBorder="1" applyAlignment="1">
      <alignment horizontal="left"/>
    </xf>
    <xf numFmtId="0" fontId="2" fillId="11" borderId="34" xfId="0" applyFont="1" applyFill="1" applyBorder="1" applyAlignment="1">
      <alignment horizontal="left"/>
    </xf>
    <xf numFmtId="0" fontId="2" fillId="0" borderId="44" xfId="0" applyFont="1" applyBorder="1" applyAlignment="1">
      <alignment horizontal="left"/>
    </xf>
    <xf numFmtId="10" fontId="0" fillId="4" borderId="9" xfId="0" applyNumberFormat="1" applyFill="1" applyBorder="1" applyAlignment="1">
      <alignment horizontal="right"/>
    </xf>
    <xf numFmtId="3" fontId="0" fillId="4" borderId="9" xfId="0" applyNumberFormat="1" applyFill="1" applyBorder="1" applyAlignment="1">
      <alignment horizontal="right"/>
    </xf>
    <xf numFmtId="3" fontId="0" fillId="4" borderId="29" xfId="0" applyNumberFormat="1" applyFill="1" applyBorder="1" applyAlignment="1">
      <alignment horizontal="right"/>
    </xf>
    <xf numFmtId="10" fontId="0" fillId="0" borderId="0" xfId="0" applyNumberFormat="1"/>
    <xf numFmtId="10" fontId="0" fillId="0" borderId="9" xfId="0" applyNumberFormat="1" applyBorder="1"/>
    <xf numFmtId="9" fontId="0" fillId="0" borderId="0" xfId="0" applyNumberFormat="1"/>
    <xf numFmtId="0" fontId="0" fillId="0" borderId="38" xfId="0" applyBorder="1"/>
    <xf numFmtId="0" fontId="0" fillId="17" borderId="46" xfId="0" applyFill="1" applyBorder="1"/>
    <xf numFmtId="9" fontId="0" fillId="17" borderId="47" xfId="0" applyNumberFormat="1" applyFill="1" applyBorder="1"/>
    <xf numFmtId="9" fontId="0" fillId="17" borderId="48" xfId="0" applyNumberFormat="1" applyFill="1" applyBorder="1"/>
    <xf numFmtId="0" fontId="2" fillId="17" borderId="30" xfId="0" applyFont="1" applyFill="1" applyBorder="1" applyAlignment="1">
      <alignment horizontal="right"/>
    </xf>
    <xf numFmtId="0" fontId="0" fillId="12" borderId="11" xfId="0" applyFill="1" applyBorder="1" applyAlignment="1">
      <alignment wrapText="1"/>
    </xf>
    <xf numFmtId="0" fontId="0" fillId="12" borderId="45" xfId="0" applyFill="1" applyBorder="1" applyAlignment="1">
      <alignment wrapText="1"/>
    </xf>
    <xf numFmtId="10" fontId="2" fillId="17" borderId="31" xfId="0" applyNumberFormat="1" applyFont="1" applyFill="1" applyBorder="1" applyAlignment="1">
      <alignment horizontal="right"/>
    </xf>
    <xf numFmtId="0" fontId="0" fillId="12" borderId="0" xfId="0" applyFill="1" applyBorder="1" applyAlignment="1">
      <alignment wrapText="1"/>
    </xf>
    <xf numFmtId="166" fontId="0" fillId="0" borderId="10" xfId="1" applyNumberFormat="1" applyFont="1" applyBorder="1"/>
    <xf numFmtId="10" fontId="2" fillId="0" borderId="46" xfId="0" applyNumberFormat="1" applyFont="1" applyBorder="1"/>
    <xf numFmtId="166" fontId="2" fillId="0" borderId="47" xfId="1" applyNumberFormat="1" applyFont="1" applyBorder="1"/>
    <xf numFmtId="9" fontId="0" fillId="17" borderId="0" xfId="0" applyNumberFormat="1" applyFill="1" applyBorder="1"/>
    <xf numFmtId="10" fontId="0" fillId="0" borderId="0" xfId="0" applyNumberFormat="1" applyBorder="1"/>
    <xf numFmtId="10" fontId="2" fillId="17" borderId="0" xfId="0" applyNumberFormat="1" applyFont="1" applyFill="1" applyBorder="1" applyAlignment="1">
      <alignment horizontal="right"/>
    </xf>
    <xf numFmtId="0" fontId="0" fillId="0" borderId="24" xfId="0" applyBorder="1"/>
    <xf numFmtId="0" fontId="0" fillId="13" borderId="24" xfId="0" applyFill="1" applyBorder="1" applyAlignment="1">
      <alignment wrapText="1"/>
    </xf>
    <xf numFmtId="10" fontId="0" fillId="0" borderId="24" xfId="0" applyNumberFormat="1" applyBorder="1"/>
    <xf numFmtId="10" fontId="0" fillId="0" borderId="16" xfId="0" applyNumberFormat="1" applyBorder="1"/>
    <xf numFmtId="10" fontId="2" fillId="0" borderId="49" xfId="0" applyNumberFormat="1" applyFont="1" applyBorder="1"/>
    <xf numFmtId="3" fontId="2" fillId="4" borderId="26" xfId="0" applyNumberFormat="1" applyFont="1" applyFill="1" applyBorder="1"/>
    <xf numFmtId="3" fontId="2" fillId="4" borderId="27" xfId="0" applyNumberFormat="1" applyFont="1" applyFill="1" applyBorder="1"/>
    <xf numFmtId="165" fontId="0" fillId="0" borderId="28" xfId="0" applyNumberFormat="1" applyBorder="1"/>
    <xf numFmtId="0" fontId="2" fillId="13" borderId="28" xfId="0" applyFont="1" applyFill="1" applyBorder="1" applyAlignment="1">
      <alignment horizontal="center" wrapText="1"/>
    </xf>
    <xf numFmtId="0" fontId="2" fillId="0" borderId="50" xfId="0" applyFont="1" applyBorder="1"/>
    <xf numFmtId="0" fontId="0" fillId="0" borderId="16" xfId="0" applyBorder="1" applyAlignment="1">
      <alignment horizontal="center"/>
    </xf>
    <xf numFmtId="0" fontId="0" fillId="0" borderId="17" xfId="0" applyBorder="1" applyAlignment="1">
      <alignment horizontal="center"/>
    </xf>
    <xf numFmtId="0" fontId="0" fillId="0" borderId="18" xfId="0" applyBorder="1" applyAlignment="1">
      <alignment horizontal="center"/>
    </xf>
    <xf numFmtId="0" fontId="0" fillId="0" borderId="17" xfId="0" applyBorder="1" applyAlignment="1">
      <alignment horizontal="left"/>
    </xf>
    <xf numFmtId="0" fontId="0" fillId="0" borderId="19" xfId="0" applyBorder="1" applyAlignment="1">
      <alignment horizontal="center"/>
    </xf>
    <xf numFmtId="0" fontId="0" fillId="0" borderId="20" xfId="0" applyBorder="1" applyAlignment="1">
      <alignment horizontal="center"/>
    </xf>
    <xf numFmtId="0" fontId="0" fillId="0" borderId="0" xfId="0" applyBorder="1" applyAlignment="1">
      <alignment horizontal="left"/>
    </xf>
    <xf numFmtId="0" fontId="0" fillId="0" borderId="21" xfId="0" applyBorder="1" applyAlignment="1">
      <alignment horizontal="center"/>
    </xf>
    <xf numFmtId="0" fontId="0" fillId="0" borderId="13" xfId="0" applyBorder="1" applyAlignment="1">
      <alignment horizontal="center"/>
    </xf>
    <xf numFmtId="0" fontId="0" fillId="0" borderId="22" xfId="0" applyBorder="1" applyAlignment="1">
      <alignment horizontal="center"/>
    </xf>
    <xf numFmtId="0" fontId="0" fillId="0" borderId="0" xfId="0" applyFill="1" applyBorder="1" applyAlignment="1">
      <alignment horizontal="center"/>
    </xf>
    <xf numFmtId="0" fontId="0" fillId="4" borderId="0" xfId="0" applyFill="1" applyAlignment="1">
      <alignment horizontal="right"/>
    </xf>
    <xf numFmtId="0" fontId="0" fillId="4" borderId="19" xfId="0" applyFill="1" applyBorder="1" applyAlignment="1">
      <alignment horizontal="center"/>
    </xf>
    <xf numFmtId="0" fontId="0" fillId="4" borderId="0" xfId="0" applyFill="1" applyBorder="1" applyAlignment="1">
      <alignment horizontal="center"/>
    </xf>
    <xf numFmtId="0" fontId="0" fillId="4" borderId="20" xfId="0" applyFill="1" applyBorder="1" applyAlignment="1">
      <alignment horizontal="center"/>
    </xf>
    <xf numFmtId="0" fontId="0" fillId="4" borderId="0" xfId="0" applyFill="1" applyAlignment="1">
      <alignment horizontal="center"/>
    </xf>
    <xf numFmtId="0" fontId="0" fillId="4" borderId="0" xfId="0" applyFill="1"/>
    <xf numFmtId="0" fontId="0" fillId="11" borderId="0" xfId="0" applyFill="1" applyAlignment="1">
      <alignment horizontal="right"/>
    </xf>
    <xf numFmtId="0" fontId="0" fillId="11" borderId="21" xfId="0" applyFill="1" applyBorder="1" applyAlignment="1">
      <alignment horizontal="center"/>
    </xf>
    <xf numFmtId="0" fontId="0" fillId="11" borderId="13" xfId="0" applyFill="1" applyBorder="1" applyAlignment="1">
      <alignment horizontal="center"/>
    </xf>
    <xf numFmtId="0" fontId="0" fillId="11" borderId="22" xfId="0" applyFill="1" applyBorder="1" applyAlignment="1">
      <alignment horizontal="center"/>
    </xf>
    <xf numFmtId="0" fontId="0" fillId="11" borderId="0" xfId="0" applyFill="1" applyAlignment="1">
      <alignment horizontal="center"/>
    </xf>
    <xf numFmtId="0" fontId="0" fillId="11" borderId="0" xfId="0" applyFill="1"/>
    <xf numFmtId="0" fontId="2" fillId="0" borderId="50" xfId="0" applyFont="1" applyBorder="1" applyAlignment="1">
      <alignment horizontal="center"/>
    </xf>
    <xf numFmtId="0" fontId="0" fillId="0" borderId="0" xfId="0" applyFill="1" applyAlignment="1">
      <alignment horizontal="center"/>
    </xf>
    <xf numFmtId="0" fontId="12" fillId="6" borderId="14" xfId="0" applyFont="1" applyFill="1" applyBorder="1" applyAlignment="1">
      <alignment horizontal="left" vertical="center" wrapText="1"/>
    </xf>
    <xf numFmtId="0" fontId="3" fillId="6" borderId="5" xfId="0" applyFont="1" applyFill="1" applyBorder="1" applyAlignment="1">
      <alignment horizontal="left" vertical="center" wrapText="1"/>
    </xf>
    <xf numFmtId="3" fontId="3" fillId="6" borderId="34" xfId="0" applyNumberFormat="1" applyFont="1" applyFill="1" applyBorder="1" applyAlignment="1">
      <alignment horizontal="center" vertical="center" wrapText="1"/>
    </xf>
    <xf numFmtId="0" fontId="0" fillId="15" borderId="47" xfId="0" applyFill="1" applyBorder="1"/>
    <xf numFmtId="0" fontId="12" fillId="6" borderId="42" xfId="0" applyFont="1" applyFill="1" applyBorder="1" applyAlignment="1">
      <alignment horizontal="left" vertical="center" wrapText="1"/>
    </xf>
    <xf numFmtId="0" fontId="12" fillId="15" borderId="46" xfId="0" applyFont="1" applyFill="1" applyBorder="1" applyAlignment="1">
      <alignment horizontal="left" vertical="center" wrapText="1"/>
    </xf>
    <xf numFmtId="3" fontId="17" fillId="15" borderId="47" xfId="0" applyNumberFormat="1" applyFont="1" applyFill="1" applyBorder="1" applyAlignment="1">
      <alignment horizontal="center"/>
    </xf>
    <xf numFmtId="0" fontId="19" fillId="14" borderId="31" xfId="1" applyNumberFormat="1" applyFont="1" applyFill="1" applyBorder="1" applyAlignment="1">
      <alignment horizontal="center"/>
    </xf>
    <xf numFmtId="0" fontId="12" fillId="4" borderId="14" xfId="0" applyFont="1" applyFill="1" applyBorder="1" applyAlignment="1">
      <alignment horizontal="left" vertical="center" wrapText="1"/>
    </xf>
    <xf numFmtId="0" fontId="21" fillId="4" borderId="9" xfId="0" applyFont="1" applyFill="1" applyBorder="1" applyAlignment="1">
      <alignment horizontal="justify" vertical="center" wrapText="1"/>
    </xf>
    <xf numFmtId="3" fontId="12" fillId="4" borderId="28" xfId="0" applyNumberFormat="1" applyFont="1" applyFill="1" applyBorder="1" applyAlignment="1">
      <alignment horizontal="center" vertical="center" wrapText="1"/>
    </xf>
    <xf numFmtId="3" fontId="12" fillId="4" borderId="9" xfId="0" applyNumberFormat="1" applyFont="1" applyFill="1" applyBorder="1" applyAlignment="1">
      <alignment horizontal="center" vertical="center" wrapText="1"/>
    </xf>
    <xf numFmtId="3" fontId="12" fillId="6" borderId="30" xfId="0" applyNumberFormat="1" applyFont="1" applyFill="1" applyBorder="1" applyAlignment="1">
      <alignment horizontal="center" vertical="center" wrapText="1"/>
    </xf>
    <xf numFmtId="3" fontId="16" fillId="4" borderId="12" xfId="0" applyNumberFormat="1" applyFont="1" applyFill="1" applyBorder="1" applyAlignment="1">
      <alignment horizontal="center" vertical="center" wrapText="1"/>
    </xf>
    <xf numFmtId="166" fontId="0" fillId="0" borderId="24" xfId="1" applyNumberFormat="1" applyFont="1" applyBorder="1"/>
    <xf numFmtId="166" fontId="0" fillId="0" borderId="16" xfId="1" applyNumberFormat="1" applyFont="1" applyBorder="1"/>
    <xf numFmtId="166" fontId="2" fillId="0" borderId="51" xfId="1" applyNumberFormat="1" applyFont="1" applyBorder="1"/>
    <xf numFmtId="0" fontId="0" fillId="18" borderId="12" xfId="0" applyFill="1" applyBorder="1" applyAlignment="1">
      <alignment horizontal="right" wrapText="1"/>
    </xf>
    <xf numFmtId="166" fontId="0" fillId="0" borderId="52" xfId="1" applyNumberFormat="1" applyFont="1" applyBorder="1" applyAlignment="1">
      <alignment horizontal="right"/>
    </xf>
    <xf numFmtId="3" fontId="2" fillId="4" borderId="3" xfId="0" applyNumberFormat="1" applyFont="1" applyFill="1" applyBorder="1"/>
    <xf numFmtId="166" fontId="0" fillId="0" borderId="29" xfId="1" applyNumberFormat="1" applyFont="1" applyBorder="1" applyAlignment="1">
      <alignment horizontal="right"/>
    </xf>
    <xf numFmtId="166" fontId="0" fillId="0" borderId="33" xfId="1" applyNumberFormat="1" applyFont="1" applyBorder="1" applyAlignment="1">
      <alignment horizontal="right"/>
    </xf>
    <xf numFmtId="166" fontId="2" fillId="0" borderId="50" xfId="1" applyNumberFormat="1" applyFont="1" applyBorder="1" applyAlignment="1">
      <alignment horizontal="right"/>
    </xf>
    <xf numFmtId="0" fontId="22" fillId="11" borderId="28" xfId="0" applyFont="1" applyFill="1" applyBorder="1" applyAlignment="1">
      <alignment horizontal="right"/>
    </xf>
    <xf numFmtId="3" fontId="22" fillId="11" borderId="9" xfId="0" applyNumberFormat="1" applyFont="1" applyFill="1" applyBorder="1" applyAlignment="1">
      <alignment horizontal="right"/>
    </xf>
    <xf numFmtId="9" fontId="22" fillId="11" borderId="9" xfId="0" applyNumberFormat="1" applyFont="1" applyFill="1" applyBorder="1" applyAlignment="1">
      <alignment horizontal="right"/>
    </xf>
    <xf numFmtId="10" fontId="22" fillId="11" borderId="29" xfId="0" applyNumberFormat="1" applyFont="1" applyFill="1" applyBorder="1" applyAlignment="1">
      <alignment horizontal="right"/>
    </xf>
    <xf numFmtId="0" fontId="2" fillId="15" borderId="28" xfId="0" applyFont="1" applyFill="1" applyBorder="1" applyAlignment="1">
      <alignment horizontal="left"/>
    </xf>
    <xf numFmtId="0" fontId="0" fillId="0" borderId="28" xfId="0" applyFont="1" applyFill="1" applyBorder="1" applyAlignment="1">
      <alignment horizontal="left"/>
    </xf>
    <xf numFmtId="10" fontId="0" fillId="0" borderId="0" xfId="0" applyNumberFormat="1" applyFill="1" applyBorder="1"/>
    <xf numFmtId="0" fontId="0" fillId="4" borderId="38" xfId="0" applyFill="1" applyBorder="1" applyAlignment="1">
      <alignment horizontal="right"/>
    </xf>
    <xf numFmtId="3" fontId="0" fillId="4" borderId="11" xfId="0" applyNumberFormat="1" applyFill="1" applyBorder="1" applyAlignment="1">
      <alignment horizontal="right"/>
    </xf>
    <xf numFmtId="3" fontId="0" fillId="4" borderId="45" xfId="0" applyNumberFormat="1" applyFill="1" applyBorder="1" applyAlignment="1">
      <alignment horizontal="right"/>
    </xf>
    <xf numFmtId="0" fontId="0" fillId="0" borderId="46" xfId="0" applyFill="1" applyBorder="1" applyAlignment="1">
      <alignment horizontal="center"/>
    </xf>
    <xf numFmtId="0" fontId="0" fillId="12" borderId="53" xfId="0" applyFill="1" applyBorder="1" applyAlignment="1">
      <alignment vertical="top" wrapText="1"/>
    </xf>
    <xf numFmtId="0" fontId="0" fillId="12" borderId="50" xfId="0" applyFill="1" applyBorder="1" applyAlignment="1">
      <alignment vertical="top" wrapText="1"/>
    </xf>
    <xf numFmtId="0" fontId="0" fillId="12" borderId="46" xfId="0" applyFill="1" applyBorder="1" applyAlignment="1">
      <alignment vertical="top" wrapText="1"/>
    </xf>
    <xf numFmtId="0" fontId="0" fillId="12" borderId="48" xfId="0" applyFill="1" applyBorder="1" applyAlignment="1">
      <alignment vertical="top" wrapText="1"/>
    </xf>
    <xf numFmtId="10" fontId="0" fillId="4" borderId="29" xfId="0" applyNumberFormat="1" applyFill="1" applyBorder="1" applyAlignment="1">
      <alignment horizontal="right"/>
    </xf>
    <xf numFmtId="1" fontId="0" fillId="0" borderId="0" xfId="0" applyNumberFormat="1"/>
    <xf numFmtId="0" fontId="0" fillId="12" borderId="3" xfId="0" applyFill="1" applyBorder="1" applyAlignment="1">
      <alignment horizontal="center" vertical="top" wrapText="1"/>
    </xf>
    <xf numFmtId="0" fontId="0" fillId="12" borderId="12" xfId="0" applyFill="1" applyBorder="1" applyAlignment="1">
      <alignment horizontal="center" vertical="top" wrapText="1"/>
    </xf>
    <xf numFmtId="0" fontId="0" fillId="12" borderId="43" xfId="0" applyFill="1" applyBorder="1" applyAlignment="1">
      <alignment horizontal="center" vertical="top" wrapText="1"/>
    </xf>
    <xf numFmtId="0" fontId="0" fillId="12" borderId="27" xfId="0" applyFill="1" applyBorder="1" applyAlignment="1">
      <alignment horizontal="center" vertical="top" wrapText="1"/>
    </xf>
    <xf numFmtId="0" fontId="12" fillId="0" borderId="26" xfId="0" applyFont="1" applyFill="1" applyBorder="1" applyAlignment="1">
      <alignment horizontal="center" vertical="center" wrapText="1"/>
    </xf>
    <xf numFmtId="3" fontId="3" fillId="0" borderId="31" xfId="0" applyNumberFormat="1" applyFont="1" applyFill="1" applyBorder="1" applyAlignment="1">
      <alignment horizontal="center" vertical="center" wrapText="1"/>
    </xf>
    <xf numFmtId="0" fontId="12" fillId="0" borderId="9" xfId="0" applyFont="1" applyFill="1" applyBorder="1" applyAlignment="1">
      <alignment horizontal="center" vertical="center" wrapText="1"/>
    </xf>
    <xf numFmtId="3" fontId="0" fillId="0" borderId="0" xfId="0" applyNumberFormat="1" applyFill="1"/>
    <xf numFmtId="0" fontId="12" fillId="16" borderId="11" xfId="0" applyFont="1" applyFill="1" applyBorder="1" applyAlignment="1">
      <alignment horizontal="center" vertical="center" wrapText="1"/>
    </xf>
    <xf numFmtId="3" fontId="0" fillId="0" borderId="9" xfId="0" applyNumberFormat="1" applyBorder="1" applyAlignment="1">
      <alignment horizontal="center"/>
    </xf>
    <xf numFmtId="3" fontId="0" fillId="0" borderId="29" xfId="0" applyNumberFormat="1" applyBorder="1" applyAlignment="1">
      <alignment horizontal="center"/>
    </xf>
    <xf numFmtId="3" fontId="2" fillId="0" borderId="44" xfId="0" applyNumberFormat="1" applyFont="1" applyBorder="1" applyAlignment="1">
      <alignment horizontal="center"/>
    </xf>
    <xf numFmtId="1" fontId="2" fillId="0" borderId="44" xfId="0" applyNumberFormat="1" applyFont="1" applyBorder="1" applyAlignment="1">
      <alignment horizontal="center"/>
    </xf>
    <xf numFmtId="0" fontId="0" fillId="4" borderId="9" xfId="0" applyFill="1" applyBorder="1" applyAlignment="1">
      <alignment horizontal="right"/>
    </xf>
    <xf numFmtId="43" fontId="0" fillId="19" borderId="0" xfId="1" applyFont="1" applyFill="1" applyBorder="1" applyAlignment="1">
      <alignment horizontal="center"/>
    </xf>
    <xf numFmtId="0" fontId="2" fillId="0" borderId="0" xfId="0" applyFont="1" applyFill="1" applyBorder="1" applyAlignment="1">
      <alignment horizontal="left"/>
    </xf>
    <xf numFmtId="0" fontId="2" fillId="0" borderId="0" xfId="0" applyFont="1" applyBorder="1" applyAlignment="1">
      <alignment horizontal="center"/>
    </xf>
    <xf numFmtId="2" fontId="0" fillId="0" borderId="0" xfId="0" applyNumberFormat="1" applyBorder="1"/>
    <xf numFmtId="2" fontId="0" fillId="13" borderId="0" xfId="0" applyNumberFormat="1" applyFill="1" applyBorder="1"/>
    <xf numFmtId="43" fontId="0" fillId="0" borderId="0" xfId="1" applyFont="1" applyBorder="1"/>
    <xf numFmtId="43" fontId="0" fillId="19" borderId="0" xfId="1" applyFont="1" applyFill="1" applyBorder="1" applyAlignment="1">
      <alignment horizontal="right"/>
    </xf>
    <xf numFmtId="43" fontId="2" fillId="0" borderId="0" xfId="1" applyFont="1" applyBorder="1" applyAlignment="1">
      <alignment horizontal="left"/>
    </xf>
    <xf numFmtId="0" fontId="2" fillId="0" borderId="54" xfId="0" applyFont="1" applyFill="1" applyBorder="1" applyAlignment="1">
      <alignment horizontal="left"/>
    </xf>
    <xf numFmtId="43" fontId="2" fillId="0" borderId="40" xfId="1" applyFont="1" applyFill="1" applyBorder="1" applyAlignment="1">
      <alignment horizontal="left"/>
    </xf>
    <xf numFmtId="43" fontId="2" fillId="19" borderId="40" xfId="1" applyFont="1" applyFill="1" applyBorder="1" applyAlignment="1">
      <alignment horizontal="right"/>
    </xf>
    <xf numFmtId="43" fontId="0" fillId="0" borderId="0" xfId="1" applyFont="1" applyFill="1" applyBorder="1" applyAlignment="1">
      <alignment horizontal="center"/>
    </xf>
    <xf numFmtId="43" fontId="0" fillId="4" borderId="55" xfId="1" applyFont="1" applyFill="1" applyBorder="1" applyAlignment="1">
      <alignment horizontal="center"/>
    </xf>
    <xf numFmtId="43" fontId="0" fillId="4" borderId="4" xfId="1" applyFont="1" applyFill="1" applyBorder="1" applyAlignment="1">
      <alignment horizontal="center"/>
    </xf>
    <xf numFmtId="43" fontId="0" fillId="4" borderId="6" xfId="1" applyFont="1" applyFill="1" applyBorder="1" applyAlignment="1">
      <alignment horizontal="center"/>
    </xf>
    <xf numFmtId="43" fontId="0" fillId="0" borderId="49" xfId="1" applyFont="1" applyFill="1" applyBorder="1" applyAlignment="1">
      <alignment horizontal="center"/>
    </xf>
    <xf numFmtId="43" fontId="0" fillId="19" borderId="53" xfId="1" applyFont="1" applyFill="1" applyBorder="1" applyAlignment="1">
      <alignment horizontal="center"/>
    </xf>
    <xf numFmtId="3" fontId="0" fillId="0" borderId="9" xfId="2" applyNumberFormat="1" applyFont="1" applyFill="1" applyBorder="1"/>
    <xf numFmtId="3" fontId="0" fillId="4" borderId="9" xfId="2" applyNumberFormat="1" applyFont="1" applyFill="1" applyBorder="1"/>
    <xf numFmtId="0" fontId="4" fillId="0" borderId="0" xfId="0" applyFont="1" applyAlignment="1">
      <alignment horizontal="center" vertical="center" wrapText="1"/>
    </xf>
    <xf numFmtId="0" fontId="4" fillId="0" borderId="0" xfId="0" applyFont="1" applyBorder="1" applyAlignment="1">
      <alignment horizontal="center" vertical="center" wrapText="1"/>
    </xf>
    <xf numFmtId="0" fontId="0" fillId="0" borderId="0" xfId="0" applyFont="1" applyBorder="1" applyAlignment="1">
      <alignment horizontal="center" vertical="center" wrapText="1"/>
    </xf>
    <xf numFmtId="0" fontId="4" fillId="0" borderId="0" xfId="0" applyFont="1" applyFill="1" applyBorder="1" applyAlignment="1">
      <alignment horizontal="center" vertical="center" wrapText="1"/>
    </xf>
    <xf numFmtId="2" fontId="2" fillId="0" borderId="44" xfId="0" applyNumberFormat="1" applyFont="1" applyBorder="1" applyAlignment="1">
      <alignment horizontal="center"/>
    </xf>
    <xf numFmtId="2" fontId="0" fillId="4" borderId="9" xfId="2" applyNumberFormat="1" applyFont="1" applyFill="1" applyBorder="1"/>
    <xf numFmtId="2" fontId="0" fillId="0" borderId="9" xfId="2" applyNumberFormat="1" applyFont="1" applyFill="1" applyBorder="1"/>
    <xf numFmtId="0" fontId="0" fillId="13" borderId="9" xfId="0" applyFill="1" applyBorder="1" applyAlignment="1">
      <alignment horizontal="center" vertical="center" wrapText="1"/>
    </xf>
    <xf numFmtId="0" fontId="0" fillId="13" borderId="29" xfId="0" applyFill="1" applyBorder="1" applyAlignment="1">
      <alignment horizontal="center" vertical="center" wrapText="1"/>
    </xf>
    <xf numFmtId="0" fontId="0" fillId="20" borderId="0" xfId="0" applyFill="1" applyAlignment="1">
      <alignment horizontal="center"/>
    </xf>
    <xf numFmtId="0" fontId="0" fillId="0" borderId="0" xfId="0" applyFont="1" applyFill="1" applyBorder="1" applyAlignment="1">
      <alignment horizontal="center"/>
    </xf>
    <xf numFmtId="0" fontId="0" fillId="0" borderId="7" xfId="0" applyBorder="1" applyAlignment="1">
      <alignment horizontal="center"/>
    </xf>
    <xf numFmtId="0" fontId="3" fillId="5" borderId="12" xfId="0" applyFont="1" applyFill="1" applyBorder="1" applyAlignment="1">
      <alignment horizontal="center" vertical="center" wrapText="1"/>
    </xf>
    <xf numFmtId="0" fontId="3" fillId="5" borderId="14" xfId="0" applyFont="1" applyFill="1" applyBorder="1" applyAlignment="1">
      <alignment horizontal="center" vertical="center" wrapText="1"/>
    </xf>
    <xf numFmtId="0" fontId="3" fillId="5" borderId="12" xfId="0" applyFont="1" applyFill="1" applyBorder="1" applyAlignment="1">
      <alignment horizontal="justify" vertical="center" wrapText="1"/>
    </xf>
    <xf numFmtId="0" fontId="3" fillId="5" borderId="14" xfId="0" applyFont="1" applyFill="1" applyBorder="1" applyAlignment="1">
      <alignment horizontal="justify" vertical="center" wrapText="1"/>
    </xf>
    <xf numFmtId="0" fontId="3" fillId="5" borderId="12" xfId="0" applyFont="1" applyFill="1" applyBorder="1" applyAlignment="1">
      <alignment horizontal="left" vertical="center" wrapText="1"/>
    </xf>
    <xf numFmtId="0" fontId="3" fillId="5" borderId="14" xfId="0" applyFont="1" applyFill="1" applyBorder="1" applyAlignment="1">
      <alignment horizontal="left" vertical="center" wrapText="1"/>
    </xf>
    <xf numFmtId="0" fontId="16" fillId="5" borderId="6" xfId="0" applyFont="1" applyFill="1" applyBorder="1" applyAlignment="1">
      <alignment horizontal="center" vertical="center" wrapText="1"/>
    </xf>
    <xf numFmtId="0" fontId="16" fillId="5" borderId="7" xfId="0" applyFont="1" applyFill="1" applyBorder="1" applyAlignment="1">
      <alignment horizontal="center" vertical="center" wrapText="1"/>
    </xf>
    <xf numFmtId="0" fontId="16" fillId="5" borderId="0" xfId="0" applyFont="1" applyFill="1" applyBorder="1" applyAlignment="1">
      <alignment horizontal="center" vertical="center" wrapText="1"/>
    </xf>
    <xf numFmtId="0" fontId="16" fillId="16" borderId="19" xfId="0" applyFont="1" applyFill="1" applyBorder="1" applyAlignment="1">
      <alignment horizontal="center" vertical="center" wrapText="1"/>
    </xf>
    <xf numFmtId="0" fontId="16" fillId="16" borderId="0" xfId="0" applyFont="1" applyFill="1" applyBorder="1" applyAlignment="1">
      <alignment horizontal="center" vertical="center" wrapText="1"/>
    </xf>
    <xf numFmtId="0" fontId="12" fillId="5" borderId="39" xfId="0" applyFont="1" applyFill="1" applyBorder="1" applyAlignment="1">
      <alignment horizontal="center" vertical="center" wrapText="1"/>
    </xf>
    <xf numFmtId="0" fontId="12" fillId="5" borderId="40" xfId="0" applyFont="1" applyFill="1" applyBorder="1" applyAlignment="1">
      <alignment horizontal="center" vertical="center" wrapText="1"/>
    </xf>
    <xf numFmtId="0" fontId="0" fillId="0" borderId="0" xfId="0" applyFill="1" applyBorder="1" applyAlignment="1">
      <alignment horizontal="center" vertical="top" wrapText="1"/>
    </xf>
    <xf numFmtId="0" fontId="0" fillId="0" borderId="0" xfId="0" applyFill="1" applyBorder="1" applyAlignment="1">
      <alignment horizontal="center" vertical="top"/>
    </xf>
    <xf numFmtId="0" fontId="0" fillId="12" borderId="43" xfId="0" applyFill="1" applyBorder="1" applyAlignment="1">
      <alignment horizontal="center" vertical="top" wrapText="1"/>
    </xf>
    <xf numFmtId="0" fontId="0" fillId="12" borderId="38" xfId="0" applyFill="1" applyBorder="1" applyAlignment="1">
      <alignment horizontal="center" vertical="top" wrapText="1"/>
    </xf>
    <xf numFmtId="0" fontId="0" fillId="12" borderId="27" xfId="0" applyFill="1" applyBorder="1" applyAlignment="1">
      <alignment horizontal="center" vertical="top" wrapText="1"/>
    </xf>
    <xf numFmtId="0" fontId="0" fillId="12" borderId="33" xfId="0" applyFill="1" applyBorder="1" applyAlignment="1">
      <alignment horizontal="center" vertical="top" wrapText="1"/>
    </xf>
    <xf numFmtId="0" fontId="0" fillId="12" borderId="2" xfId="0" applyFill="1" applyBorder="1" applyAlignment="1">
      <alignment horizontal="center" vertical="top" wrapText="1"/>
    </xf>
    <xf numFmtId="0" fontId="0" fillId="12" borderId="13" xfId="0" applyFill="1" applyBorder="1" applyAlignment="1">
      <alignment horizontal="center" vertical="top" wrapText="1"/>
    </xf>
    <xf numFmtId="0" fontId="0" fillId="12" borderId="3" xfId="0" applyFill="1" applyBorder="1" applyAlignment="1">
      <alignment horizontal="center" vertical="top" wrapText="1"/>
    </xf>
    <xf numFmtId="0" fontId="0" fillId="12" borderId="5" xfId="0" applyFill="1" applyBorder="1" applyAlignment="1">
      <alignment horizontal="center" vertical="top" wrapText="1"/>
    </xf>
    <xf numFmtId="0" fontId="0" fillId="12" borderId="12" xfId="0" applyFill="1" applyBorder="1" applyAlignment="1">
      <alignment horizontal="center" vertical="top" wrapText="1"/>
    </xf>
    <xf numFmtId="0" fontId="0" fillId="12" borderId="42" xfId="0" applyFill="1" applyBorder="1" applyAlignment="1">
      <alignment horizontal="center" vertical="top" wrapText="1"/>
    </xf>
    <xf numFmtId="0" fontId="0" fillId="12" borderId="1" xfId="0" applyFill="1" applyBorder="1" applyAlignment="1">
      <alignment horizontal="center" vertical="top" wrapText="1"/>
    </xf>
    <xf numFmtId="0" fontId="0" fillId="12" borderId="4" xfId="0" applyFill="1" applyBorder="1" applyAlignment="1">
      <alignment horizontal="center" vertical="top" wrapText="1"/>
    </xf>
    <xf numFmtId="0" fontId="0" fillId="0" borderId="9" xfId="0" applyBorder="1" applyAlignment="1">
      <alignment horizontal="center" wrapText="1"/>
    </xf>
    <xf numFmtId="0" fontId="0" fillId="9" borderId="9" xfId="0" applyFill="1" applyBorder="1" applyAlignment="1">
      <alignment horizontal="center"/>
    </xf>
    <xf numFmtId="10" fontId="0" fillId="0" borderId="28" xfId="0" applyNumberFormat="1" applyBorder="1"/>
    <xf numFmtId="10" fontId="0" fillId="0" borderId="34" xfId="0" applyNumberFormat="1" applyBorder="1"/>
    <xf numFmtId="169" fontId="0" fillId="11" borderId="9" xfId="0" applyNumberFormat="1" applyFill="1" applyBorder="1" applyAlignment="1">
      <alignment horizontal="center"/>
    </xf>
    <xf numFmtId="169" fontId="0" fillId="11" borderId="9" xfId="1" applyNumberFormat="1" applyFont="1" applyFill="1" applyBorder="1" applyAlignment="1">
      <alignment horizontal="center"/>
    </xf>
    <xf numFmtId="169" fontId="0" fillId="11" borderId="29" xfId="0" applyNumberFormat="1" applyFill="1" applyBorder="1" applyAlignment="1">
      <alignment horizontal="center"/>
    </xf>
    <xf numFmtId="169" fontId="0" fillId="0" borderId="9" xfId="0" applyNumberFormat="1" applyFill="1" applyBorder="1" applyAlignment="1">
      <alignment horizontal="center"/>
    </xf>
    <xf numFmtId="169" fontId="0" fillId="0" borderId="9" xfId="0" applyNumberFormat="1" applyBorder="1" applyAlignment="1">
      <alignment horizontal="center"/>
    </xf>
    <xf numFmtId="169" fontId="0" fillId="0" borderId="9" xfId="1" applyNumberFormat="1" applyFont="1" applyFill="1" applyBorder="1" applyAlignment="1">
      <alignment horizontal="center"/>
    </xf>
    <xf numFmtId="169" fontId="0" fillId="0" borderId="29" xfId="0" applyNumberFormat="1" applyBorder="1" applyAlignment="1">
      <alignment horizontal="center"/>
    </xf>
    <xf numFmtId="169" fontId="0" fillId="0" borderId="9" xfId="0" applyNumberFormat="1" applyFont="1" applyFill="1" applyBorder="1" applyAlignment="1">
      <alignment horizontal="center"/>
    </xf>
    <xf numFmtId="169" fontId="0" fillId="0" borderId="29" xfId="0" applyNumberFormat="1" applyFont="1" applyFill="1" applyBorder="1" applyAlignment="1">
      <alignment horizontal="center"/>
    </xf>
    <xf numFmtId="169" fontId="0" fillId="11" borderId="10" xfId="0" applyNumberFormat="1" applyFill="1" applyBorder="1" applyAlignment="1">
      <alignment horizontal="center"/>
    </xf>
    <xf numFmtId="169" fontId="0" fillId="11" borderId="33" xfId="0" applyNumberFormat="1" applyFill="1" applyBorder="1" applyAlignment="1">
      <alignment horizontal="center"/>
    </xf>
    <xf numFmtId="170" fontId="0" fillId="11" borderId="9" xfId="0" applyNumberFormat="1" applyFill="1" applyBorder="1" applyAlignment="1">
      <alignment horizontal="center"/>
    </xf>
    <xf numFmtId="170" fontId="0" fillId="11" borderId="9" xfId="1" applyNumberFormat="1" applyFont="1" applyFill="1" applyBorder="1" applyAlignment="1">
      <alignment horizontal="center"/>
    </xf>
    <xf numFmtId="170" fontId="0" fillId="11" borderId="29" xfId="0" applyNumberFormat="1" applyFill="1" applyBorder="1" applyAlignment="1">
      <alignment horizontal="center"/>
    </xf>
    <xf numFmtId="170" fontId="0" fillId="0" borderId="9" xfId="0" applyNumberFormat="1" applyFill="1" applyBorder="1" applyAlignment="1">
      <alignment horizontal="center"/>
    </xf>
    <xf numFmtId="170" fontId="0" fillId="0" borderId="9" xfId="0" applyNumberFormat="1" applyBorder="1" applyAlignment="1">
      <alignment horizontal="center"/>
    </xf>
    <xf numFmtId="170" fontId="0" fillId="0" borderId="9" xfId="1" applyNumberFormat="1" applyFont="1" applyFill="1" applyBorder="1" applyAlignment="1">
      <alignment horizontal="center"/>
    </xf>
    <xf numFmtId="170" fontId="0" fillId="0" borderId="29" xfId="0" applyNumberFormat="1" applyFill="1" applyBorder="1" applyAlignment="1">
      <alignment horizontal="center"/>
    </xf>
    <xf numFmtId="170" fontId="2" fillId="15" borderId="9" xfId="0" applyNumberFormat="1" applyFont="1" applyFill="1" applyBorder="1" applyAlignment="1">
      <alignment horizontal="center"/>
    </xf>
    <xf numFmtId="170" fontId="2" fillId="15" borderId="9" xfId="1" applyNumberFormat="1" applyFont="1" applyFill="1" applyBorder="1" applyAlignment="1">
      <alignment horizontal="center"/>
    </xf>
    <xf numFmtId="170" fontId="0" fillId="0" borderId="9" xfId="0" applyNumberFormat="1" applyFont="1" applyFill="1" applyBorder="1" applyAlignment="1">
      <alignment horizontal="center"/>
    </xf>
    <xf numFmtId="170" fontId="0" fillId="11" borderId="10" xfId="0" applyNumberFormat="1" applyFill="1" applyBorder="1" applyAlignment="1">
      <alignment horizontal="center"/>
    </xf>
    <xf numFmtId="10" fontId="0" fillId="11" borderId="24" xfId="0" applyNumberFormat="1" applyFill="1" applyBorder="1" applyAlignment="1">
      <alignment horizontal="right"/>
    </xf>
    <xf numFmtId="10" fontId="0" fillId="4" borderId="24" xfId="0" applyNumberFormat="1" applyFill="1" applyBorder="1" applyAlignment="1">
      <alignment horizontal="right"/>
    </xf>
    <xf numFmtId="171" fontId="0" fillId="11" borderId="24" xfId="0" applyNumberFormat="1" applyFill="1" applyBorder="1" applyAlignment="1">
      <alignment horizontal="right"/>
    </xf>
    <xf numFmtId="10" fontId="0" fillId="11" borderId="56" xfId="0" applyNumberFormat="1" applyFill="1" applyBorder="1" applyAlignment="1">
      <alignment horizontal="right"/>
    </xf>
    <xf numFmtId="10" fontId="0" fillId="4" borderId="56" xfId="0" applyNumberFormat="1" applyFill="1" applyBorder="1" applyAlignment="1">
      <alignment horizontal="right"/>
    </xf>
    <xf numFmtId="3" fontId="0" fillId="4" borderId="23" xfId="0" applyNumberFormat="1" applyFill="1" applyBorder="1" applyAlignment="1">
      <alignment horizontal="right"/>
    </xf>
    <xf numFmtId="10" fontId="0" fillId="21" borderId="57" xfId="0" applyNumberFormat="1" applyFill="1" applyBorder="1" applyAlignment="1">
      <alignment horizontal="right"/>
    </xf>
    <xf numFmtId="10" fontId="0" fillId="21" borderId="55" xfId="0" applyNumberFormat="1" applyFill="1" applyBorder="1" applyAlignment="1">
      <alignment horizontal="right"/>
    </xf>
    <xf numFmtId="10" fontId="0" fillId="21" borderId="58" xfId="0" applyNumberFormat="1" applyFill="1" applyBorder="1" applyAlignment="1">
      <alignment horizontal="right"/>
    </xf>
    <xf numFmtId="10" fontId="0" fillId="0" borderId="56" xfId="0" applyNumberFormat="1" applyBorder="1"/>
    <xf numFmtId="0" fontId="0" fillId="12" borderId="23" xfId="0" applyFill="1" applyBorder="1" applyAlignment="1">
      <alignment wrapText="1"/>
    </xf>
    <xf numFmtId="10" fontId="2" fillId="17" borderId="59" xfId="0" applyNumberFormat="1" applyFont="1" applyFill="1" applyBorder="1" applyAlignment="1">
      <alignment horizontal="right"/>
    </xf>
    <xf numFmtId="10" fontId="0" fillId="21" borderId="57" xfId="0" applyNumberFormat="1" applyFill="1" applyBorder="1"/>
    <xf numFmtId="10" fontId="0" fillId="21" borderId="55" xfId="0" applyNumberFormat="1" applyFill="1" applyBorder="1"/>
    <xf numFmtId="10" fontId="0" fillId="21" borderId="58" xfId="0" applyNumberFormat="1" applyFill="1" applyBorder="1"/>
  </cellXfs>
  <cellStyles count="5">
    <cellStyle name="Comma" xfId="1" builtinId="3"/>
    <cellStyle name="Comma 2" xfId="3" xr:uid="{00000000-0005-0000-0000-000001000000}"/>
    <cellStyle name="Input" xfId="4" builtinId="20"/>
    <cellStyle name="Normal" xfId="0" builtinId="0"/>
    <cellStyle name="Percent" xfId="2" builtinId="5"/>
  </cellStyles>
  <dxfs count="1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6CEFE"/>
      <color rgb="FFD9D9D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tint="0.39997558519241921"/>
  </sheetPr>
  <dimension ref="A1:V41"/>
  <sheetViews>
    <sheetView tabSelected="1" topLeftCell="H19" workbookViewId="0">
      <selection activeCell="D29" sqref="D29"/>
    </sheetView>
  </sheetViews>
  <sheetFormatPr defaultRowHeight="14.4" x14ac:dyDescent="0.3"/>
  <cols>
    <col min="1" max="2" width="8.88671875" style="59"/>
    <col min="3" max="3" width="7.5546875" style="59" customWidth="1"/>
    <col min="4" max="4" width="10.6640625" customWidth="1"/>
    <col min="6" max="8" width="12.5546875" customWidth="1"/>
    <col min="9" max="9" width="11.77734375" customWidth="1"/>
    <col min="10" max="10" width="10.6640625" customWidth="1"/>
    <col min="11" max="11" width="7.21875" style="59" customWidth="1"/>
    <col min="12" max="12" width="5.77734375" customWidth="1"/>
    <col min="13" max="13" width="11.44140625" customWidth="1"/>
    <col min="14" max="14" width="13.88671875" style="59" customWidth="1"/>
    <col min="15" max="15" width="11.44140625" customWidth="1"/>
    <col min="16" max="16" width="11" customWidth="1"/>
    <col min="17" max="17" width="9.77734375" customWidth="1"/>
    <col min="18" max="18" width="11.44140625" customWidth="1"/>
    <col min="19" max="19" width="10.33203125" bestFit="1" customWidth="1"/>
  </cols>
  <sheetData>
    <row r="1" spans="4:22" s="59" customFormat="1" x14ac:dyDescent="0.3"/>
    <row r="2" spans="4:22" s="59" customFormat="1" x14ac:dyDescent="0.3"/>
    <row r="3" spans="4:22" s="59" customFormat="1" x14ac:dyDescent="0.3"/>
    <row r="4" spans="4:22" x14ac:dyDescent="0.3">
      <c r="E4" s="59"/>
      <c r="F4" s="59" t="s">
        <v>221</v>
      </c>
      <c r="G4" s="59"/>
      <c r="H4" s="59"/>
      <c r="I4" s="59"/>
      <c r="J4" s="59"/>
      <c r="L4" s="59"/>
      <c r="M4" s="59"/>
      <c r="O4" s="59"/>
      <c r="P4" s="59"/>
      <c r="Q4" s="59"/>
    </row>
    <row r="5" spans="4:22" ht="15" thickBot="1" x14ac:dyDescent="0.35">
      <c r="E5" s="395" t="s">
        <v>295</v>
      </c>
      <c r="F5" s="395"/>
      <c r="G5" s="395"/>
      <c r="H5" s="395"/>
      <c r="I5" s="395"/>
      <c r="J5" s="395"/>
      <c r="K5" s="395"/>
      <c r="L5" s="395"/>
      <c r="M5" s="395"/>
      <c r="N5" s="395"/>
      <c r="O5" s="395"/>
      <c r="P5" s="395"/>
      <c r="Q5" s="395"/>
      <c r="R5" s="395"/>
      <c r="S5" s="395"/>
    </row>
    <row r="6" spans="4:22" ht="15" thickBot="1" x14ac:dyDescent="0.35">
      <c r="D6" t="s">
        <v>222</v>
      </c>
      <c r="E6" s="264"/>
      <c r="F6" s="265">
        <v>0.26</v>
      </c>
      <c r="G6" s="265">
        <v>0.16</v>
      </c>
      <c r="H6" s="265">
        <v>0.14000000000000001</v>
      </c>
      <c r="I6" s="265">
        <v>0.18</v>
      </c>
      <c r="J6" s="266">
        <v>0.26</v>
      </c>
      <c r="K6" s="275"/>
      <c r="L6" s="262"/>
      <c r="M6" s="278"/>
      <c r="N6" s="196"/>
      <c r="O6" s="283">
        <v>25000</v>
      </c>
      <c r="P6" s="283">
        <v>30000</v>
      </c>
      <c r="Q6" s="284">
        <v>40000</v>
      </c>
      <c r="R6" s="326">
        <f>Catch_History!AB53</f>
        <v>23584</v>
      </c>
      <c r="S6" s="332">
        <f>Catch_History!AA53</f>
        <v>28118</v>
      </c>
    </row>
    <row r="7" spans="4:22" ht="72.599999999999994" thickBot="1" x14ac:dyDescent="0.35">
      <c r="E7" s="263"/>
      <c r="F7" s="268" t="s">
        <v>213</v>
      </c>
      <c r="G7" s="268" t="s">
        <v>214</v>
      </c>
      <c r="H7" s="268" t="s">
        <v>215</v>
      </c>
      <c r="I7" s="268" t="s">
        <v>216</v>
      </c>
      <c r="J7" s="269" t="s">
        <v>217</v>
      </c>
      <c r="K7" s="271"/>
      <c r="M7" s="279" t="s">
        <v>223</v>
      </c>
      <c r="N7" s="286" t="s">
        <v>225</v>
      </c>
      <c r="O7" s="393" t="s">
        <v>224</v>
      </c>
      <c r="P7" s="393"/>
      <c r="Q7" s="394"/>
      <c r="R7" s="330" t="s">
        <v>260</v>
      </c>
      <c r="S7" s="330" t="s">
        <v>261</v>
      </c>
    </row>
    <row r="8" spans="4:22" ht="15" thickBot="1" x14ac:dyDescent="0.35">
      <c r="E8" s="157" t="s">
        <v>1</v>
      </c>
      <c r="F8" s="261">
        <f>(IF(F$6&gt;0,F$6*datapercentage!C6))</f>
        <v>5.3667799320407765E-3</v>
      </c>
      <c r="G8" s="261">
        <f>(IF(G$6&gt;0,G$6*datapercentage!D6))</f>
        <v>6.0930579558224965E-3</v>
      </c>
      <c r="H8" s="261">
        <f>(IF(H$6&gt;0,H$6*datapercentage!E6))</f>
        <v>5.1313154763632145E-3</v>
      </c>
      <c r="I8" s="261">
        <f>(IF(I$6&gt;0,I$6*datapercentage!F6))</f>
        <v>4.0814916199666727E-2</v>
      </c>
      <c r="J8" s="261">
        <f>(IF(J$6&gt;0,J$6*datapercentage!G6))</f>
        <v>3.9334341906202715E-4</v>
      </c>
      <c r="K8" s="276"/>
      <c r="L8" s="157" t="s">
        <v>1</v>
      </c>
      <c r="M8" s="280">
        <f t="shared" ref="M8:M20" si="0">SUM(F8:J8)</f>
        <v>5.7799412982955239E-2</v>
      </c>
      <c r="N8" s="427">
        <f>M8*1/M$21</f>
        <v>5.7799412982955246E-2</v>
      </c>
      <c r="O8" s="64">
        <f t="shared" ref="O8:O20" si="1">N8*O$6</f>
        <v>1444.9853245738811</v>
      </c>
      <c r="P8" s="64">
        <f t="shared" ref="P8:P20" si="2">N8*P$6</f>
        <v>1733.9823894886574</v>
      </c>
      <c r="Q8" s="327">
        <f t="shared" ref="Q8:Q20" si="3">N8*Q$6</f>
        <v>2311.9765193182097</v>
      </c>
      <c r="R8" s="331">
        <f t="shared" ref="R8:R20" si="4">N8*$R$6</f>
        <v>1363.1413557900166</v>
      </c>
      <c r="S8" s="333">
        <f t="shared" ref="S8:S21" si="5">N8*$S$6</f>
        <v>1625.2038942547356</v>
      </c>
      <c r="V8" s="260"/>
    </row>
    <row r="9" spans="4:22" ht="15" thickBot="1" x14ac:dyDescent="0.35">
      <c r="E9" s="157" t="s">
        <v>2</v>
      </c>
      <c r="F9" s="261">
        <f>(IF(F$6&gt;0,F$6*datapercentage!C7))</f>
        <v>4.4315410753547876E-2</v>
      </c>
      <c r="G9" s="261">
        <f>(IF(G$6&gt;0,G$6*datapercentage!D7))</f>
        <v>2.4465913061544421E-2</v>
      </c>
      <c r="H9" s="261">
        <f>(IF(H$6&gt;0,H$6*datapercentage!E7))</f>
        <v>1.9700513653907546E-2</v>
      </c>
      <c r="I9" s="261">
        <f>(IF(I$6&gt;0,I$6*datapercentage!F7))</f>
        <v>2.2936222875293382E-2</v>
      </c>
      <c r="J9" s="261">
        <f>(IF(J$6&gt;0,J$6*datapercentage!G7))</f>
        <v>3.9334341906202717E-3</v>
      </c>
      <c r="K9" s="276"/>
      <c r="L9" s="157" t="s">
        <v>2</v>
      </c>
      <c r="M9" s="280">
        <f t="shared" si="0"/>
        <v>0.1153514945349135</v>
      </c>
      <c r="N9" s="427">
        <f t="shared" ref="N8:N20" si="6">M9*1/M$21</f>
        <v>0.11535149453491352</v>
      </c>
      <c r="O9" s="64">
        <f t="shared" si="1"/>
        <v>2883.7873633728377</v>
      </c>
      <c r="P9" s="64">
        <f t="shared" si="2"/>
        <v>3460.5448360474056</v>
      </c>
      <c r="Q9" s="327">
        <f t="shared" si="3"/>
        <v>4614.0597813965405</v>
      </c>
      <c r="R9" s="331">
        <f t="shared" si="4"/>
        <v>2720.4496471114003</v>
      </c>
      <c r="S9" s="333">
        <f t="shared" si="5"/>
        <v>3243.4533233326983</v>
      </c>
      <c r="V9" s="260"/>
    </row>
    <row r="10" spans="4:22" ht="15" thickBot="1" x14ac:dyDescent="0.35">
      <c r="E10" s="157" t="s">
        <v>3</v>
      </c>
      <c r="F10" s="261">
        <f>(IF(F$6&gt;0,F$6*datapercentage!C8))</f>
        <v>3.454927043773736E-2</v>
      </c>
      <c r="G10" s="261">
        <f>(IF(G$6&gt;0,G$6*datapercentage!D8))</f>
        <v>2.1525530970526292E-2</v>
      </c>
      <c r="H10" s="261">
        <f>(IF(H$6&gt;0,H$6*datapercentage!E8))</f>
        <v>1.4817028932934793E-2</v>
      </c>
      <c r="I10" s="261">
        <f>(IF(I$6&gt;0,I$6*datapercentage!F8))</f>
        <v>1.7769400305165026E-2</v>
      </c>
      <c r="J10" s="261">
        <f>(IF(J$6&gt;0,J$6*datapercentage!G8))</f>
        <v>6.2934947049924344E-3</v>
      </c>
      <c r="K10" s="276"/>
      <c r="L10" s="157" t="s">
        <v>3</v>
      </c>
      <c r="M10" s="280">
        <f t="shared" si="0"/>
        <v>9.4954725351355906E-2</v>
      </c>
      <c r="N10" s="427">
        <f t="shared" si="6"/>
        <v>9.495472535135592E-2</v>
      </c>
      <c r="O10" s="64">
        <f t="shared" si="1"/>
        <v>2373.868133783898</v>
      </c>
      <c r="P10" s="64">
        <f t="shared" si="2"/>
        <v>2848.6417605406778</v>
      </c>
      <c r="Q10" s="327">
        <f t="shared" si="3"/>
        <v>3798.1890140542368</v>
      </c>
      <c r="R10" s="331">
        <f t="shared" si="4"/>
        <v>2239.4122426863782</v>
      </c>
      <c r="S10" s="333">
        <f t="shared" si="5"/>
        <v>2669.9369674294257</v>
      </c>
      <c r="V10" s="260"/>
    </row>
    <row r="11" spans="4:22" ht="15" thickBot="1" x14ac:dyDescent="0.35">
      <c r="E11" s="157" t="s">
        <v>13</v>
      </c>
      <c r="F11" s="261">
        <f>(IF(F$6&gt;0,F$6*datapercentage!C10))</f>
        <v>1.7229662202678398E-2</v>
      </c>
      <c r="G11" s="261">
        <f>(IF(G$6&gt;0,G$6*datapercentage!D10))</f>
        <v>8.3829598360578312E-3</v>
      </c>
      <c r="H11" s="261">
        <f>(IF(H$6&gt;0,H$6*datapercentage!E10))</f>
        <v>5.0784990858701654E-3</v>
      </c>
      <c r="I11" s="261">
        <f>(IF(I$6&gt;0,I$6*datapercentage!F10))</f>
        <v>5.5396079458854258E-3</v>
      </c>
      <c r="J11" s="261">
        <f>(IF(J$6&gt;0,J$6*datapercentage!G10))</f>
        <v>6.2934947049924347E-2</v>
      </c>
      <c r="K11" s="276"/>
      <c r="L11" s="157" t="s">
        <v>13</v>
      </c>
      <c r="M11" s="280">
        <f t="shared" si="0"/>
        <v>9.9165676120416171E-2</v>
      </c>
      <c r="N11" s="427">
        <f t="shared" si="6"/>
        <v>9.9165676120416185E-2</v>
      </c>
      <c r="O11" s="64">
        <f t="shared" si="1"/>
        <v>2479.1419030104048</v>
      </c>
      <c r="P11" s="64">
        <f t="shared" si="2"/>
        <v>2974.9702836124857</v>
      </c>
      <c r="Q11" s="327">
        <f t="shared" si="3"/>
        <v>3966.6270448166474</v>
      </c>
      <c r="R11" s="331">
        <f t="shared" si="4"/>
        <v>2338.7233056238952</v>
      </c>
      <c r="S11" s="333">
        <f t="shared" si="5"/>
        <v>2788.3404811538621</v>
      </c>
      <c r="V11" s="260"/>
    </row>
    <row r="12" spans="4:22" ht="15" thickBot="1" x14ac:dyDescent="0.35">
      <c r="E12" s="157" t="s">
        <v>4</v>
      </c>
      <c r="F12" s="261">
        <f>(IF(F$6&gt;0,F$6*datapercentage!C12))</f>
        <v>2.2226664001599047E-3</v>
      </c>
      <c r="G12" s="261">
        <f>(IF(G$6&gt;0,G$6*datapercentage!D12))</f>
        <v>1.2896280137122136E-3</v>
      </c>
      <c r="H12" s="261">
        <f>(IF(H$6&gt;0,H$6*datapercentage!E12))</f>
        <v>5.0784990858701654E-3</v>
      </c>
      <c r="I12" s="261">
        <f>(IF(I$6&gt;0,I$6*datapercentage!F12))</f>
        <v>4.4131182216749117E-3</v>
      </c>
      <c r="J12" s="261">
        <f>(IF(J$6&gt;0,J$6*datapercentage!G12))</f>
        <v>1.8565809379727679E-2</v>
      </c>
      <c r="K12" s="276"/>
      <c r="L12" s="157" t="s">
        <v>4</v>
      </c>
      <c r="M12" s="280">
        <f t="shared" si="0"/>
        <v>3.1569721101144872E-2</v>
      </c>
      <c r="N12" s="427">
        <f t="shared" si="6"/>
        <v>3.1569721101144879E-2</v>
      </c>
      <c r="O12" s="64">
        <f t="shared" si="1"/>
        <v>789.24302752862195</v>
      </c>
      <c r="P12" s="64">
        <f t="shared" si="2"/>
        <v>947.09163303434639</v>
      </c>
      <c r="Q12" s="327">
        <f t="shared" si="3"/>
        <v>1262.7888440457953</v>
      </c>
      <c r="R12" s="331">
        <f t="shared" si="4"/>
        <v>744.54030244940088</v>
      </c>
      <c r="S12" s="333">
        <f t="shared" si="5"/>
        <v>887.67741792199172</v>
      </c>
      <c r="V12" s="260"/>
    </row>
    <row r="13" spans="4:22" ht="15" thickBot="1" x14ac:dyDescent="0.35">
      <c r="E13" s="157" t="s">
        <v>5</v>
      </c>
      <c r="F13" s="261">
        <f>(IF(F$6&gt;0,F$6*datapercentage!C13))</f>
        <v>3.4439336398161108E-3</v>
      </c>
      <c r="G13" s="261">
        <f>(IF(G$6&gt;0,G$6*datapercentage!D13))</f>
        <v>2.1342701457158775E-3</v>
      </c>
      <c r="H13" s="261">
        <f>(IF(H$6&gt;0,H$6*datapercentage!E13))</f>
        <v>1.3610377550132042E-2</v>
      </c>
      <c r="I13" s="261">
        <f>(IF(I$6&gt;0,I$6*datapercentage!F13))</f>
        <v>3.438894239810799E-2</v>
      </c>
      <c r="J13" s="261">
        <f>(IF(J$6&gt;0,J$6*datapercentage!G13))</f>
        <v>4.7201210287443256E-4</v>
      </c>
      <c r="K13" s="276"/>
      <c r="L13" s="157" t="s">
        <v>5</v>
      </c>
      <c r="M13" s="280">
        <f t="shared" si="0"/>
        <v>5.4049535836646449E-2</v>
      </c>
      <c r="N13" s="427">
        <f t="shared" si="6"/>
        <v>5.4049535836646456E-2</v>
      </c>
      <c r="O13" s="64">
        <f t="shared" si="1"/>
        <v>1351.2383959161614</v>
      </c>
      <c r="P13" s="64">
        <f t="shared" si="2"/>
        <v>1621.4860750993937</v>
      </c>
      <c r="Q13" s="327">
        <f t="shared" si="3"/>
        <v>2161.9814334658581</v>
      </c>
      <c r="R13" s="331">
        <f t="shared" si="4"/>
        <v>1274.7042531714701</v>
      </c>
      <c r="S13" s="333">
        <f t="shared" si="5"/>
        <v>1519.7648486548251</v>
      </c>
      <c r="V13" s="260"/>
    </row>
    <row r="14" spans="4:22" ht="15" thickBot="1" x14ac:dyDescent="0.35">
      <c r="E14" s="157" t="s">
        <v>6</v>
      </c>
      <c r="F14" s="261">
        <f>(IF(F$6&gt;0,F$6*datapercentage!C15))</f>
        <v>8.4929042574455327E-3</v>
      </c>
      <c r="G14" s="261">
        <f>(IF(G$6&gt;0,G$6*datapercentage!D15))</f>
        <v>6.7646919945982186E-3</v>
      </c>
      <c r="H14" s="261">
        <f>(IF(H$6&gt;0,H$6*datapercentage!E15))</f>
        <v>5.0784990858701654E-3</v>
      </c>
      <c r="I14" s="261">
        <f>(IF(I$6&gt;0,I$6*datapercentage!F15))</f>
        <v>1.4059234256744255E-2</v>
      </c>
      <c r="J14" s="261">
        <f>(IF(J$6&gt;0,J$6*datapercentage!G15))</f>
        <v>7.8668683812405434E-3</v>
      </c>
      <c r="K14" s="276"/>
      <c r="L14" s="157" t="s">
        <v>6</v>
      </c>
      <c r="M14" s="280">
        <f t="shared" si="0"/>
        <v>4.2262197975898717E-2</v>
      </c>
      <c r="N14" s="427">
        <f t="shared" si="6"/>
        <v>4.2262197975898724E-2</v>
      </c>
      <c r="O14" s="64">
        <f t="shared" si="1"/>
        <v>1056.5549493974681</v>
      </c>
      <c r="P14" s="64">
        <f t="shared" si="2"/>
        <v>1267.8659392769616</v>
      </c>
      <c r="Q14" s="327">
        <f t="shared" si="3"/>
        <v>1690.4879190359491</v>
      </c>
      <c r="R14" s="331">
        <f t="shared" si="4"/>
        <v>996.71167706359552</v>
      </c>
      <c r="S14" s="333">
        <f t="shared" si="5"/>
        <v>1188.3284826863203</v>
      </c>
      <c r="V14" s="260"/>
    </row>
    <row r="15" spans="4:22" ht="15" thickBot="1" x14ac:dyDescent="0.35">
      <c r="E15" s="157" t="s">
        <v>7</v>
      </c>
      <c r="F15" s="261">
        <f>(IF(F$6&gt;0,F$6*datapercentage!C16))</f>
        <v>5.8378972616430144E-2</v>
      </c>
      <c r="G15" s="261">
        <f>(IF(G$6&gt;0,G$6*datapercentage!D16))</f>
        <v>3.5879158757590353E-2</v>
      </c>
      <c r="H15" s="261">
        <f>(IF(H$6&gt;0,H$6*datapercentage!E16))</f>
        <v>2.9455294698046957E-2</v>
      </c>
      <c r="I15" s="261">
        <f>(IF(I$6&gt;0,I$6*datapercentage!F16))</f>
        <v>1.4403650164747159E-2</v>
      </c>
      <c r="J15" s="261">
        <f>(IF(J$6&gt;0,J$6*datapercentage!G16))</f>
        <v>2.9461422087745832E-2</v>
      </c>
      <c r="K15" s="276"/>
      <c r="L15" s="157" t="s">
        <v>7</v>
      </c>
      <c r="M15" s="280">
        <f t="shared" si="0"/>
        <v>0.16757849832456045</v>
      </c>
      <c r="N15" s="427">
        <f t="shared" si="6"/>
        <v>0.16757849832456048</v>
      </c>
      <c r="O15" s="64">
        <f t="shared" si="1"/>
        <v>4189.4624581140124</v>
      </c>
      <c r="P15" s="64">
        <f t="shared" si="2"/>
        <v>5027.3549497368149</v>
      </c>
      <c r="Q15" s="327">
        <f t="shared" si="3"/>
        <v>6703.1399329824189</v>
      </c>
      <c r="R15" s="331">
        <f t="shared" si="4"/>
        <v>3952.1713044864346</v>
      </c>
      <c r="S15" s="333">
        <f t="shared" si="5"/>
        <v>4711.9722158899913</v>
      </c>
      <c r="V15" s="260"/>
    </row>
    <row r="16" spans="4:22" ht="15" thickBot="1" x14ac:dyDescent="0.35">
      <c r="E16" s="157" t="s">
        <v>8</v>
      </c>
      <c r="F16" s="261">
        <f>(IF(F$6&gt;0,F$6*datapercentage!C17))</f>
        <v>1.256046372176694E-2</v>
      </c>
      <c r="G16" s="261">
        <f>(IF(G$6&gt;0,G$6*datapercentage!D17))</f>
        <v>6.4806263044073619E-3</v>
      </c>
      <c r="H16" s="261">
        <f>(IF(H$6&gt;0,H$6*datapercentage!E17))</f>
        <v>5.0784990858701654E-3</v>
      </c>
      <c r="I16" s="261">
        <f>(IF(I$6&gt;0,I$6*datapercentage!F17))</f>
        <v>1.6754870626002779E-3</v>
      </c>
      <c r="J16" s="261">
        <f>(IF(J$6&gt;0,J$6*datapercentage!G17))</f>
        <v>4.9364599092284411E-2</v>
      </c>
      <c r="K16" s="276"/>
      <c r="L16" s="157" t="s">
        <v>8</v>
      </c>
      <c r="M16" s="280">
        <f t="shared" si="0"/>
        <v>7.5159675266929155E-2</v>
      </c>
      <c r="N16" s="427">
        <f t="shared" si="6"/>
        <v>7.5159675266929168E-2</v>
      </c>
      <c r="O16" s="64">
        <f t="shared" si="1"/>
        <v>1878.9918816732293</v>
      </c>
      <c r="P16" s="64">
        <f t="shared" si="2"/>
        <v>2254.7902580078749</v>
      </c>
      <c r="Q16" s="327">
        <f t="shared" si="3"/>
        <v>3006.3870106771669</v>
      </c>
      <c r="R16" s="331">
        <f t="shared" si="4"/>
        <v>1772.5657814952574</v>
      </c>
      <c r="S16" s="333">
        <f t="shared" si="5"/>
        <v>2113.3397491555143</v>
      </c>
      <c r="V16" s="260"/>
    </row>
    <row r="17" spans="5:22" ht="15" thickBot="1" x14ac:dyDescent="0.35">
      <c r="E17" s="157" t="s">
        <v>9</v>
      </c>
      <c r="F17" s="261">
        <f>(IF(F$6&gt;0,F$6*datapercentage!C18))</f>
        <v>7.5734559264441339E-3</v>
      </c>
      <c r="G17" s="261">
        <f>(IF(G$6&gt;0,G$6*datapercentage!D18))</f>
        <v>3.8938153384140296E-3</v>
      </c>
      <c r="H17" s="261">
        <f>(IF(H$6&gt;0,H$6*datapercentage!E18))</f>
        <v>5.0784990858701654E-3</v>
      </c>
      <c r="I17" s="261">
        <f>(IF(I$6&gt;0,I$6*datapercentage!F18))</f>
        <v>9.1493287952787959E-3</v>
      </c>
      <c r="J17" s="261">
        <f>(IF(J$6&gt;0,J$6*datapercentage!G18))</f>
        <v>1.7503782148260205E-2</v>
      </c>
      <c r="K17" s="276"/>
      <c r="L17" s="157" t="s">
        <v>9</v>
      </c>
      <c r="M17" s="280">
        <f t="shared" si="0"/>
        <v>4.3198881294267327E-2</v>
      </c>
      <c r="N17" s="427">
        <f t="shared" si="6"/>
        <v>4.3198881294267334E-2</v>
      </c>
      <c r="O17" s="64">
        <f t="shared" si="1"/>
        <v>1079.9720323566833</v>
      </c>
      <c r="P17" s="64">
        <f t="shared" si="2"/>
        <v>1295.96643882802</v>
      </c>
      <c r="Q17" s="327">
        <f t="shared" si="3"/>
        <v>1727.9552517706934</v>
      </c>
      <c r="R17" s="331">
        <f t="shared" si="4"/>
        <v>1018.8024164440008</v>
      </c>
      <c r="S17" s="333">
        <f t="shared" si="5"/>
        <v>1214.6661442322088</v>
      </c>
      <c r="V17" s="260"/>
    </row>
    <row r="18" spans="5:22" ht="15" thickBot="1" x14ac:dyDescent="0.35">
      <c r="E18" s="157" t="s">
        <v>10</v>
      </c>
      <c r="F18" s="261">
        <f>(IF(F$6&gt;0,F$6*datapercentage!C19))</f>
        <v>8.87467519488307E-3</v>
      </c>
      <c r="G18" s="261">
        <f>(IF(G$6&gt;0,G$6*datapercentage!D19))</f>
        <v>5.1449131654248241E-3</v>
      </c>
      <c r="H18" s="261">
        <f>(IF(H$6&gt;0,H$6*datapercentage!E19))</f>
        <v>5.0784990858701654E-3</v>
      </c>
      <c r="I18" s="261">
        <f>(IF(I$6&gt;0,I$6*datapercentage!F19))</f>
        <v>4.392224246398113E-3</v>
      </c>
      <c r="J18" s="261">
        <f>(IF(J$6&gt;0,J$6*datapercentage!G19))</f>
        <v>4.141906202723146E-2</v>
      </c>
      <c r="K18" s="276"/>
      <c r="L18" s="157" t="s">
        <v>10</v>
      </c>
      <c r="M18" s="280">
        <f t="shared" si="0"/>
        <v>6.4909373719807636E-2</v>
      </c>
      <c r="N18" s="427">
        <f t="shared" si="6"/>
        <v>6.490937371980765E-2</v>
      </c>
      <c r="O18" s="64">
        <f t="shared" si="1"/>
        <v>1622.7343429951914</v>
      </c>
      <c r="P18" s="64">
        <f t="shared" si="2"/>
        <v>1947.2812115942295</v>
      </c>
      <c r="Q18" s="327">
        <f t="shared" si="3"/>
        <v>2596.374948792306</v>
      </c>
      <c r="R18" s="331">
        <f t="shared" si="4"/>
        <v>1530.8226698079436</v>
      </c>
      <c r="S18" s="333">
        <f t="shared" si="5"/>
        <v>1825.1217702535514</v>
      </c>
      <c r="V18" s="260"/>
    </row>
    <row r="19" spans="5:22" ht="15" thickBot="1" x14ac:dyDescent="0.35">
      <c r="E19" s="157" t="s">
        <v>11</v>
      </c>
      <c r="F19" s="261">
        <f>(IF(F$6&gt;0,F$6*datapercentage!C20))</f>
        <v>4.4581251249250456E-2</v>
      </c>
      <c r="G19" s="261">
        <f>(IF(G$6&gt;0,G$6*datapercentage!D20))</f>
        <v>2.8189742282158071E-2</v>
      </c>
      <c r="H19" s="261">
        <f>(IF(H$6&gt;0,H$6*datapercentage!E20))</f>
        <v>1.7015003337299401E-2</v>
      </c>
      <c r="I19" s="261">
        <f>(IF(I$6&gt;0,I$6*datapercentage!F20))</f>
        <v>8.6478973410157624E-3</v>
      </c>
      <c r="J19" s="261">
        <f>(IF(J$6&gt;0,J$6*datapercentage!G20))</f>
        <v>8.4175491679273802E-3</v>
      </c>
      <c r="K19" s="276"/>
      <c r="L19" s="157" t="s">
        <v>11</v>
      </c>
      <c r="M19" s="280">
        <f t="shared" si="0"/>
        <v>0.10685144337765107</v>
      </c>
      <c r="N19" s="427">
        <f t="shared" si="6"/>
        <v>0.10685144337765108</v>
      </c>
      <c r="O19" s="64">
        <f t="shared" si="1"/>
        <v>2671.2860844412771</v>
      </c>
      <c r="P19" s="64">
        <f t="shared" si="2"/>
        <v>3205.5433013295324</v>
      </c>
      <c r="Q19" s="327">
        <f t="shared" si="3"/>
        <v>4274.0577351060429</v>
      </c>
      <c r="R19" s="331">
        <f t="shared" si="4"/>
        <v>2519.984440618523</v>
      </c>
      <c r="S19" s="333">
        <f t="shared" si="5"/>
        <v>3004.4488848927931</v>
      </c>
      <c r="V19" s="260"/>
    </row>
    <row r="20" spans="5:22" ht="15" thickBot="1" x14ac:dyDescent="0.35">
      <c r="E20" s="157" t="s">
        <v>12</v>
      </c>
      <c r="F20" s="261">
        <f>(IF(F$6&gt;0,F$6*datapercentage!C21))</f>
        <v>1.2410553667799321E-2</v>
      </c>
      <c r="G20" s="261">
        <f>(IF(G$6&gt;0,G$6*datapercentage!D21))</f>
        <v>9.7556921740280089E-3</v>
      </c>
      <c r="H20" s="261">
        <f>(IF(H$6&gt;0,H$6*datapercentage!E21))</f>
        <v>9.7994718360950705E-3</v>
      </c>
      <c r="I20" s="261">
        <f>(IF(I$6&gt;0,I$6*datapercentage!F21))</f>
        <v>1.809970187422165E-3</v>
      </c>
      <c r="J20" s="261">
        <f>(IF(J$6&gt;0,J$6*datapercentage!G21))</f>
        <v>1.3373676248108925E-2</v>
      </c>
      <c r="K20" s="276"/>
      <c r="L20" s="157" t="s">
        <v>12</v>
      </c>
      <c r="M20" s="281">
        <f t="shared" si="0"/>
        <v>4.7149364113453489E-2</v>
      </c>
      <c r="N20" s="428">
        <f t="shared" si="6"/>
        <v>4.7149364113453496E-2</v>
      </c>
      <c r="O20" s="272">
        <f t="shared" si="1"/>
        <v>1178.7341028363373</v>
      </c>
      <c r="P20" s="272">
        <f t="shared" si="2"/>
        <v>1414.4809234036049</v>
      </c>
      <c r="Q20" s="328">
        <f t="shared" si="3"/>
        <v>1885.9745645381399</v>
      </c>
      <c r="R20" s="331">
        <f t="shared" si="4"/>
        <v>1111.9706032516872</v>
      </c>
      <c r="S20" s="334">
        <f t="shared" si="5"/>
        <v>1325.7458201420854</v>
      </c>
      <c r="V20" s="260"/>
    </row>
    <row r="21" spans="5:22" ht="15" thickBot="1" x14ac:dyDescent="0.35">
      <c r="E21" s="267" t="s">
        <v>27</v>
      </c>
      <c r="F21" s="270">
        <f>SUM(F8:F20)</f>
        <v>0.26</v>
      </c>
      <c r="G21" s="270">
        <f>SUM(G8:G20)</f>
        <v>0.16</v>
      </c>
      <c r="H21" s="270">
        <f>SUM(H8:H20)</f>
        <v>0.14000000000000001</v>
      </c>
      <c r="I21" s="270">
        <f>SUM(I8:I20)</f>
        <v>0.18</v>
      </c>
      <c r="J21" s="270">
        <f>SUM(J8:J20)</f>
        <v>0.26</v>
      </c>
      <c r="K21" s="277"/>
      <c r="M21" s="282">
        <f t="shared" ref="M21:R21" si="7">SUM(M8:M20)</f>
        <v>0.99999999999999989</v>
      </c>
      <c r="N21" s="273">
        <f t="shared" si="7"/>
        <v>1</v>
      </c>
      <c r="O21" s="274">
        <f t="shared" si="7"/>
        <v>25000</v>
      </c>
      <c r="P21" s="274">
        <f t="shared" si="7"/>
        <v>30000.000000000004</v>
      </c>
      <c r="Q21" s="329">
        <f t="shared" si="7"/>
        <v>40000.000000000007</v>
      </c>
      <c r="R21" s="335">
        <f t="shared" si="7"/>
        <v>23584.000000000004</v>
      </c>
      <c r="S21" s="335">
        <f t="shared" si="5"/>
        <v>28118</v>
      </c>
    </row>
    <row r="24" spans="5:22" ht="15" thickBot="1" x14ac:dyDescent="0.35">
      <c r="E24" s="395" t="s">
        <v>294</v>
      </c>
      <c r="F24" s="395"/>
      <c r="G24" s="395"/>
      <c r="H24" s="395"/>
      <c r="I24" s="395"/>
      <c r="J24" s="395"/>
      <c r="K24" s="395"/>
      <c r="L24" s="395"/>
      <c r="M24" s="395"/>
      <c r="N24" s="395"/>
      <c r="O24" s="395"/>
      <c r="P24" s="395"/>
      <c r="Q24" s="395"/>
      <c r="R24" s="395"/>
      <c r="S24" s="395"/>
    </row>
    <row r="25" spans="5:22" ht="15" thickBot="1" x14ac:dyDescent="0.35">
      <c r="E25" s="264"/>
      <c r="F25" s="265">
        <v>0.26</v>
      </c>
      <c r="G25" s="265">
        <v>0.16</v>
      </c>
      <c r="H25" s="265">
        <v>0.14000000000000001</v>
      </c>
      <c r="I25" s="265">
        <v>0.18</v>
      </c>
      <c r="J25" s="266">
        <v>0.26</v>
      </c>
      <c r="M25" s="278"/>
      <c r="N25" s="196"/>
      <c r="O25" s="283">
        <v>25000</v>
      </c>
      <c r="P25" s="283">
        <v>30000</v>
      </c>
      <c r="Q25" s="284">
        <v>35000</v>
      </c>
      <c r="R25" s="326">
        <f>Catch_History!AB53+Catch_History!AB28</f>
        <v>26443</v>
      </c>
      <c r="S25" s="332">
        <f>Catch_History!AA53+Catch_History!AA28</f>
        <v>30025</v>
      </c>
    </row>
    <row r="26" spans="5:22" ht="72.599999999999994" thickBot="1" x14ac:dyDescent="0.35">
      <c r="E26" s="263"/>
      <c r="F26" s="268" t="s">
        <v>213</v>
      </c>
      <c r="G26" s="461" t="s">
        <v>214</v>
      </c>
      <c r="H26" s="268" t="s">
        <v>215</v>
      </c>
      <c r="I26" s="268" t="s">
        <v>216</v>
      </c>
      <c r="J26" s="269" t="s">
        <v>217</v>
      </c>
      <c r="M26" s="279" t="s">
        <v>223</v>
      </c>
      <c r="N26" s="286" t="s">
        <v>225</v>
      </c>
      <c r="O26" s="393" t="s">
        <v>224</v>
      </c>
      <c r="P26" s="393"/>
      <c r="Q26" s="394"/>
      <c r="R26" s="330" t="s">
        <v>260</v>
      </c>
      <c r="S26" s="330" t="s">
        <v>261</v>
      </c>
    </row>
    <row r="27" spans="5:22" ht="43.8" customHeight="1" thickBot="1" x14ac:dyDescent="0.35">
      <c r="E27" s="157" t="s">
        <v>1</v>
      </c>
      <c r="F27" s="280">
        <f>(IF(F$25&gt;0,F$25*datapercentage!K6))</f>
        <v>5.0430548732915319E-3</v>
      </c>
      <c r="G27" s="463">
        <f>(IF(G$25&gt;0,G$25*datapercentage!L6))</f>
        <v>5.7011827391655881E-3</v>
      </c>
      <c r="H27" s="460">
        <f>(IF(H$25&gt;0,H$25*datapercentage!M6))</f>
        <v>5.1313154763632145E-3</v>
      </c>
      <c r="I27" s="261">
        <f>(IF(I$25&gt;0,I$25*datapercentage!N6))</f>
        <v>4.0814916199666727E-2</v>
      </c>
      <c r="J27" s="261">
        <f>(IF(J$25&gt;0,J$25*datapercentage!O6))</f>
        <v>3.9345814564922528E-4</v>
      </c>
      <c r="L27" s="157" t="s">
        <v>1</v>
      </c>
      <c r="M27" s="280">
        <f t="shared" ref="M27:M39" si="8">SUM(F27:J27)</f>
        <v>5.7083927434136289E-2</v>
      </c>
      <c r="N27" s="285">
        <f>M27*1/M$40</f>
        <v>5.7083927434136296E-2</v>
      </c>
      <c r="O27" s="64">
        <f t="shared" ref="O27:O39" si="9">N27*O$6</f>
        <v>1427.0981858534074</v>
      </c>
      <c r="P27" s="64">
        <f t="shared" ref="P27:P39" si="10">N27*P$6</f>
        <v>1712.5178230240888</v>
      </c>
      <c r="Q27" s="327">
        <f t="shared" ref="Q27:Q39" si="11">N27*Q$6</f>
        <v>2283.3570973654519</v>
      </c>
      <c r="R27" s="331">
        <f t="shared" ref="R27:R39" si="12">N27*$R$25</f>
        <v>1509.470293140866</v>
      </c>
      <c r="S27" s="333">
        <f t="shared" ref="S27:S39" si="13">N27*$S$25</f>
        <v>1713.9449212099423</v>
      </c>
    </row>
    <row r="28" spans="5:22" ht="15" thickBot="1" x14ac:dyDescent="0.35">
      <c r="E28" s="157" t="s">
        <v>2</v>
      </c>
      <c r="F28" s="280">
        <f>(IF(F$25&gt;0,F$25*datapercentage!K7))</f>
        <v>4.1642297801022923E-2</v>
      </c>
      <c r="G28" s="464">
        <f>(IF(G$25&gt;0,G$25*datapercentage!L7))</f>
        <v>2.2892387083092176E-2</v>
      </c>
      <c r="H28" s="460">
        <f>(IF(H$25&gt;0,H$25*datapercentage!M7))</f>
        <v>1.9700513653907546E-2</v>
      </c>
      <c r="I28" s="261">
        <f>(IF(I$25&gt;0,I$25*datapercentage!N7))</f>
        <v>2.2936222875293382E-2</v>
      </c>
      <c r="J28" s="261">
        <f>(IF(J$25&gt;0,J$25*datapercentage!O7))</f>
        <v>3.9345814564922523E-3</v>
      </c>
      <c r="L28" s="157" t="s">
        <v>2</v>
      </c>
      <c r="M28" s="280">
        <f t="shared" si="8"/>
        <v>0.11110600286980828</v>
      </c>
      <c r="N28" s="285">
        <f t="shared" ref="N28:N39" si="14">M28*1/M$40</f>
        <v>0.11110600286980829</v>
      </c>
      <c r="O28" s="64">
        <f t="shared" si="9"/>
        <v>2777.6500717452072</v>
      </c>
      <c r="P28" s="64">
        <f t="shared" si="10"/>
        <v>3333.1800860942485</v>
      </c>
      <c r="Q28" s="327">
        <f t="shared" si="11"/>
        <v>4444.240114792332</v>
      </c>
      <c r="R28" s="331">
        <f t="shared" si="12"/>
        <v>2937.9760338863407</v>
      </c>
      <c r="S28" s="333">
        <f t="shared" si="13"/>
        <v>3335.957736165994</v>
      </c>
    </row>
    <row r="29" spans="5:22" ht="15" thickBot="1" x14ac:dyDescent="0.35">
      <c r="E29" s="157" t="s">
        <v>3</v>
      </c>
      <c r="F29" s="280">
        <f>(IF(F$25&gt;0,F$25*datapercentage!K8))</f>
        <v>3.2465252694541577E-2</v>
      </c>
      <c r="G29" s="464">
        <f>(IF(G$25&gt;0,G$25*datapercentage!L8))</f>
        <v>2.0141115759988334E-2</v>
      </c>
      <c r="H29" s="460">
        <f>(IF(H$25&gt;0,H$25*datapercentage!M8))</f>
        <v>1.4817028932934793E-2</v>
      </c>
      <c r="I29" s="261">
        <f>(IF(I$25&gt;0,I$25*datapercentage!N8))</f>
        <v>1.7769400305165026E-2</v>
      </c>
      <c r="J29" s="261">
        <f>(IF(J$25&gt;0,J$25*datapercentage!O8))</f>
        <v>6.2953303303876045E-3</v>
      </c>
      <c r="L29" s="157" t="s">
        <v>3</v>
      </c>
      <c r="M29" s="280">
        <f t="shared" si="8"/>
        <v>9.148812802301734E-2</v>
      </c>
      <c r="N29" s="285">
        <f t="shared" si="14"/>
        <v>9.1488128023017354E-2</v>
      </c>
      <c r="O29" s="64">
        <f t="shared" si="9"/>
        <v>2287.203200575434</v>
      </c>
      <c r="P29" s="64">
        <f t="shared" si="10"/>
        <v>2744.6438406905204</v>
      </c>
      <c r="Q29" s="327">
        <f t="shared" si="11"/>
        <v>3659.525120920694</v>
      </c>
      <c r="R29" s="331">
        <f t="shared" si="12"/>
        <v>2419.220569312648</v>
      </c>
      <c r="S29" s="333">
        <f t="shared" si="13"/>
        <v>2746.9310438910961</v>
      </c>
    </row>
    <row r="30" spans="5:22" ht="15" thickBot="1" x14ac:dyDescent="0.35">
      <c r="E30" s="157" t="s">
        <v>13</v>
      </c>
      <c r="F30" s="280">
        <f>(IF(F$25&gt;0,F$25*datapercentage!K10))</f>
        <v>1.6190366110902424E-2</v>
      </c>
      <c r="G30" s="464">
        <f>(IF(G$25&gt;0,G$25*datapercentage!L10))</f>
        <v>7.8438095069784698E-3</v>
      </c>
      <c r="H30" s="460">
        <f>(IF(H$25&gt;0,H$25*datapercentage!M10))</f>
        <v>5.0784990858701654E-3</v>
      </c>
      <c r="I30" s="261">
        <f>(IF(I$25&gt;0,I$25*datapercentage!N10))</f>
        <v>5.5396079458854258E-3</v>
      </c>
      <c r="J30" s="261">
        <f>(IF(J$25&gt;0,J$25*datapercentage!O10))</f>
        <v>6.2953303303876038E-2</v>
      </c>
      <c r="L30" s="157" t="s">
        <v>13</v>
      </c>
      <c r="M30" s="280">
        <f t="shared" si="8"/>
        <v>9.7605585953512514E-2</v>
      </c>
      <c r="N30" s="285">
        <f t="shared" si="14"/>
        <v>9.7605585953512528E-2</v>
      </c>
      <c r="O30" s="64">
        <f t="shared" si="9"/>
        <v>2440.1396488378132</v>
      </c>
      <c r="P30" s="64">
        <f t="shared" si="10"/>
        <v>2928.1675786053756</v>
      </c>
      <c r="Q30" s="327">
        <f t="shared" si="11"/>
        <v>3904.223438140501</v>
      </c>
      <c r="R30" s="331">
        <f t="shared" si="12"/>
        <v>2580.9845093687318</v>
      </c>
      <c r="S30" s="333">
        <f t="shared" si="13"/>
        <v>2930.6077182542135</v>
      </c>
    </row>
    <row r="31" spans="5:22" ht="15" thickBot="1" x14ac:dyDescent="0.35">
      <c r="E31" s="157" t="s">
        <v>4</v>
      </c>
      <c r="F31" s="280">
        <f>(IF(F$25&gt;0,F$25*datapercentage!K12))</f>
        <v>2.0885947929609621E-3</v>
      </c>
      <c r="G31" s="464">
        <f>(IF(G$25&gt;0,G$25*datapercentage!L12))</f>
        <v>1.2066855469008875E-3</v>
      </c>
      <c r="H31" s="460">
        <f>(IF(H$25&gt;0,H$25*datapercentage!M12))</f>
        <v>5.0784990858701654E-3</v>
      </c>
      <c r="I31" s="261">
        <f>(IF(I$25&gt;0,I$25*datapercentage!N12))</f>
        <v>4.4131182216749117E-3</v>
      </c>
      <c r="J31" s="261">
        <f>(IF(J$25&gt;0,J$25*datapercentage!O12))</f>
        <v>1.8552397965100421E-2</v>
      </c>
      <c r="L31" s="157" t="s">
        <v>4</v>
      </c>
      <c r="M31" s="280">
        <f t="shared" si="8"/>
        <v>3.1339295612507347E-2</v>
      </c>
      <c r="N31" s="285">
        <f t="shared" si="14"/>
        <v>3.1339295612507354E-2</v>
      </c>
      <c r="O31" s="64">
        <f t="shared" si="9"/>
        <v>783.48239031268383</v>
      </c>
      <c r="P31" s="64">
        <f t="shared" si="10"/>
        <v>940.17886837522065</v>
      </c>
      <c r="Q31" s="327">
        <f t="shared" si="11"/>
        <v>1253.571824500294</v>
      </c>
      <c r="R31" s="331">
        <f t="shared" si="12"/>
        <v>828.704993881532</v>
      </c>
      <c r="S31" s="333">
        <f t="shared" si="13"/>
        <v>940.9623507655333</v>
      </c>
    </row>
    <row r="32" spans="5:22" ht="15" thickBot="1" x14ac:dyDescent="0.35">
      <c r="E32" s="157" t="s">
        <v>5</v>
      </c>
      <c r="F32" s="280">
        <f>(IF(F$25&gt;0,F$25*datapercentage!K13))</f>
        <v>1.8919438263935051E-2</v>
      </c>
      <c r="G32" s="464">
        <f>(IF(G$25&gt;0,G$25*datapercentage!L13))</f>
        <v>1.2287409593574239E-2</v>
      </c>
      <c r="H32" s="460">
        <f>(IF(H$25&gt;0,H$25*datapercentage!M13))</f>
        <v>1.3610377550132042E-2</v>
      </c>
      <c r="I32" s="261">
        <f>(IF(I$25&gt;0,I$25*datapercentage!N13))</f>
        <v>3.438894239810799E-2</v>
      </c>
      <c r="J32" s="261">
        <f>(IF(J$25&gt;0,J$25*datapercentage!O13))</f>
        <v>4.5903450325742947E-4</v>
      </c>
      <c r="L32" s="157" t="s">
        <v>264</v>
      </c>
      <c r="M32" s="280">
        <f t="shared" si="8"/>
        <v>7.9665202309006755E-2</v>
      </c>
      <c r="N32" s="285">
        <f t="shared" si="14"/>
        <v>7.9665202309006769E-2</v>
      </c>
      <c r="O32" s="64">
        <f t="shared" si="9"/>
        <v>1991.6300577251693</v>
      </c>
      <c r="P32" s="64">
        <f t="shared" si="10"/>
        <v>2389.956069270203</v>
      </c>
      <c r="Q32" s="327">
        <f t="shared" si="11"/>
        <v>3186.6080923602708</v>
      </c>
      <c r="R32" s="331">
        <f t="shared" si="12"/>
        <v>2106.5869446570659</v>
      </c>
      <c r="S32" s="333">
        <f t="shared" si="13"/>
        <v>2391.9476993279281</v>
      </c>
    </row>
    <row r="33" spans="5:19" ht="15" thickBot="1" x14ac:dyDescent="0.35">
      <c r="E33" s="157" t="s">
        <v>6</v>
      </c>
      <c r="F33" s="280">
        <f>(IF(F$25&gt;0,F$25*datapercentage!K15))</f>
        <v>7.9806108590747549E-3</v>
      </c>
      <c r="G33" s="464">
        <f>(IF(G$25&gt;0,G$25*datapercentage!L15))</f>
        <v>6.3296206133277959E-3</v>
      </c>
      <c r="H33" s="460">
        <f>(IF(H$25&gt;0,H$25*datapercentage!M15))</f>
        <v>5.0784990858701654E-3</v>
      </c>
      <c r="I33" s="261">
        <f>(IF(I$25&gt;0,I$25*datapercentage!N15))</f>
        <v>1.4059234256744255E-2</v>
      </c>
      <c r="J33" s="261">
        <f>(IF(J$25&gt;0,J$25*datapercentage!O15))</f>
        <v>7.8691629129845047E-3</v>
      </c>
      <c r="L33" s="157" t="s">
        <v>6</v>
      </c>
      <c r="M33" s="280">
        <f t="shared" si="8"/>
        <v>4.1317127728001474E-2</v>
      </c>
      <c r="N33" s="285">
        <f t="shared" si="14"/>
        <v>4.1317127728001481E-2</v>
      </c>
      <c r="O33" s="64">
        <f t="shared" si="9"/>
        <v>1032.928193200037</v>
      </c>
      <c r="P33" s="64">
        <f t="shared" si="10"/>
        <v>1239.5138318400445</v>
      </c>
      <c r="Q33" s="327">
        <f t="shared" si="11"/>
        <v>1652.6851091200592</v>
      </c>
      <c r="R33" s="331">
        <f t="shared" si="12"/>
        <v>1092.5488085115433</v>
      </c>
      <c r="S33" s="333">
        <f t="shared" si="13"/>
        <v>1240.5467600332445</v>
      </c>
    </row>
    <row r="34" spans="5:19" ht="15" thickBot="1" x14ac:dyDescent="0.35">
      <c r="E34" s="157" t="s">
        <v>7</v>
      </c>
      <c r="F34" s="280">
        <f>(IF(F$25&gt;0,F$25*datapercentage!K16))</f>
        <v>5.4857543271592465E-2</v>
      </c>
      <c r="G34" s="464">
        <f>(IF(G$25&gt;0,G$25*datapercentage!L16))</f>
        <v>3.3571589518377298E-2</v>
      </c>
      <c r="H34" s="460">
        <f>(IF(H$25&gt;0,H$25*datapercentage!M16))</f>
        <v>2.9455294698046957E-2</v>
      </c>
      <c r="I34" s="261">
        <f>(IF(I$25&gt;0,I$25*datapercentage!N16))</f>
        <v>1.4403650164747159E-2</v>
      </c>
      <c r="J34" s="261">
        <f>(IF(J$25&gt;0,J$25*datapercentage!O16))</f>
        <v>2.946698606105767E-2</v>
      </c>
      <c r="L34" s="157" t="s">
        <v>7</v>
      </c>
      <c r="M34" s="280">
        <f t="shared" si="8"/>
        <v>0.16175506371382153</v>
      </c>
      <c r="N34" s="285">
        <f t="shared" si="14"/>
        <v>0.16175506371382156</v>
      </c>
      <c r="O34" s="64">
        <f t="shared" si="9"/>
        <v>4043.8765928455391</v>
      </c>
      <c r="P34" s="64">
        <f t="shared" si="10"/>
        <v>4852.6519114146467</v>
      </c>
      <c r="Q34" s="327">
        <f t="shared" si="11"/>
        <v>6470.202548552862</v>
      </c>
      <c r="R34" s="331">
        <f t="shared" si="12"/>
        <v>4277.289149784584</v>
      </c>
      <c r="S34" s="333">
        <f t="shared" si="13"/>
        <v>4856.6957880074924</v>
      </c>
    </row>
    <row r="35" spans="5:19" ht="15" thickBot="1" x14ac:dyDescent="0.35">
      <c r="E35" s="157" t="s">
        <v>8</v>
      </c>
      <c r="F35" s="280">
        <f>(IF(F$25&gt;0,F$25*datapercentage!K17))</f>
        <v>1.1802814459502414E-2</v>
      </c>
      <c r="G35" s="464">
        <f>(IF(G$25&gt;0,G$25*datapercentage!L17))</f>
        <v>6.0638246170567154E-3</v>
      </c>
      <c r="H35" s="460">
        <f>(IF(H$25&gt;0,H$25*datapercentage!M17))</f>
        <v>5.0784990858701654E-3</v>
      </c>
      <c r="I35" s="261">
        <f>(IF(I$25&gt;0,I$25*datapercentage!N17))</f>
        <v>1.6754870626002779E-3</v>
      </c>
      <c r="J35" s="261">
        <f>(IF(J$25&gt;0,J$25*datapercentage!O17))</f>
        <v>4.9369555230484995E-2</v>
      </c>
      <c r="L35" s="157" t="s">
        <v>8</v>
      </c>
      <c r="M35" s="280">
        <f t="shared" si="8"/>
        <v>7.3990180455514573E-2</v>
      </c>
      <c r="N35" s="285">
        <f t="shared" si="14"/>
        <v>7.3990180455514587E-2</v>
      </c>
      <c r="O35" s="64">
        <f t="shared" si="9"/>
        <v>1849.7545113878646</v>
      </c>
      <c r="P35" s="64">
        <f t="shared" si="10"/>
        <v>2219.7054136654374</v>
      </c>
      <c r="Q35" s="327">
        <f t="shared" si="11"/>
        <v>2959.6072182205835</v>
      </c>
      <c r="R35" s="331">
        <f t="shared" si="12"/>
        <v>1956.5223417851723</v>
      </c>
      <c r="S35" s="333">
        <f t="shared" si="13"/>
        <v>2221.5551681768256</v>
      </c>
    </row>
    <row r="36" spans="5:19" ht="15" thickBot="1" x14ac:dyDescent="0.35">
      <c r="E36" s="157" t="s">
        <v>9</v>
      </c>
      <c r="F36" s="280">
        <f>(IF(F$25&gt;0,F$25*datapercentage!K18))</f>
        <v>7.1166238044326306E-3</v>
      </c>
      <c r="G36" s="464">
        <f>(IF(G$25&gt;0,G$25*datapercentage!L18))</f>
        <v>3.643384480800922E-3</v>
      </c>
      <c r="H36" s="460">
        <f>(IF(H$25&gt;0,H$25*datapercentage!M18))</f>
        <v>5.0784990858701654E-3</v>
      </c>
      <c r="I36" s="261">
        <f>(IF(I$25&gt;0,I$25*datapercentage!N18))</f>
        <v>9.1493287952787959E-3</v>
      </c>
      <c r="J36" s="261">
        <f>(IF(J$25&gt;0,J$25*datapercentage!O18))</f>
        <v>1.7492746408954579E-2</v>
      </c>
      <c r="L36" s="157" t="s">
        <v>9</v>
      </c>
      <c r="M36" s="280">
        <f t="shared" si="8"/>
        <v>4.2480582575337093E-2</v>
      </c>
      <c r="N36" s="285">
        <f t="shared" si="14"/>
        <v>4.24805825753371E-2</v>
      </c>
      <c r="O36" s="64">
        <f t="shared" si="9"/>
        <v>1062.0145643834276</v>
      </c>
      <c r="P36" s="64">
        <f t="shared" si="10"/>
        <v>1274.4174772601129</v>
      </c>
      <c r="Q36" s="327">
        <f t="shared" si="11"/>
        <v>1699.2233030134839</v>
      </c>
      <c r="R36" s="331">
        <f t="shared" si="12"/>
        <v>1123.314045039639</v>
      </c>
      <c r="S36" s="333">
        <f t="shared" si="13"/>
        <v>1275.4794918244963</v>
      </c>
    </row>
    <row r="37" spans="5:19" ht="15" thickBot="1" x14ac:dyDescent="0.35">
      <c r="E37" s="157" t="s">
        <v>10</v>
      </c>
      <c r="F37" s="280">
        <f>(IF(F$25&gt;0,F$25*datapercentage!K19))</f>
        <v>8.3393533100239864E-3</v>
      </c>
      <c r="G37" s="464">
        <f>(IF(G$25&gt;0,G$25*datapercentage!L19))</f>
        <v>4.8140179111863177E-3</v>
      </c>
      <c r="H37" s="460">
        <f>(IF(H$25&gt;0,H$25*datapercentage!M19))</f>
        <v>5.0784990858701654E-3</v>
      </c>
      <c r="I37" s="261">
        <f>(IF(I$25&gt;0,I$25*datapercentage!N19))</f>
        <v>4.392224246398113E-3</v>
      </c>
      <c r="J37" s="261">
        <f>(IF(J$25&gt;0,J$25*datapercentage!O19))</f>
        <v>4.1431142736863415E-2</v>
      </c>
      <c r="L37" s="157" t="s">
        <v>10</v>
      </c>
      <c r="M37" s="280">
        <f t="shared" si="8"/>
        <v>6.4055237290342001E-2</v>
      </c>
      <c r="N37" s="285">
        <f t="shared" si="14"/>
        <v>6.4055237290342015E-2</v>
      </c>
      <c r="O37" s="64">
        <f t="shared" si="9"/>
        <v>1601.3809322585503</v>
      </c>
      <c r="P37" s="64">
        <f t="shared" si="10"/>
        <v>1921.6571187102604</v>
      </c>
      <c r="Q37" s="327">
        <f t="shared" si="11"/>
        <v>2562.2094916136807</v>
      </c>
      <c r="R37" s="331">
        <f t="shared" si="12"/>
        <v>1693.8126396685138</v>
      </c>
      <c r="S37" s="333">
        <f t="shared" si="13"/>
        <v>1923.2584996425189</v>
      </c>
    </row>
    <row r="38" spans="5:19" ht="15" thickBot="1" x14ac:dyDescent="0.35">
      <c r="E38" s="157" t="s">
        <v>11</v>
      </c>
      <c r="F38" s="280">
        <f>(IF(F$25&gt;0,F$25*datapercentage!K20))</f>
        <v>4.1892102753778152E-2</v>
      </c>
      <c r="G38" s="464">
        <f>(IF(G$25&gt;0,G$25*datapercentage!L20))</f>
        <v>2.6376718108677692E-2</v>
      </c>
      <c r="H38" s="460">
        <f>(IF(H$25&gt;0,H$25*datapercentage!M20))</f>
        <v>1.7015003337299401E-2</v>
      </c>
      <c r="I38" s="261">
        <f>(IF(I$25&gt;0,I$25*datapercentage!N20))</f>
        <v>8.6478973410157624E-3</v>
      </c>
      <c r="J38" s="261">
        <f>(IF(J$25&gt;0,J$25*datapercentage!O20))</f>
        <v>8.4047239928181534E-3</v>
      </c>
      <c r="L38" s="157" t="s">
        <v>11</v>
      </c>
      <c r="M38" s="280">
        <f t="shared" si="8"/>
        <v>0.10233644553358914</v>
      </c>
      <c r="N38" s="285">
        <f t="shared" si="14"/>
        <v>0.10233644553358916</v>
      </c>
      <c r="O38" s="64">
        <f t="shared" si="9"/>
        <v>2558.411138339729</v>
      </c>
      <c r="P38" s="64">
        <f t="shared" si="10"/>
        <v>3070.0933660076748</v>
      </c>
      <c r="Q38" s="327">
        <f t="shared" si="11"/>
        <v>4093.4578213435661</v>
      </c>
      <c r="R38" s="331">
        <f t="shared" si="12"/>
        <v>2706.0826292446982</v>
      </c>
      <c r="S38" s="333">
        <f t="shared" si="13"/>
        <v>3072.6517771460144</v>
      </c>
    </row>
    <row r="39" spans="5:19" ht="15" thickBot="1" x14ac:dyDescent="0.35">
      <c r="E39" s="157" t="s">
        <v>12</v>
      </c>
      <c r="F39" s="280">
        <f>(IF(F$25&gt;0,F$25*datapercentage!K21))</f>
        <v>1.1661947004941199E-2</v>
      </c>
      <c r="G39" s="465">
        <f>(IF(G$25&gt;0,G$25*datapercentage!L21))</f>
        <v>9.1282545208735549E-3</v>
      </c>
      <c r="H39" s="460">
        <f>(IF(H$25&gt;0,H$25*datapercentage!M21))</f>
        <v>9.7994718360950705E-3</v>
      </c>
      <c r="I39" s="261">
        <f>(IF(I$25&gt;0,I$25*datapercentage!N21))</f>
        <v>1.809970187422165E-3</v>
      </c>
      <c r="J39" s="261">
        <f>(IF(J$25&gt;0,J$25*datapercentage!O21))</f>
        <v>1.3377576952073658E-2</v>
      </c>
      <c r="L39" s="157" t="s">
        <v>12</v>
      </c>
      <c r="M39" s="281">
        <f t="shared" si="8"/>
        <v>4.5777220501405647E-2</v>
      </c>
      <c r="N39" s="285">
        <f t="shared" si="14"/>
        <v>4.5777220501405654E-2</v>
      </c>
      <c r="O39" s="272">
        <f t="shared" si="9"/>
        <v>1144.4305125351414</v>
      </c>
      <c r="P39" s="272">
        <f t="shared" si="10"/>
        <v>1373.3166150421696</v>
      </c>
      <c r="Q39" s="328">
        <f t="shared" si="11"/>
        <v>1831.088820056226</v>
      </c>
      <c r="R39" s="331">
        <f t="shared" si="12"/>
        <v>1210.4870417186696</v>
      </c>
      <c r="S39" s="333">
        <f t="shared" si="13"/>
        <v>1374.4610455547047</v>
      </c>
    </row>
    <row r="40" spans="5:19" ht="15" thickBot="1" x14ac:dyDescent="0.35">
      <c r="E40" s="267" t="s">
        <v>27</v>
      </c>
      <c r="F40" s="270">
        <f>SUM(F27:F39)</f>
        <v>0.26000000000000006</v>
      </c>
      <c r="G40" s="462">
        <f>SUM(G27:G39)</f>
        <v>0.16000000000000003</v>
      </c>
      <c r="H40" s="270">
        <f>SUM(H27:H39)</f>
        <v>0.14000000000000001</v>
      </c>
      <c r="I40" s="270">
        <f>SUM(I27:I39)</f>
        <v>0.18</v>
      </c>
      <c r="J40" s="270">
        <f>SUM(J27:J39)</f>
        <v>0.25999999999999995</v>
      </c>
      <c r="M40" s="282">
        <f t="shared" ref="M40" si="15">SUM(M27:M39)</f>
        <v>0.99999999999999989</v>
      </c>
      <c r="N40" s="273">
        <f t="shared" ref="N40" si="16">SUM(N27:N39)</f>
        <v>1.0000000000000002</v>
      </c>
      <c r="O40" s="274">
        <f t="shared" ref="O40" si="17">SUM(O27:O39)</f>
        <v>25000.000000000007</v>
      </c>
      <c r="P40" s="274">
        <f t="shared" ref="P40" si="18">SUM(P27:P39)</f>
        <v>30000.000000000007</v>
      </c>
      <c r="Q40" s="329">
        <f t="shared" ref="Q40" si="19">SUM(Q27:Q39)</f>
        <v>40000</v>
      </c>
      <c r="R40" s="335">
        <f t="shared" ref="R40" si="20">SUM(R27:R39)</f>
        <v>26443.000000000007</v>
      </c>
      <c r="S40" s="335">
        <f t="shared" ref="S40" si="21">N40*$S$6</f>
        <v>28118.000000000007</v>
      </c>
    </row>
    <row r="41" spans="5:19" x14ac:dyDescent="0.3">
      <c r="M41" t="s">
        <v>265</v>
      </c>
    </row>
  </sheetData>
  <mergeCells count="4">
    <mergeCell ref="O7:Q7"/>
    <mergeCell ref="O26:Q26"/>
    <mergeCell ref="E24:S24"/>
    <mergeCell ref="E5:S5"/>
  </mergeCells>
  <pageMargins left="0.7" right="0.7" top="0.75" bottom="0.75" header="0.3" footer="0.3"/>
  <pageSetup paperSize="9" orientation="portrait"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A21"/>
  <sheetViews>
    <sheetView workbookViewId="0">
      <selection activeCell="J58" sqref="J58"/>
    </sheetView>
  </sheetViews>
  <sheetFormatPr defaultRowHeight="14.4" x14ac:dyDescent="0.3"/>
  <cols>
    <col min="2" max="2" width="8.6640625" style="59"/>
    <col min="8" max="10" width="9.109375" style="59"/>
    <col min="11" max="11" width="6.6640625" style="59" customWidth="1"/>
    <col min="12" max="14" width="8.33203125" style="59" customWidth="1"/>
    <col min="16" max="17" width="3.109375" customWidth="1"/>
  </cols>
  <sheetData>
    <row r="1" spans="1:27" x14ac:dyDescent="0.3">
      <c r="A1" s="13"/>
      <c r="B1" s="17"/>
      <c r="C1" s="13" t="s">
        <v>96</v>
      </c>
      <c r="D1" s="13"/>
      <c r="E1" s="13"/>
      <c r="F1" s="13"/>
      <c r="G1" s="13"/>
      <c r="H1" s="13"/>
      <c r="I1" s="13"/>
      <c r="J1" s="13"/>
      <c r="K1" s="68"/>
      <c r="L1" s="89" t="s">
        <v>98</v>
      </c>
      <c r="M1" s="89" t="s">
        <v>139</v>
      </c>
      <c r="N1" s="89" t="s">
        <v>141</v>
      </c>
      <c r="O1" s="21" t="s">
        <v>104</v>
      </c>
      <c r="R1" s="13"/>
      <c r="S1" s="69" t="s">
        <v>94</v>
      </c>
      <c r="X1" s="2" t="s">
        <v>32</v>
      </c>
      <c r="Y1" s="3"/>
      <c r="Z1" s="3"/>
      <c r="AA1" s="4"/>
    </row>
    <row r="2" spans="1:27" x14ac:dyDescent="0.3">
      <c r="A2" s="73" t="s">
        <v>21</v>
      </c>
      <c r="B2" s="62" t="s">
        <v>22</v>
      </c>
      <c r="C2" s="74" t="s">
        <v>101</v>
      </c>
      <c r="D2" s="75" t="s">
        <v>102</v>
      </c>
      <c r="E2" s="75" t="s">
        <v>103</v>
      </c>
      <c r="F2" s="75" t="s">
        <v>100</v>
      </c>
      <c r="G2" s="71" t="s">
        <v>99</v>
      </c>
      <c r="H2" s="154">
        <v>2016</v>
      </c>
      <c r="I2" s="154">
        <v>2017</v>
      </c>
      <c r="J2" s="154">
        <v>2018</v>
      </c>
      <c r="K2" s="91"/>
      <c r="L2" s="90">
        <v>2015</v>
      </c>
      <c r="M2" s="90" t="s">
        <v>140</v>
      </c>
      <c r="N2" s="90" t="s">
        <v>140</v>
      </c>
      <c r="O2" s="76">
        <v>2015</v>
      </c>
      <c r="R2" s="62" t="s">
        <v>21</v>
      </c>
      <c r="S2" s="69" t="s">
        <v>97</v>
      </c>
      <c r="X2" s="5" t="str">
        <f>B2</f>
        <v>Group</v>
      </c>
      <c r="Y2" s="6" t="str">
        <f>B2</f>
        <v>Group</v>
      </c>
      <c r="Z2" s="6" t="str">
        <f>B2</f>
        <v>Group</v>
      </c>
      <c r="AA2" s="7" t="str">
        <f>B2</f>
        <v>Group</v>
      </c>
    </row>
    <row r="3" spans="1:27" ht="15" thickBot="1" x14ac:dyDescent="0.35">
      <c r="A3" s="39" t="s">
        <v>14</v>
      </c>
      <c r="B3" s="78">
        <f>Compilation!C8</f>
        <v>0</v>
      </c>
      <c r="C3" s="64">
        <v>994.17</v>
      </c>
      <c r="D3" s="64">
        <v>1283.54</v>
      </c>
      <c r="E3" s="64">
        <v>1164.82</v>
      </c>
      <c r="F3" s="64">
        <v>847.69</v>
      </c>
      <c r="G3" s="64">
        <v>705.65</v>
      </c>
      <c r="H3" s="152"/>
      <c r="I3" s="152"/>
      <c r="J3" s="152"/>
      <c r="K3" s="92"/>
      <c r="L3" s="72" t="str">
        <f t="shared" ref="L3:L14" si="0">IF($B3="CMA",$G3/L$21,"")</f>
        <v/>
      </c>
      <c r="M3" s="103" t="str">
        <f t="shared" ref="M3:M19" si="1">IF(B3="CMA",AVERAGE(C3:G3),"")</f>
        <v/>
      </c>
      <c r="N3" s="72" t="str">
        <f t="shared" ref="N3:N19" si="2">IF($B3="CMA",AVERAGE(C3:G3)/N$21,"")</f>
        <v/>
      </c>
      <c r="O3" s="11">
        <f>$G3/O$21</f>
        <v>5.3838067795481705E-3</v>
      </c>
      <c r="R3" s="39" t="s">
        <v>14</v>
      </c>
      <c r="S3" s="67">
        <v>1</v>
      </c>
      <c r="X3" s="8" t="s">
        <v>20</v>
      </c>
      <c r="Y3" s="9" t="s">
        <v>19</v>
      </c>
      <c r="Z3" s="9" t="s">
        <v>25</v>
      </c>
      <c r="AA3" s="10" t="s">
        <v>26</v>
      </c>
    </row>
    <row r="4" spans="1:27" x14ac:dyDescent="0.3">
      <c r="A4" s="39" t="s">
        <v>1</v>
      </c>
      <c r="B4" s="78" t="str">
        <f>Compilation!C9</f>
        <v>CMA</v>
      </c>
      <c r="C4" s="64">
        <v>113.82</v>
      </c>
      <c r="D4" s="64">
        <v>86.89</v>
      </c>
      <c r="E4" s="64">
        <v>109.2</v>
      </c>
      <c r="F4" s="64">
        <v>133.72999999999999</v>
      </c>
      <c r="G4" s="64">
        <v>79.56</v>
      </c>
      <c r="H4" s="152"/>
      <c r="I4" s="152"/>
      <c r="J4" s="152"/>
      <c r="K4" s="92"/>
      <c r="L4" s="72">
        <f t="shared" si="0"/>
        <v>1.419663812107804E-3</v>
      </c>
      <c r="M4" s="103">
        <f t="shared" si="1"/>
        <v>104.64000000000001</v>
      </c>
      <c r="N4" s="72">
        <f t="shared" si="2"/>
        <v>1.655176331621305E-3</v>
      </c>
      <c r="O4" s="11">
        <f t="shared" ref="O4:O19" si="3">$G4/O$21</f>
        <v>6.0700866914313394E-4</v>
      </c>
      <c r="R4" s="39" t="s">
        <v>1</v>
      </c>
      <c r="S4" s="67">
        <v>1</v>
      </c>
    </row>
    <row r="5" spans="1:27" x14ac:dyDescent="0.3">
      <c r="A5" s="39" t="s">
        <v>2</v>
      </c>
      <c r="B5" s="78">
        <f>Compilation!C10</f>
        <v>0</v>
      </c>
      <c r="C5" s="64">
        <v>7452.28</v>
      </c>
      <c r="D5" s="64">
        <v>13211.6</v>
      </c>
      <c r="E5" s="64">
        <v>8896.41</v>
      </c>
      <c r="F5" s="64">
        <v>6940.28</v>
      </c>
      <c r="G5" s="64">
        <v>6164.48</v>
      </c>
      <c r="H5" s="152"/>
      <c r="I5" s="152"/>
      <c r="J5" s="152"/>
      <c r="K5" s="92"/>
      <c r="L5" s="72" t="str">
        <f t="shared" si="0"/>
        <v/>
      </c>
      <c r="M5" s="103" t="str">
        <f t="shared" si="1"/>
        <v/>
      </c>
      <c r="N5" s="72" t="str">
        <f t="shared" si="2"/>
        <v/>
      </c>
      <c r="O5" s="11">
        <f t="shared" si="3"/>
        <v>4.703233786776604E-2</v>
      </c>
      <c r="R5" s="39" t="s">
        <v>2</v>
      </c>
      <c r="S5" s="67">
        <v>1</v>
      </c>
    </row>
    <row r="6" spans="1:27" x14ac:dyDescent="0.3">
      <c r="A6" s="39" t="s">
        <v>3</v>
      </c>
      <c r="B6" s="78" t="str">
        <f>Compilation!C11</f>
        <v>CMA</v>
      </c>
      <c r="C6" s="64">
        <v>15915.08</v>
      </c>
      <c r="D6" s="64">
        <v>17174.189999999999</v>
      </c>
      <c r="E6" s="64">
        <v>14050.9</v>
      </c>
      <c r="F6" s="64">
        <v>12787.8</v>
      </c>
      <c r="G6" s="64">
        <v>13686.48</v>
      </c>
      <c r="H6" s="152"/>
      <c r="I6" s="152"/>
      <c r="J6" s="152"/>
      <c r="K6" s="92"/>
      <c r="L6" s="72">
        <f t="shared" si="0"/>
        <v>0.24422071859146827</v>
      </c>
      <c r="M6" s="103">
        <f t="shared" si="1"/>
        <v>14722.89</v>
      </c>
      <c r="N6" s="72">
        <f t="shared" si="2"/>
        <v>0.2328839742074158</v>
      </c>
      <c r="O6" s="11">
        <f t="shared" si="3"/>
        <v>0.10442197096598944</v>
      </c>
      <c r="R6" s="39" t="s">
        <v>3</v>
      </c>
      <c r="S6" s="67">
        <v>1</v>
      </c>
    </row>
    <row r="7" spans="1:27" x14ac:dyDescent="0.3">
      <c r="A7" s="39" t="s">
        <v>69</v>
      </c>
      <c r="B7" s="78">
        <f>Compilation!C12</f>
        <v>0</v>
      </c>
      <c r="C7" s="64">
        <v>43030.556813249095</v>
      </c>
      <c r="D7" s="64">
        <v>45044.602096140407</v>
      </c>
      <c r="E7" s="64">
        <v>47573.405892847499</v>
      </c>
      <c r="F7" s="64">
        <v>49020.910247621345</v>
      </c>
      <c r="G7" s="64">
        <v>44655.793925798105</v>
      </c>
      <c r="H7" s="152"/>
      <c r="I7" s="152"/>
      <c r="J7" s="152"/>
      <c r="K7" s="92"/>
      <c r="L7" s="72" t="str">
        <f t="shared" si="0"/>
        <v/>
      </c>
      <c r="M7" s="103" t="str">
        <f t="shared" si="1"/>
        <v/>
      </c>
      <c r="N7" s="72" t="str">
        <f t="shared" si="2"/>
        <v/>
      </c>
      <c r="O7" s="11">
        <f t="shared" si="3"/>
        <v>0.34070455053329252</v>
      </c>
      <c r="R7" s="39" t="s">
        <v>69</v>
      </c>
      <c r="S7" s="70" t="s">
        <v>95</v>
      </c>
    </row>
    <row r="8" spans="1:27" x14ac:dyDescent="0.3">
      <c r="A8" s="39" t="s">
        <v>13</v>
      </c>
      <c r="B8" s="78">
        <f>Compilation!C13</f>
        <v>0</v>
      </c>
      <c r="C8" s="64">
        <v>24220.989257470486</v>
      </c>
      <c r="D8" s="64">
        <v>24134.510550090166</v>
      </c>
      <c r="E8" s="64">
        <v>21704.293312483533</v>
      </c>
      <c r="F8" s="64">
        <v>24194.760663038458</v>
      </c>
      <c r="G8" s="64">
        <v>20921.674625520565</v>
      </c>
      <c r="H8" s="152"/>
      <c r="I8" s="152"/>
      <c r="J8" s="152"/>
      <c r="K8" s="92"/>
      <c r="L8" s="72" t="str">
        <f t="shared" si="0"/>
        <v/>
      </c>
      <c r="M8" s="103" t="str">
        <f t="shared" si="1"/>
        <v/>
      </c>
      <c r="N8" s="72" t="str">
        <f t="shared" si="2"/>
        <v/>
      </c>
      <c r="O8" s="11">
        <f t="shared" si="3"/>
        <v>0.15962340209505924</v>
      </c>
      <c r="R8" s="39" t="s">
        <v>13</v>
      </c>
      <c r="S8" s="67">
        <v>0.74968174070112603</v>
      </c>
    </row>
    <row r="9" spans="1:27" x14ac:dyDescent="0.3">
      <c r="A9" s="39" t="s">
        <v>16</v>
      </c>
      <c r="B9" s="78">
        <f>Compilation!C14</f>
        <v>0</v>
      </c>
      <c r="C9" s="64">
        <v>199.96</v>
      </c>
      <c r="D9" s="64">
        <v>267.70999999999998</v>
      </c>
      <c r="E9" s="64">
        <v>252.48</v>
      </c>
      <c r="F9" s="64">
        <v>111.92</v>
      </c>
      <c r="G9" s="64">
        <v>134.35</v>
      </c>
      <c r="H9" s="152"/>
      <c r="I9" s="152"/>
      <c r="J9" s="152"/>
      <c r="K9" s="92"/>
      <c r="L9" s="72" t="str">
        <f t="shared" si="0"/>
        <v/>
      </c>
      <c r="M9" s="103" t="str">
        <f t="shared" si="1"/>
        <v/>
      </c>
      <c r="N9" s="72" t="str">
        <f t="shared" si="2"/>
        <v/>
      </c>
      <c r="O9" s="11">
        <f t="shared" si="3"/>
        <v>1.0250328644969839E-3</v>
      </c>
      <c r="R9" s="39" t="s">
        <v>16</v>
      </c>
      <c r="S9" s="67">
        <v>1</v>
      </c>
    </row>
    <row r="10" spans="1:27" x14ac:dyDescent="0.3">
      <c r="A10" s="39" t="s">
        <v>4</v>
      </c>
      <c r="B10" s="78" t="str">
        <f>Compilation!C15</f>
        <v>CMA</v>
      </c>
      <c r="C10" s="64">
        <v>26.11</v>
      </c>
      <c r="D10" s="64">
        <v>65.489999999999995</v>
      </c>
      <c r="E10" s="64">
        <v>472.48</v>
      </c>
      <c r="F10" s="64">
        <v>408.63</v>
      </c>
      <c r="G10" s="64">
        <v>356.5</v>
      </c>
      <c r="H10" s="152"/>
      <c r="I10" s="152"/>
      <c r="J10" s="152"/>
      <c r="K10" s="92"/>
      <c r="L10" s="72">
        <f t="shared" si="0"/>
        <v>6.3613643667223743E-3</v>
      </c>
      <c r="M10" s="103">
        <f t="shared" si="1"/>
        <v>265.84199999999998</v>
      </c>
      <c r="N10" s="72">
        <f t="shared" si="2"/>
        <v>4.2050400071757541E-3</v>
      </c>
      <c r="O10" s="11">
        <f t="shared" si="3"/>
        <v>2.7199420632167829E-3</v>
      </c>
      <c r="R10" s="39" t="s">
        <v>4</v>
      </c>
      <c r="S10" s="67">
        <v>1</v>
      </c>
    </row>
    <row r="11" spans="1:27" x14ac:dyDescent="0.3">
      <c r="A11" s="39" t="s">
        <v>5</v>
      </c>
      <c r="B11" s="78" t="str">
        <f>Compilation!C16</f>
        <v>CMA</v>
      </c>
      <c r="C11" s="64">
        <v>457.50759865359595</v>
      </c>
      <c r="D11" s="64">
        <v>503.65938031280086</v>
      </c>
      <c r="E11" s="64">
        <v>245.36878347778173</v>
      </c>
      <c r="F11" s="64">
        <v>201.77908550147734</v>
      </c>
      <c r="G11" s="64">
        <v>265.67693842251168</v>
      </c>
      <c r="H11" s="152"/>
      <c r="I11" s="152"/>
      <c r="J11" s="152"/>
      <c r="K11" s="92"/>
      <c r="L11" s="72">
        <f t="shared" si="0"/>
        <v>4.7407231672955408E-3</v>
      </c>
      <c r="M11" s="103">
        <f t="shared" si="1"/>
        <v>334.79835727363354</v>
      </c>
      <c r="N11" s="72">
        <f t="shared" si="2"/>
        <v>5.2957790216457542E-3</v>
      </c>
      <c r="O11" s="11">
        <f t="shared" si="3"/>
        <v>2.0270010660365908E-3</v>
      </c>
      <c r="R11" s="39" t="s">
        <v>5</v>
      </c>
      <c r="S11" s="67">
        <v>0.85688417488312107</v>
      </c>
    </row>
    <row r="12" spans="1:27" x14ac:dyDescent="0.3">
      <c r="A12" s="39" t="s">
        <v>15</v>
      </c>
      <c r="B12" s="78">
        <f>Compilation!C17</f>
        <v>0</v>
      </c>
      <c r="C12" s="64">
        <v>938.13</v>
      </c>
      <c r="D12" s="64">
        <v>1277.33</v>
      </c>
      <c r="E12" s="64">
        <v>2132.4499999999998</v>
      </c>
      <c r="F12" s="64">
        <v>1713.1</v>
      </c>
      <c r="G12" s="64">
        <v>1165.47</v>
      </c>
      <c r="H12" s="152"/>
      <c r="I12" s="152"/>
      <c r="J12" s="152"/>
      <c r="K12" s="92"/>
      <c r="L12" s="72" t="str">
        <f t="shared" si="0"/>
        <v/>
      </c>
      <c r="M12" s="103" t="str">
        <f t="shared" si="1"/>
        <v/>
      </c>
      <c r="N12" s="72" t="str">
        <f t="shared" si="2"/>
        <v/>
      </c>
      <c r="O12" s="11">
        <f t="shared" si="3"/>
        <v>8.8920361189825086E-3</v>
      </c>
      <c r="R12" s="39" t="s">
        <v>15</v>
      </c>
      <c r="S12" s="67">
        <v>1</v>
      </c>
    </row>
    <row r="13" spans="1:27" x14ac:dyDescent="0.3">
      <c r="A13" s="39" t="s">
        <v>6</v>
      </c>
      <c r="B13" s="78">
        <f>Compilation!C18</f>
        <v>0</v>
      </c>
      <c r="C13" s="64">
        <v>2156.1770786391949</v>
      </c>
      <c r="D13" s="64">
        <v>1714.4718436362909</v>
      </c>
      <c r="E13" s="64">
        <v>881.54147747406046</v>
      </c>
      <c r="F13" s="64">
        <v>496.75398725741871</v>
      </c>
      <c r="G13" s="64">
        <v>1280.1127876123376</v>
      </c>
      <c r="H13" s="152"/>
      <c r="I13" s="152"/>
      <c r="J13" s="152"/>
      <c r="K13" s="92"/>
      <c r="L13" s="72" t="str">
        <f t="shared" si="0"/>
        <v/>
      </c>
      <c r="M13" s="103" t="str">
        <f t="shared" si="1"/>
        <v/>
      </c>
      <c r="N13" s="72" t="str">
        <f t="shared" si="2"/>
        <v/>
      </c>
      <c r="O13" s="11">
        <f t="shared" si="3"/>
        <v>9.7667114072608387E-3</v>
      </c>
      <c r="R13" s="39" t="s">
        <v>6</v>
      </c>
      <c r="S13" s="67">
        <v>0.86527432025329853</v>
      </c>
    </row>
    <row r="14" spans="1:27" x14ac:dyDescent="0.3">
      <c r="A14" s="39" t="s">
        <v>7</v>
      </c>
      <c r="B14" s="78" t="str">
        <f>Compilation!C19</f>
        <v>CMA</v>
      </c>
      <c r="C14" s="64">
        <v>28947.48</v>
      </c>
      <c r="D14" s="64">
        <v>25179.51</v>
      </c>
      <c r="E14" s="64">
        <v>30529.07</v>
      </c>
      <c r="F14" s="64">
        <v>29075.52</v>
      </c>
      <c r="G14" s="64">
        <v>23814.240000000002</v>
      </c>
      <c r="H14" s="152"/>
      <c r="I14" s="152"/>
      <c r="J14" s="152"/>
      <c r="K14" s="92"/>
      <c r="L14" s="72">
        <f t="shared" si="0"/>
        <v>0.42493985345462731</v>
      </c>
      <c r="M14" s="103">
        <f t="shared" si="1"/>
        <v>27509.164000000001</v>
      </c>
      <c r="N14" s="72">
        <f t="shared" si="2"/>
        <v>0.43513491165413665</v>
      </c>
      <c r="O14" s="11">
        <f t="shared" si="3"/>
        <v>0.1816924350057213</v>
      </c>
      <c r="R14" s="39" t="s">
        <v>7</v>
      </c>
      <c r="S14" s="67">
        <v>1</v>
      </c>
    </row>
    <row r="15" spans="1:27" x14ac:dyDescent="0.3">
      <c r="A15" s="39" t="s">
        <v>8</v>
      </c>
      <c r="B15" s="78" t="str">
        <f>Compilation!C20</f>
        <v>CMA</v>
      </c>
      <c r="C15" s="64">
        <v>785.88</v>
      </c>
      <c r="D15" s="64">
        <v>743.43</v>
      </c>
      <c r="E15" s="64">
        <v>257.43</v>
      </c>
      <c r="F15" s="64">
        <v>631.19000000000005</v>
      </c>
      <c r="G15" s="64">
        <v>3844.09</v>
      </c>
      <c r="H15" s="152"/>
      <c r="I15" s="152"/>
      <c r="J15" s="152"/>
      <c r="K15" s="92"/>
      <c r="L15" s="72" t="s">
        <v>209</v>
      </c>
      <c r="M15" s="103">
        <f t="shared" si="1"/>
        <v>1252.404</v>
      </c>
      <c r="N15" s="72">
        <f t="shared" si="2"/>
        <v>1.9810296812192742E-2</v>
      </c>
      <c r="O15" s="11">
        <f t="shared" si="3"/>
        <v>2.9328757603901832E-2</v>
      </c>
      <c r="R15" s="39" t="s">
        <v>8</v>
      </c>
      <c r="S15" s="67">
        <v>1</v>
      </c>
    </row>
    <row r="16" spans="1:27" x14ac:dyDescent="0.3">
      <c r="A16" s="39" t="s">
        <v>9</v>
      </c>
      <c r="B16" s="78" t="str">
        <f>Compilation!C21</f>
        <v>CMA</v>
      </c>
      <c r="C16" s="64">
        <v>380.97</v>
      </c>
      <c r="D16" s="64">
        <v>2035.58</v>
      </c>
      <c r="E16" s="64">
        <v>4990.84</v>
      </c>
      <c r="F16" s="64">
        <v>1258.81</v>
      </c>
      <c r="G16" s="64">
        <v>1734.86</v>
      </c>
      <c r="H16" s="152"/>
      <c r="I16" s="152"/>
      <c r="J16" s="152"/>
      <c r="K16" s="92"/>
      <c r="L16" s="72">
        <f>IF($B16="CMA",$G16/L$21,"")</f>
        <v>3.0956736564521675E-2</v>
      </c>
      <c r="M16" s="103">
        <f t="shared" si="1"/>
        <v>2080.2120000000004</v>
      </c>
      <c r="N16" s="72">
        <f t="shared" si="2"/>
        <v>3.2904411956752852E-2</v>
      </c>
      <c r="O16" s="11">
        <f t="shared" si="3"/>
        <v>1.3236237553414496E-2</v>
      </c>
      <c r="R16" s="39" t="s">
        <v>9</v>
      </c>
      <c r="S16" s="67">
        <v>1</v>
      </c>
    </row>
    <row r="17" spans="1:19" x14ac:dyDescent="0.3">
      <c r="A17" s="39" t="s">
        <v>10</v>
      </c>
      <c r="B17" s="78" t="str">
        <f>Compilation!C22</f>
        <v>CMA</v>
      </c>
      <c r="C17" s="64">
        <v>4133.25</v>
      </c>
      <c r="D17" s="64">
        <v>5072.79</v>
      </c>
      <c r="E17" s="64">
        <v>3744.33</v>
      </c>
      <c r="F17" s="64">
        <v>2351.21</v>
      </c>
      <c r="G17" s="64">
        <v>1923.69</v>
      </c>
      <c r="H17" s="152"/>
      <c r="I17" s="152"/>
      <c r="J17" s="152"/>
      <c r="K17" s="92"/>
      <c r="L17" s="72">
        <f>IF($B17="CMA",$G17/L$21,"")</f>
        <v>3.4326207625863012E-2</v>
      </c>
      <c r="M17" s="103">
        <f t="shared" si="1"/>
        <v>3445.0540000000001</v>
      </c>
      <c r="N17" s="72">
        <f t="shared" si="2"/>
        <v>5.4493232434607249E-2</v>
      </c>
      <c r="O17" s="11">
        <f t="shared" si="3"/>
        <v>1.4676929446253838E-2</v>
      </c>
      <c r="R17" s="39" t="s">
        <v>10</v>
      </c>
      <c r="S17" s="67">
        <v>1</v>
      </c>
    </row>
    <row r="18" spans="1:19" x14ac:dyDescent="0.3">
      <c r="A18" s="39" t="s">
        <v>11</v>
      </c>
      <c r="B18" s="78" t="str">
        <f>Compilation!C23</f>
        <v>CMA</v>
      </c>
      <c r="C18" s="64">
        <v>17970.23</v>
      </c>
      <c r="D18" s="64">
        <v>14921.9</v>
      </c>
      <c r="E18" s="64">
        <v>12434.72</v>
      </c>
      <c r="F18" s="64">
        <v>10985.5</v>
      </c>
      <c r="G18" s="64">
        <v>8882.07</v>
      </c>
      <c r="H18" s="152"/>
      <c r="I18" s="152"/>
      <c r="J18" s="152"/>
      <c r="K18" s="92"/>
      <c r="L18" s="72">
        <f>IF($B18="CMA",$G18/L$21,"")</f>
        <v>0.15849111809462496</v>
      </c>
      <c r="M18" s="103">
        <f t="shared" si="1"/>
        <v>13038.884</v>
      </c>
      <c r="N18" s="72">
        <f t="shared" si="2"/>
        <v>0.20624667610431693</v>
      </c>
      <c r="O18" s="11">
        <f t="shared" si="3"/>
        <v>6.776638373474303E-2</v>
      </c>
      <c r="R18" s="39" t="s">
        <v>11</v>
      </c>
      <c r="S18" s="67">
        <v>1</v>
      </c>
    </row>
    <row r="19" spans="1:19" x14ac:dyDescent="0.3">
      <c r="A19" s="39" t="s">
        <v>12</v>
      </c>
      <c r="B19" s="78" t="str">
        <f>Compilation!C24</f>
        <v>CMA</v>
      </c>
      <c r="C19" s="64">
        <v>80</v>
      </c>
      <c r="D19" s="64">
        <v>205.25</v>
      </c>
      <c r="E19" s="64">
        <v>450.68</v>
      </c>
      <c r="F19" s="64">
        <v>139.61000000000001</v>
      </c>
      <c r="G19" s="64">
        <v>1454.27</v>
      </c>
      <c r="H19" s="152"/>
      <c r="I19" s="152"/>
      <c r="J19" s="152"/>
      <c r="K19" s="92"/>
      <c r="L19" s="72">
        <f>IF($B19="CMA",$G19/L$21,"")</f>
        <v>2.5949905631397888E-2</v>
      </c>
      <c r="M19" s="103">
        <f t="shared" si="1"/>
        <v>465.96199999999999</v>
      </c>
      <c r="N19" s="72">
        <f t="shared" si="2"/>
        <v>7.3705014701350002E-3</v>
      </c>
      <c r="O19" s="11">
        <f t="shared" si="3"/>
        <v>1.1095456225173271E-2</v>
      </c>
      <c r="R19" s="39" t="s">
        <v>12</v>
      </c>
      <c r="S19" s="67">
        <v>1</v>
      </c>
    </row>
    <row r="20" spans="1:19" x14ac:dyDescent="0.3">
      <c r="A20" s="63" t="s">
        <v>27</v>
      </c>
      <c r="B20" s="63"/>
      <c r="C20" s="65">
        <f>SUM(C3:C19)</f>
        <v>147802.59074801239</v>
      </c>
      <c r="D20" s="65">
        <f>SUM(D3:D19)</f>
        <v>152922.45387017968</v>
      </c>
      <c r="E20" s="65">
        <f>SUM(E3:E19)</f>
        <v>149890.41946628282</v>
      </c>
      <c r="F20" s="65">
        <f>SUM(F3:F19)</f>
        <v>141299.19398341869</v>
      </c>
      <c r="G20" s="65">
        <f>SUM(G3:G19)</f>
        <v>131068.96827735352</v>
      </c>
      <c r="H20" s="153"/>
      <c r="I20" s="153"/>
      <c r="J20" s="153"/>
      <c r="K20" s="66"/>
      <c r="L20" s="15">
        <f>SUM(L3:L19)</f>
        <v>0.93140629130862895</v>
      </c>
      <c r="M20" s="15"/>
      <c r="N20" s="15">
        <f>SUM(N3:N19)</f>
        <v>0.99999999999999989</v>
      </c>
      <c r="O20" s="15">
        <f>SUM(O3:O19)</f>
        <v>1</v>
      </c>
      <c r="P20" s="59"/>
    </row>
    <row r="21" spans="1:19" x14ac:dyDescent="0.3">
      <c r="G21" s="61"/>
      <c r="H21" s="61"/>
      <c r="I21" s="61"/>
      <c r="J21" s="61"/>
      <c r="K21" s="61"/>
      <c r="L21" s="16">
        <f>DSUM(VMS,$G$2,$X$2:$X$3)</f>
        <v>56041.436938422514</v>
      </c>
      <c r="M21" s="16"/>
      <c r="N21" s="16">
        <f>SUM(M3:M19)</f>
        <v>63219.85035727363</v>
      </c>
      <c r="O21" s="77">
        <f>G20</f>
        <v>131068.96827735352</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M14"/>
  <sheetViews>
    <sheetView workbookViewId="0">
      <selection activeCell="D12" sqref="D12"/>
    </sheetView>
  </sheetViews>
  <sheetFormatPr defaultRowHeight="14.4" x14ac:dyDescent="0.3"/>
  <cols>
    <col min="2" max="11" width="9.88671875" customWidth="1"/>
    <col min="12" max="12" width="10.5546875" bestFit="1" customWidth="1"/>
  </cols>
  <sheetData>
    <row r="1" spans="1:13" x14ac:dyDescent="0.3">
      <c r="A1" t="s">
        <v>118</v>
      </c>
    </row>
    <row r="2" spans="1:13" x14ac:dyDescent="0.3">
      <c r="A2" s="59"/>
      <c r="B2" s="59">
        <v>2000</v>
      </c>
      <c r="C2" s="59">
        <v>2001</v>
      </c>
      <c r="D2" s="59">
        <v>2002</v>
      </c>
      <c r="E2" s="59">
        <v>2003</v>
      </c>
      <c r="F2" s="59">
        <v>2004</v>
      </c>
      <c r="G2" s="59">
        <v>2005</v>
      </c>
      <c r="H2" s="59">
        <v>2006</v>
      </c>
      <c r="I2" s="59">
        <v>2007</v>
      </c>
      <c r="J2" s="59">
        <v>2008</v>
      </c>
      <c r="K2" s="59">
        <v>2009</v>
      </c>
      <c r="L2" s="59">
        <v>2010</v>
      </c>
    </row>
    <row r="3" spans="1:13" x14ac:dyDescent="0.3">
      <c r="A3" s="59" t="s">
        <v>1</v>
      </c>
      <c r="B3" s="60">
        <v>86331.540000000008</v>
      </c>
      <c r="C3" s="60">
        <v>103650.92460531234</v>
      </c>
      <c r="D3" s="60">
        <v>108815.82</v>
      </c>
      <c r="E3" s="60">
        <v>111957.63</v>
      </c>
      <c r="F3" s="60">
        <v>87988.51</v>
      </c>
      <c r="G3" s="60">
        <v>87964.64</v>
      </c>
      <c r="H3" s="60">
        <v>87942.166542599822</v>
      </c>
      <c r="I3" s="60">
        <v>83095.550955569444</v>
      </c>
      <c r="J3" s="60">
        <v>91011.782163864991</v>
      </c>
      <c r="K3" s="60">
        <v>92272.952934441768</v>
      </c>
      <c r="L3" s="60">
        <v>74568.817903961826</v>
      </c>
    </row>
    <row r="4" spans="1:13" x14ac:dyDescent="0.3">
      <c r="A4" s="59" t="s">
        <v>2</v>
      </c>
      <c r="B4" s="60">
        <v>75.599999999999994</v>
      </c>
      <c r="C4" s="60">
        <v>661.55</v>
      </c>
      <c r="D4" s="60">
        <v>26000.199999999997</v>
      </c>
      <c r="E4" s="60">
        <v>72981.3</v>
      </c>
      <c r="F4" s="60">
        <v>84134.55</v>
      </c>
      <c r="G4" s="60">
        <v>76442.98</v>
      </c>
      <c r="H4" s="60">
        <v>72681.55</v>
      </c>
      <c r="I4" s="60">
        <v>67817.34</v>
      </c>
      <c r="J4" s="60">
        <v>72944.759999999995</v>
      </c>
      <c r="K4" s="60">
        <v>151681.86000000002</v>
      </c>
      <c r="L4" s="60">
        <v>149352.02065586663</v>
      </c>
    </row>
    <row r="5" spans="1:13" x14ac:dyDescent="0.3">
      <c r="A5" s="59" t="s">
        <v>3</v>
      </c>
      <c r="B5" s="60">
        <v>165825.0774400353</v>
      </c>
      <c r="C5" s="60">
        <v>266486.86635017436</v>
      </c>
      <c r="D5" s="60">
        <v>272479.08100592589</v>
      </c>
      <c r="E5" s="60">
        <v>255491.35442956907</v>
      </c>
      <c r="F5" s="60">
        <v>281605.47210931469</v>
      </c>
      <c r="G5" s="60">
        <v>230920.65</v>
      </c>
      <c r="H5" s="60">
        <v>188452.55389103314</v>
      </c>
      <c r="I5" s="60">
        <v>160500.73950525452</v>
      </c>
      <c r="J5" s="60">
        <v>121239.38135743319</v>
      </c>
      <c r="K5" s="60">
        <v>230147.92</v>
      </c>
      <c r="L5" s="60">
        <v>200128.88999999998</v>
      </c>
    </row>
    <row r="6" spans="1:13" x14ac:dyDescent="0.3">
      <c r="A6" s="59" t="s">
        <v>4</v>
      </c>
      <c r="B6" s="60">
        <v>20.88</v>
      </c>
      <c r="C6" s="60">
        <v>108.5</v>
      </c>
      <c r="D6" s="60">
        <v>2246.64</v>
      </c>
      <c r="E6" s="60">
        <v>552.5</v>
      </c>
      <c r="F6" s="60">
        <v>540</v>
      </c>
      <c r="G6" s="60">
        <v>2712.7080124713575</v>
      </c>
      <c r="H6" s="60">
        <v>8039.7009339880697</v>
      </c>
      <c r="I6" s="60">
        <v>10953.85</v>
      </c>
      <c r="J6" s="60">
        <v>568.66999999999996</v>
      </c>
      <c r="K6" s="60">
        <v>5760.16</v>
      </c>
      <c r="L6" s="60">
        <v>11721.868134158914</v>
      </c>
    </row>
    <row r="7" spans="1:13" x14ac:dyDescent="0.3">
      <c r="A7" s="59" t="s">
        <v>5</v>
      </c>
      <c r="B7" s="60">
        <v>89728.542665483765</v>
      </c>
      <c r="C7" s="60">
        <v>134606.92076717003</v>
      </c>
      <c r="D7" s="60">
        <v>138363.12903744204</v>
      </c>
      <c r="E7" s="60">
        <v>138972.8133185996</v>
      </c>
      <c r="F7" s="60">
        <v>108223.68548736883</v>
      </c>
      <c r="G7" s="60">
        <v>49919.247174209981</v>
      </c>
      <c r="H7" s="60">
        <v>48257.392953650502</v>
      </c>
      <c r="I7" s="60">
        <v>40918.423881388837</v>
      </c>
      <c r="J7" s="60">
        <v>42617.98473749945</v>
      </c>
      <c r="K7" s="60">
        <v>37815.141733943929</v>
      </c>
      <c r="L7" s="60">
        <v>35819.578089131013</v>
      </c>
      <c r="M7" t="s">
        <v>119</v>
      </c>
    </row>
    <row r="8" spans="1:13" x14ac:dyDescent="0.3">
      <c r="A8" s="59" t="s">
        <v>6</v>
      </c>
      <c r="B8" s="60">
        <v>38903.177465068875</v>
      </c>
      <c r="C8" s="60">
        <v>59063.558806446206</v>
      </c>
      <c r="D8" s="60">
        <v>60085.499801811602</v>
      </c>
      <c r="E8" s="60">
        <v>67026.375435442198</v>
      </c>
      <c r="F8" s="60">
        <v>83313.197318235761</v>
      </c>
      <c r="G8" s="60">
        <v>83074.530223392721</v>
      </c>
      <c r="H8" s="60">
        <v>81421.140300864528</v>
      </c>
      <c r="I8" s="60">
        <v>85003.812753265724</v>
      </c>
      <c r="J8" s="60">
        <v>84928.662772001509</v>
      </c>
      <c r="K8" s="60">
        <v>69488.542797378585</v>
      </c>
      <c r="L8" s="60">
        <v>65048.83</v>
      </c>
    </row>
    <row r="9" spans="1:13" x14ac:dyDescent="0.3">
      <c r="A9" s="59" t="s">
        <v>7</v>
      </c>
      <c r="B9" s="60">
        <v>39951.089999999997</v>
      </c>
      <c r="C9" s="60">
        <v>29518.47</v>
      </c>
      <c r="D9" s="60">
        <v>106961.6254643126</v>
      </c>
      <c r="E9" s="60">
        <v>140498.91361790421</v>
      </c>
      <c r="F9" s="60">
        <v>145175.81</v>
      </c>
      <c r="G9" s="60">
        <v>159301.65</v>
      </c>
      <c r="H9" s="60">
        <v>308463.72970890312</v>
      </c>
      <c r="I9" s="60">
        <v>373882.63745081861</v>
      </c>
      <c r="J9" s="60">
        <v>524670.69515728008</v>
      </c>
      <c r="K9" s="60">
        <v>559957.49146835459</v>
      </c>
      <c r="L9" s="60">
        <v>1256586.1935416355</v>
      </c>
    </row>
    <row r="10" spans="1:13" x14ac:dyDescent="0.3">
      <c r="A10" s="59" t="s">
        <v>8</v>
      </c>
      <c r="B10" s="60">
        <v>90</v>
      </c>
      <c r="C10" s="60">
        <v>329.8</v>
      </c>
      <c r="D10" s="60">
        <v>3870.2799999999997</v>
      </c>
      <c r="E10" s="60">
        <v>3429.87</v>
      </c>
      <c r="F10" s="60">
        <v>5231.33</v>
      </c>
      <c r="G10" s="60">
        <v>501.2</v>
      </c>
      <c r="H10" s="60">
        <v>28.8</v>
      </c>
      <c r="I10" s="60">
        <v>507.8</v>
      </c>
      <c r="J10" s="60">
        <v>1783.2</v>
      </c>
      <c r="K10" s="60">
        <v>199.8</v>
      </c>
      <c r="L10" s="60">
        <v>28</v>
      </c>
    </row>
    <row r="11" spans="1:13" x14ac:dyDescent="0.3">
      <c r="A11" s="59" t="s">
        <v>9</v>
      </c>
      <c r="B11" s="60">
        <v>39816.695251766119</v>
      </c>
      <c r="C11" s="60">
        <v>39949.215378448636</v>
      </c>
      <c r="D11" s="60">
        <v>44026.222183268168</v>
      </c>
      <c r="E11" s="60">
        <v>46621.53</v>
      </c>
      <c r="F11" s="60">
        <v>27525.79</v>
      </c>
      <c r="G11" s="60">
        <v>31051.116519521587</v>
      </c>
      <c r="H11" s="60">
        <v>35832.707613966639</v>
      </c>
      <c r="I11" s="60">
        <v>33037.382658163369</v>
      </c>
      <c r="J11" s="60">
        <v>22231.5</v>
      </c>
      <c r="K11" s="60">
        <v>10982.75</v>
      </c>
      <c r="L11" s="60">
        <v>9219.48555235614</v>
      </c>
    </row>
    <row r="12" spans="1:13" x14ac:dyDescent="0.3">
      <c r="A12" s="59" t="s">
        <v>10</v>
      </c>
      <c r="B12" s="60">
        <v>34286.19</v>
      </c>
      <c r="C12" s="60">
        <v>20149.829999999998</v>
      </c>
      <c r="D12" s="60">
        <v>30096.83</v>
      </c>
      <c r="E12" s="60">
        <v>10255.69</v>
      </c>
      <c r="F12" s="60">
        <v>27742.710000000003</v>
      </c>
      <c r="G12" s="60">
        <v>48004.4</v>
      </c>
      <c r="H12" s="60">
        <v>4070.3999999999996</v>
      </c>
      <c r="I12" s="60">
        <v>50003.609127973352</v>
      </c>
      <c r="J12" s="60">
        <v>19063.412729853946</v>
      </c>
      <c r="K12" s="60">
        <v>25213.19</v>
      </c>
      <c r="L12" s="60">
        <v>18135.213865598154</v>
      </c>
    </row>
    <row r="13" spans="1:13" x14ac:dyDescent="0.3">
      <c r="A13" s="59" t="s">
        <v>11</v>
      </c>
      <c r="B13" s="60">
        <v>68567.335110639193</v>
      </c>
      <c r="C13" s="60">
        <v>104492.33441166488</v>
      </c>
      <c r="D13" s="60">
        <v>101757.23553366415</v>
      </c>
      <c r="E13" s="60">
        <v>142122.92350795789</v>
      </c>
      <c r="F13" s="60">
        <v>145785.75</v>
      </c>
      <c r="G13" s="60">
        <v>261989.47999999998</v>
      </c>
      <c r="H13" s="60">
        <v>265586.87263934099</v>
      </c>
      <c r="I13" s="60">
        <v>237767.13082743151</v>
      </c>
      <c r="J13" s="60">
        <v>220039.73180993248</v>
      </c>
      <c r="K13" s="60">
        <v>224274.31196723215</v>
      </c>
      <c r="L13" s="60">
        <v>157034.85043578641</v>
      </c>
    </row>
    <row r="14" spans="1:13" x14ac:dyDescent="0.3">
      <c r="A14" s="59" t="s">
        <v>12</v>
      </c>
      <c r="B14" s="60">
        <v>153188.08819204758</v>
      </c>
      <c r="C14" s="60">
        <v>54285.48504949615</v>
      </c>
      <c r="D14" s="60">
        <v>71177.717508075424</v>
      </c>
      <c r="E14" s="60">
        <v>77430.291685438249</v>
      </c>
      <c r="F14" s="60">
        <v>56851.323433738857</v>
      </c>
      <c r="G14" s="60">
        <v>39876.110480716314</v>
      </c>
      <c r="H14" s="60">
        <v>53066.352887956738</v>
      </c>
      <c r="I14" s="60">
        <v>77505.009358547337</v>
      </c>
      <c r="J14" s="60">
        <v>67166.671785150334</v>
      </c>
      <c r="K14" s="60">
        <v>72612.197929361486</v>
      </c>
      <c r="L14" s="60">
        <v>78427.244422707285</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I15"/>
  <sheetViews>
    <sheetView workbookViewId="0">
      <selection activeCell="D20" sqref="D20"/>
    </sheetView>
  </sheetViews>
  <sheetFormatPr defaultRowHeight="14.4" x14ac:dyDescent="0.3"/>
  <cols>
    <col min="1" max="1" width="7.88671875" customWidth="1"/>
    <col min="2" max="2" width="7.88671875" style="59" customWidth="1"/>
    <col min="3" max="4" width="12.88671875" style="59" customWidth="1"/>
    <col min="5" max="5" width="2.109375" style="59" customWidth="1"/>
    <col min="6" max="6" width="9.88671875" customWidth="1"/>
    <col min="7" max="7" width="10.109375" customWidth="1"/>
    <col min="8" max="8" width="10.44140625" customWidth="1"/>
    <col min="9" max="9" width="10" customWidth="1"/>
  </cols>
  <sheetData>
    <row r="1" spans="1:9" s="59" customFormat="1" x14ac:dyDescent="0.3">
      <c r="A1" s="59" t="s">
        <v>106</v>
      </c>
    </row>
    <row r="2" spans="1:9" s="59" customFormat="1" x14ac:dyDescent="0.3">
      <c r="A2" s="59" t="s">
        <v>107</v>
      </c>
    </row>
    <row r="3" spans="1:9" ht="86.4" x14ac:dyDescent="0.3">
      <c r="A3" s="81" t="s">
        <v>112</v>
      </c>
      <c r="B3" s="81" t="s">
        <v>123</v>
      </c>
      <c r="C3" s="82" t="s">
        <v>113</v>
      </c>
      <c r="D3" s="82" t="s">
        <v>108</v>
      </c>
      <c r="E3" s="83"/>
      <c r="F3" s="82" t="s">
        <v>109</v>
      </c>
      <c r="G3" s="82" t="s">
        <v>110</v>
      </c>
      <c r="H3" s="82" t="s">
        <v>111</v>
      </c>
      <c r="I3" s="82" t="s">
        <v>105</v>
      </c>
    </row>
    <row r="4" spans="1:9" x14ac:dyDescent="0.3">
      <c r="A4" s="39" t="s">
        <v>1</v>
      </c>
      <c r="B4" s="39" t="s">
        <v>20</v>
      </c>
      <c r="C4" s="80">
        <f>D4*1/D$15</f>
        <v>3.2069531820630728E-2</v>
      </c>
      <c r="D4" s="40">
        <f>MAX(F4:I4)</f>
        <v>3.9519384211020372E-2</v>
      </c>
      <c r="E4" s="22"/>
      <c r="F4" s="40">
        <v>1.5927379852371474E-2</v>
      </c>
      <c r="G4" s="40">
        <v>3.8712701854076034E-2</v>
      </c>
      <c r="H4" s="40">
        <v>3.2682698784229691E-2</v>
      </c>
      <c r="I4" s="40">
        <v>3.9519384211020372E-2</v>
      </c>
    </row>
    <row r="5" spans="1:9" x14ac:dyDescent="0.3">
      <c r="A5" s="39" t="s">
        <v>2</v>
      </c>
      <c r="B5" s="39" t="s">
        <v>19</v>
      </c>
      <c r="C5" s="80">
        <f t="shared" ref="C5:C14" si="0">D5*1/D$15</f>
        <v>0.1251069691015384</v>
      </c>
      <c r="D5" s="40">
        <f t="shared" ref="D5:D14" si="1">MAX(F5:I5)</f>
        <v>0.15416970871459112</v>
      </c>
      <c r="E5" s="22"/>
      <c r="F5" s="40">
        <v>0.12671900963922481</v>
      </c>
      <c r="G5" s="40">
        <v>0.15416970871459112</v>
      </c>
      <c r="H5" s="40">
        <v>0.14006753804837552</v>
      </c>
      <c r="I5" s="40">
        <v>0.15172564848712414</v>
      </c>
    </row>
    <row r="6" spans="1:9" x14ac:dyDescent="0.3">
      <c r="A6" s="39" t="s">
        <v>3</v>
      </c>
      <c r="B6" s="39" t="s">
        <v>20</v>
      </c>
      <c r="C6" s="80">
        <f t="shared" si="0"/>
        <v>0.11197638922857192</v>
      </c>
      <c r="D6" s="40">
        <f t="shared" si="1"/>
        <v>0.13798885413225417</v>
      </c>
      <c r="E6" s="22"/>
      <c r="F6" s="40">
        <v>9.1235539058987916E-2</v>
      </c>
      <c r="G6" s="40">
        <v>0.12204568057971574</v>
      </c>
      <c r="H6" s="40">
        <v>0.13798885413225417</v>
      </c>
      <c r="I6" s="40">
        <v>0.11411495979223379</v>
      </c>
    </row>
    <row r="7" spans="1:9" x14ac:dyDescent="0.3">
      <c r="A7" s="39" t="s">
        <v>4</v>
      </c>
      <c r="B7" s="39" t="s">
        <v>20</v>
      </c>
      <c r="C7" s="80">
        <f t="shared" si="0"/>
        <v>3.1739441627702619E-2</v>
      </c>
      <c r="D7" s="40">
        <f t="shared" si="1"/>
        <v>3.9112613035451674E-2</v>
      </c>
      <c r="E7" s="22"/>
      <c r="F7" s="40">
        <v>9.5732350012089629E-3</v>
      </c>
      <c r="G7" s="40">
        <v>7.6257745496719322E-3</v>
      </c>
      <c r="H7" s="40">
        <v>6.8132035966479683E-3</v>
      </c>
      <c r="I7" s="40">
        <v>3.9112613035451674E-2</v>
      </c>
    </row>
    <row r="8" spans="1:9" x14ac:dyDescent="0.3">
      <c r="A8" s="39" t="s">
        <v>5</v>
      </c>
      <c r="B8" s="39" t="s">
        <v>20</v>
      </c>
      <c r="C8" s="80">
        <f t="shared" si="0"/>
        <v>8.5650201051354E-2</v>
      </c>
      <c r="D8" s="40">
        <f t="shared" si="1"/>
        <v>0.10554701022863354</v>
      </c>
      <c r="E8" s="22"/>
      <c r="F8" s="40">
        <v>6.7020006791592188E-2</v>
      </c>
      <c r="G8" s="40">
        <v>7.010141449129953E-2</v>
      </c>
      <c r="H8" s="40">
        <v>0.10554701022863354</v>
      </c>
      <c r="I8" s="40">
        <v>0.10482180293501048</v>
      </c>
    </row>
    <row r="9" spans="1:9" x14ac:dyDescent="0.3">
      <c r="A9" s="39" t="s">
        <v>7</v>
      </c>
      <c r="B9" s="39" t="s">
        <v>20</v>
      </c>
      <c r="C9" s="80">
        <f t="shared" si="0"/>
        <v>0.264509814984905</v>
      </c>
      <c r="D9" s="40">
        <f t="shared" si="1"/>
        <v>0.32595627103136132</v>
      </c>
      <c r="E9" s="22"/>
      <c r="F9" s="40">
        <v>0.32595627103136132</v>
      </c>
      <c r="G9" s="40">
        <v>0.27036624195462872</v>
      </c>
      <c r="H9" s="40">
        <v>0.25050354997960667</v>
      </c>
      <c r="I9" s="40">
        <v>0.22685315560561969</v>
      </c>
    </row>
    <row r="10" spans="1:9" x14ac:dyDescent="0.3">
      <c r="A10" s="39" t="s">
        <v>8</v>
      </c>
      <c r="B10" s="39" t="s">
        <v>20</v>
      </c>
      <c r="C10" s="80">
        <f t="shared" si="0"/>
        <v>3.7964482066662274E-2</v>
      </c>
      <c r="D10" s="40">
        <f t="shared" si="1"/>
        <v>4.6783749808272428E-2</v>
      </c>
      <c r="E10" s="22"/>
      <c r="F10" s="40">
        <v>4.6783749808272428E-2</v>
      </c>
      <c r="G10" s="40">
        <v>2.4054454020633154E-2</v>
      </c>
      <c r="H10" s="40">
        <v>1.8898761712089734E-2</v>
      </c>
      <c r="I10" s="40">
        <v>3.9112613035451674E-2</v>
      </c>
    </row>
    <row r="11" spans="1:9" x14ac:dyDescent="0.3">
      <c r="A11" s="39" t="s">
        <v>9</v>
      </c>
      <c r="B11" s="39" t="s">
        <v>20</v>
      </c>
      <c r="C11" s="80">
        <f t="shared" si="0"/>
        <v>7.1750298996919967E-2</v>
      </c>
      <c r="D11" s="40">
        <f t="shared" si="1"/>
        <v>8.841811751959347E-2</v>
      </c>
      <c r="E11" s="22"/>
      <c r="F11" s="40">
        <v>8.841811751959347E-2</v>
      </c>
      <c r="G11" s="40">
        <v>5.5262751814401247E-2</v>
      </c>
      <c r="H11" s="40">
        <v>4.6688203586507798E-2</v>
      </c>
      <c r="I11" s="40">
        <v>3.9112613035451674E-2</v>
      </c>
    </row>
    <row r="12" spans="1:9" x14ac:dyDescent="0.3">
      <c r="A12" s="39" t="s">
        <v>10</v>
      </c>
      <c r="B12" s="39" t="s">
        <v>20</v>
      </c>
      <c r="C12" s="80">
        <f t="shared" si="0"/>
        <v>3.1739441627702619E-2</v>
      </c>
      <c r="D12" s="40">
        <f t="shared" si="1"/>
        <v>3.9112613035451674E-2</v>
      </c>
      <c r="E12" s="22"/>
      <c r="F12" s="40">
        <v>2.2916096519134795E-2</v>
      </c>
      <c r="G12" s="40">
        <v>1.9514219307425883E-2</v>
      </c>
      <c r="H12" s="40">
        <v>1.688230596391728E-2</v>
      </c>
      <c r="I12" s="40">
        <v>3.9112613035451674E-2</v>
      </c>
    </row>
    <row r="13" spans="1:9" x14ac:dyDescent="0.3">
      <c r="A13" s="39" t="s">
        <v>11</v>
      </c>
      <c r="B13" s="39" t="s">
        <v>20</v>
      </c>
      <c r="C13" s="80">
        <f t="shared" si="0"/>
        <v>0.14624900292919749</v>
      </c>
      <c r="D13" s="40">
        <f t="shared" si="1"/>
        <v>0.18022310302389466</v>
      </c>
      <c r="E13" s="22"/>
      <c r="F13" s="40">
        <v>0.17133063986986866</v>
      </c>
      <c r="G13" s="40">
        <v>0.18022310302389466</v>
      </c>
      <c r="H13" s="40">
        <v>0.17218834006620887</v>
      </c>
      <c r="I13" s="40">
        <v>0.13104289871397728</v>
      </c>
    </row>
    <row r="14" spans="1:9" x14ac:dyDescent="0.3">
      <c r="A14" s="39" t="s">
        <v>12</v>
      </c>
      <c r="B14" s="39" t="s">
        <v>20</v>
      </c>
      <c r="C14" s="80">
        <f t="shared" si="0"/>
        <v>6.1244426564814963E-2</v>
      </c>
      <c r="D14" s="40">
        <f t="shared" si="1"/>
        <v>7.5471698113207544E-2</v>
      </c>
      <c r="E14" s="22"/>
      <c r="F14" s="40">
        <v>3.4119954908383814E-2</v>
      </c>
      <c r="G14" s="40">
        <v>5.792394968966192E-2</v>
      </c>
      <c r="H14" s="40">
        <v>7.1739533901528804E-2</v>
      </c>
      <c r="I14" s="40">
        <v>7.5471698113207544E-2</v>
      </c>
    </row>
    <row r="15" spans="1:9" x14ac:dyDescent="0.3">
      <c r="A15" s="39" t="s">
        <v>27</v>
      </c>
      <c r="B15" s="39"/>
      <c r="C15" s="40">
        <f>SUM(C4:C14)</f>
        <v>1</v>
      </c>
      <c r="D15" s="40">
        <f>SUM(D4:D14)</f>
        <v>1.232303122853732</v>
      </c>
      <c r="E15" s="22"/>
      <c r="F15" s="40">
        <v>0.99999999999999989</v>
      </c>
      <c r="G15" s="40">
        <v>1</v>
      </c>
      <c r="H15" s="40">
        <v>1</v>
      </c>
      <c r="I15" s="40">
        <v>1</v>
      </c>
    </row>
  </sheetData>
  <conditionalFormatting sqref="F4:I4">
    <cfRule type="top10" dxfId="10" priority="11" rank="1"/>
  </conditionalFormatting>
  <conditionalFormatting sqref="F5:I5">
    <cfRule type="top10" dxfId="9" priority="10" rank="1"/>
  </conditionalFormatting>
  <conditionalFormatting sqref="F6:I6">
    <cfRule type="top10" dxfId="8" priority="9" rank="1"/>
  </conditionalFormatting>
  <conditionalFormatting sqref="F7:I7">
    <cfRule type="top10" dxfId="7" priority="8" rank="1"/>
  </conditionalFormatting>
  <conditionalFormatting sqref="F8:I8">
    <cfRule type="top10" dxfId="6" priority="7" rank="1"/>
  </conditionalFormatting>
  <conditionalFormatting sqref="F9:I9">
    <cfRule type="top10" dxfId="5" priority="6" rank="1"/>
  </conditionalFormatting>
  <conditionalFormatting sqref="F10:I10">
    <cfRule type="top10" dxfId="4" priority="5" rank="1"/>
  </conditionalFormatting>
  <conditionalFormatting sqref="F11:I11">
    <cfRule type="top10" dxfId="3" priority="4" rank="1"/>
  </conditionalFormatting>
  <conditionalFormatting sqref="F12:I12">
    <cfRule type="top10" dxfId="2" priority="3" rank="1"/>
  </conditionalFormatting>
  <conditionalFormatting sqref="F13:I13">
    <cfRule type="top10" dxfId="1" priority="2" rank="1"/>
  </conditionalFormatting>
  <conditionalFormatting sqref="F14:I14">
    <cfRule type="top10" dxfId="0" priority="1" rank="1"/>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00B0F0"/>
  </sheetPr>
  <dimension ref="A1:C22"/>
  <sheetViews>
    <sheetView workbookViewId="0">
      <pane xSplit="1" ySplit="1" topLeftCell="B2" activePane="bottomRight" state="frozen"/>
      <selection pane="topRight" activeCell="B1" sqref="B1"/>
      <selection pane="bottomLeft" activeCell="A2" sqref="A2"/>
      <selection pane="bottomRight" activeCell="B4" sqref="B4"/>
    </sheetView>
  </sheetViews>
  <sheetFormatPr defaultRowHeight="14.4" x14ac:dyDescent="0.3"/>
  <cols>
    <col min="1" max="1" width="25.44140625" customWidth="1"/>
    <col min="2" max="2" width="44.5546875" customWidth="1"/>
    <col min="3" max="3" width="55.5546875" customWidth="1"/>
  </cols>
  <sheetData>
    <row r="1" spans="1:3" x14ac:dyDescent="0.3">
      <c r="A1" s="57" t="s">
        <v>78</v>
      </c>
      <c r="B1" s="57" t="s">
        <v>83</v>
      </c>
      <c r="C1" s="57" t="s">
        <v>84</v>
      </c>
    </row>
    <row r="2" spans="1:3" ht="28.8" x14ac:dyDescent="0.3">
      <c r="A2" s="58" t="s">
        <v>79</v>
      </c>
      <c r="B2" s="58" t="s">
        <v>85</v>
      </c>
      <c r="C2" s="58" t="s">
        <v>86</v>
      </c>
    </row>
    <row r="3" spans="1:3" ht="72" x14ac:dyDescent="0.3">
      <c r="A3" s="58" t="s">
        <v>87</v>
      </c>
      <c r="B3" s="58" t="s">
        <v>169</v>
      </c>
      <c r="C3" s="58" t="s">
        <v>168</v>
      </c>
    </row>
    <row r="4" spans="1:3" ht="86.4" x14ac:dyDescent="0.3">
      <c r="A4" s="58" t="s">
        <v>80</v>
      </c>
      <c r="B4" s="58" t="s">
        <v>120</v>
      </c>
      <c r="C4" s="58" t="s">
        <v>170</v>
      </c>
    </row>
    <row r="5" spans="1:3" ht="57.6" x14ac:dyDescent="0.3">
      <c r="A5" s="58" t="s">
        <v>81</v>
      </c>
      <c r="B5" s="58" t="s">
        <v>88</v>
      </c>
      <c r="C5" s="58" t="s">
        <v>167</v>
      </c>
    </row>
    <row r="6" spans="1:3" ht="72" x14ac:dyDescent="0.3">
      <c r="A6" s="58" t="s">
        <v>89</v>
      </c>
      <c r="B6" s="58" t="s">
        <v>122</v>
      </c>
      <c r="C6" s="58" t="s">
        <v>121</v>
      </c>
    </row>
    <row r="7" spans="1:3" s="59" customFormat="1" ht="43.2" x14ac:dyDescent="0.3">
      <c r="A7" s="58" t="s">
        <v>172</v>
      </c>
      <c r="B7" s="58" t="s">
        <v>173</v>
      </c>
      <c r="C7" s="58" t="s">
        <v>174</v>
      </c>
    </row>
    <row r="8" spans="1:3" ht="43.2" x14ac:dyDescent="0.3">
      <c r="A8" s="58" t="s">
        <v>90</v>
      </c>
      <c r="B8" s="58" t="s">
        <v>171</v>
      </c>
      <c r="C8" s="58" t="s">
        <v>93</v>
      </c>
    </row>
    <row r="9" spans="1:3" ht="28.8" x14ac:dyDescent="0.3">
      <c r="A9" s="58" t="s">
        <v>82</v>
      </c>
      <c r="B9" s="58" t="s">
        <v>175</v>
      </c>
      <c r="C9" s="58" t="s">
        <v>176</v>
      </c>
    </row>
    <row r="10" spans="1:3" x14ac:dyDescent="0.3">
      <c r="A10" s="56"/>
      <c r="B10" s="56"/>
      <c r="C10" s="56"/>
    </row>
    <row r="11" spans="1:3" x14ac:dyDescent="0.3">
      <c r="A11" s="56"/>
      <c r="B11" s="56"/>
      <c r="C11" s="56"/>
    </row>
    <row r="12" spans="1:3" x14ac:dyDescent="0.3">
      <c r="A12" s="56"/>
      <c r="B12" s="56"/>
      <c r="C12" s="56"/>
    </row>
    <row r="13" spans="1:3" x14ac:dyDescent="0.3">
      <c r="A13" s="55"/>
      <c r="B13" s="55"/>
      <c r="C13" s="55"/>
    </row>
    <row r="14" spans="1:3" x14ac:dyDescent="0.3">
      <c r="A14" s="55"/>
      <c r="B14" s="55"/>
      <c r="C14" s="55"/>
    </row>
    <row r="15" spans="1:3" x14ac:dyDescent="0.3">
      <c r="A15" s="55"/>
      <c r="B15" s="55"/>
      <c r="C15" s="55"/>
    </row>
    <row r="16" spans="1:3" x14ac:dyDescent="0.3">
      <c r="A16" s="55"/>
      <c r="B16" s="55"/>
      <c r="C16" s="55"/>
    </row>
    <row r="17" spans="1:3" x14ac:dyDescent="0.3">
      <c r="A17" s="55"/>
      <c r="B17" s="55"/>
      <c r="C17" s="55"/>
    </row>
    <row r="18" spans="1:3" x14ac:dyDescent="0.3">
      <c r="A18" s="55"/>
      <c r="B18" s="55"/>
      <c r="C18" s="55"/>
    </row>
    <row r="19" spans="1:3" x14ac:dyDescent="0.3">
      <c r="A19" s="55"/>
      <c r="B19" s="55"/>
      <c r="C19" s="55"/>
    </row>
    <row r="20" spans="1:3" x14ac:dyDescent="0.3">
      <c r="A20" s="55"/>
      <c r="B20" s="55"/>
      <c r="C20" s="55"/>
    </row>
    <row r="21" spans="1:3" x14ac:dyDescent="0.3">
      <c r="A21" s="55"/>
      <c r="B21" s="55"/>
      <c r="C21" s="55"/>
    </row>
    <row r="22" spans="1:3" x14ac:dyDescent="0.3">
      <c r="A22" s="55"/>
      <c r="B22" s="55"/>
      <c r="C22" s="55"/>
    </row>
  </sheetData>
  <pageMargins left="0.7" right="0.7" top="0.75" bottom="0.75" header="0.3" footer="0.3"/>
  <pageSetup orientation="portrait" horizontalDpi="4294967295" verticalDpi="4294967295"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00B0F0"/>
  </sheetPr>
  <dimension ref="A1:AD31"/>
  <sheetViews>
    <sheetView zoomScale="85" zoomScaleNormal="85" workbookViewId="0">
      <selection activeCell="L9" sqref="L9"/>
    </sheetView>
  </sheetViews>
  <sheetFormatPr defaultRowHeight="14.4" x14ac:dyDescent="0.3"/>
  <cols>
    <col min="1" max="1" width="10" customWidth="1"/>
    <col min="2" max="2" width="7.88671875" customWidth="1"/>
    <col min="3" max="3" width="8.5546875" style="59" customWidth="1"/>
    <col min="4" max="4" width="13.5546875" customWidth="1"/>
    <col min="5" max="5" width="9.44140625" style="59" customWidth="1"/>
    <col min="6" max="6" width="10.44140625" style="59" bestFit="1" customWidth="1"/>
    <col min="7" max="7" width="9.44140625" style="59" customWidth="1"/>
    <col min="8" max="8" width="9.88671875" bestFit="1" customWidth="1"/>
    <col min="15" max="15" width="5.5546875" customWidth="1"/>
    <col min="16" max="16" width="2.109375" style="59" customWidth="1"/>
    <col min="17" max="17" width="5.5546875" customWidth="1"/>
    <col min="18" max="18" width="5.6640625" style="59" customWidth="1"/>
    <col min="19" max="19" width="12.44140625" style="59" customWidth="1"/>
    <col min="20" max="20" width="11.44140625" customWidth="1"/>
    <col min="21" max="21" width="11" customWidth="1"/>
    <col min="22" max="22" width="3.88671875" style="59" customWidth="1"/>
    <col min="23" max="23" width="5.5546875" style="59" customWidth="1"/>
    <col min="24" max="24" width="11.109375" style="59" customWidth="1"/>
    <col min="25" max="25" width="10.44140625" style="59" customWidth="1"/>
    <col min="26" max="26" width="10.6640625" style="59" customWidth="1"/>
    <col min="27" max="27" width="4.109375" style="59" customWidth="1"/>
    <col min="28" max="28" width="12.44140625" customWidth="1"/>
    <col min="30" max="30" width="12.109375" customWidth="1"/>
  </cols>
  <sheetData>
    <row r="1" spans="1:30" ht="18" x14ac:dyDescent="0.35">
      <c r="A1" s="127" t="s">
        <v>160</v>
      </c>
      <c r="L1" s="59"/>
      <c r="P1" s="13"/>
      <c r="Q1" s="127" t="s">
        <v>157</v>
      </c>
    </row>
    <row r="2" spans="1:30" s="59" customFormat="1" x14ac:dyDescent="0.3">
      <c r="B2" s="111"/>
      <c r="P2" s="13"/>
      <c r="R2" s="111"/>
    </row>
    <row r="3" spans="1:30" x14ac:dyDescent="0.3">
      <c r="B3" s="126" t="s">
        <v>165</v>
      </c>
      <c r="C3" s="126"/>
      <c r="D3" s="126"/>
      <c r="E3" s="126"/>
      <c r="P3" s="13"/>
      <c r="R3" s="59" t="s">
        <v>147</v>
      </c>
      <c r="W3" s="59" t="s">
        <v>191</v>
      </c>
      <c r="AB3" s="59" t="s">
        <v>194</v>
      </c>
      <c r="AC3" s="59"/>
    </row>
    <row r="4" spans="1:30" x14ac:dyDescent="0.3">
      <c r="F4" s="25"/>
      <c r="G4" s="25" t="s">
        <v>166</v>
      </c>
      <c r="H4" s="123" t="s">
        <v>162</v>
      </c>
      <c r="I4" s="123" t="s">
        <v>162</v>
      </c>
      <c r="J4" s="123" t="s">
        <v>162</v>
      </c>
      <c r="K4" s="123" t="s">
        <v>162</v>
      </c>
      <c r="L4" s="123" t="s">
        <v>162</v>
      </c>
      <c r="M4" s="123"/>
      <c r="N4" s="123" t="s">
        <v>162</v>
      </c>
      <c r="P4" s="13"/>
      <c r="R4" s="59" t="s">
        <v>163</v>
      </c>
      <c r="W4" s="59" t="s">
        <v>163</v>
      </c>
      <c r="AB4" s="109" t="s">
        <v>164</v>
      </c>
    </row>
    <row r="5" spans="1:30" x14ac:dyDescent="0.3">
      <c r="D5" s="113" t="s">
        <v>129</v>
      </c>
      <c r="E5" s="114" t="s">
        <v>130</v>
      </c>
      <c r="F5" s="113" t="s">
        <v>181</v>
      </c>
      <c r="G5" s="114" t="s">
        <v>182</v>
      </c>
      <c r="H5" s="426" t="s">
        <v>149</v>
      </c>
      <c r="I5" s="426"/>
      <c r="J5" s="426"/>
      <c r="K5" s="426"/>
      <c r="L5" s="426"/>
      <c r="M5" s="426"/>
      <c r="N5" s="426"/>
      <c r="P5" s="13"/>
      <c r="S5" s="115" t="s">
        <v>158</v>
      </c>
      <c r="T5" s="128">
        <v>60000</v>
      </c>
      <c r="X5" s="115" t="s">
        <v>158</v>
      </c>
      <c r="Y5" s="128">
        <v>60000</v>
      </c>
      <c r="AB5" s="123">
        <v>0.37474600000000002</v>
      </c>
      <c r="AC5" s="129" t="s">
        <v>177</v>
      </c>
    </row>
    <row r="6" spans="1:30" ht="115.2" x14ac:dyDescent="0.3">
      <c r="B6" s="107"/>
      <c r="C6" s="108" t="s">
        <v>159</v>
      </c>
      <c r="D6" s="108" t="s">
        <v>146</v>
      </c>
      <c r="E6" s="108" t="s">
        <v>161</v>
      </c>
      <c r="F6" s="108" t="s">
        <v>183</v>
      </c>
      <c r="G6" s="108" t="s">
        <v>184</v>
      </c>
      <c r="H6" s="108" t="s">
        <v>134</v>
      </c>
      <c r="I6" s="108" t="s">
        <v>135</v>
      </c>
      <c r="J6" s="108" t="s">
        <v>136</v>
      </c>
      <c r="K6" s="108" t="s">
        <v>105</v>
      </c>
      <c r="L6" s="108" t="s">
        <v>133</v>
      </c>
      <c r="M6" s="108" t="s">
        <v>137</v>
      </c>
      <c r="N6" s="108" t="s">
        <v>142</v>
      </c>
      <c r="P6" s="13"/>
      <c r="R6" s="107"/>
      <c r="S6" s="108" t="s">
        <v>190</v>
      </c>
      <c r="T6" s="108" t="s">
        <v>196</v>
      </c>
      <c r="U6" s="108" t="s">
        <v>155</v>
      </c>
      <c r="W6" s="107"/>
      <c r="X6" s="108" t="s">
        <v>189</v>
      </c>
      <c r="Y6" s="108" t="s">
        <v>195</v>
      </c>
      <c r="Z6" s="108" t="s">
        <v>188</v>
      </c>
      <c r="AB6" s="108" t="s">
        <v>144</v>
      </c>
      <c r="AC6" s="108" t="s">
        <v>145</v>
      </c>
      <c r="AD6" s="108" t="s">
        <v>148</v>
      </c>
    </row>
    <row r="7" spans="1:30" s="59" customFormat="1" ht="14.25" customHeight="1" x14ac:dyDescent="0.3">
      <c r="B7" s="57" t="s">
        <v>35</v>
      </c>
      <c r="C7" s="57" t="s">
        <v>123</v>
      </c>
      <c r="D7" s="118" t="s">
        <v>129</v>
      </c>
      <c r="E7" s="118" t="s">
        <v>130</v>
      </c>
      <c r="F7" s="118" t="s">
        <v>181</v>
      </c>
      <c r="G7" s="118" t="s">
        <v>182</v>
      </c>
      <c r="H7" s="119" t="s">
        <v>124</v>
      </c>
      <c r="I7" s="119" t="s">
        <v>125</v>
      </c>
      <c r="J7" s="119" t="s">
        <v>126</v>
      </c>
      <c r="K7" s="119" t="s">
        <v>128</v>
      </c>
      <c r="L7" s="119" t="s">
        <v>132</v>
      </c>
      <c r="M7" s="119" t="s">
        <v>138</v>
      </c>
      <c r="N7" s="119" t="s">
        <v>143</v>
      </c>
      <c r="P7" s="13"/>
      <c r="Q7" s="110"/>
      <c r="R7" s="57" t="s">
        <v>35</v>
      </c>
      <c r="S7" s="120" t="s">
        <v>150</v>
      </c>
      <c r="T7" s="120" t="s">
        <v>192</v>
      </c>
      <c r="U7" s="120" t="s">
        <v>154</v>
      </c>
      <c r="V7" s="112"/>
      <c r="W7" s="57" t="s">
        <v>35</v>
      </c>
      <c r="X7" s="120" t="s">
        <v>150</v>
      </c>
      <c r="Y7" s="135" t="s">
        <v>187</v>
      </c>
      <c r="Z7" s="120" t="s">
        <v>153</v>
      </c>
      <c r="AA7" s="112"/>
      <c r="AB7" s="120" t="s">
        <v>151</v>
      </c>
      <c r="AC7" s="120" t="s">
        <v>152</v>
      </c>
      <c r="AD7" s="121" t="s">
        <v>193</v>
      </c>
    </row>
    <row r="8" spans="1:30" s="59" customFormat="1" x14ac:dyDescent="0.3">
      <c r="B8" s="81" t="s">
        <v>14</v>
      </c>
      <c r="C8" s="124"/>
      <c r="D8" s="80" t="str">
        <f t="shared" ref="D8:D24" si="0">IF(C8="CMA",E8*1/$E$25,"")</f>
        <v/>
      </c>
      <c r="E8" s="100" t="str">
        <f>IF(C8="CMA",MAX(H8,I8,J8,K8,L8,M8,N8),"")</f>
        <v/>
      </c>
      <c r="F8" s="80" t="str">
        <f>IF(C8="CMA",G8*1/$G$25,"")</f>
        <v/>
      </c>
      <c r="G8" s="40" t="str">
        <f t="shared" ref="G8:G24" si="1">IF(C8="CMA",GEOMEAN(H8:N8),"")</f>
        <v/>
      </c>
      <c r="H8" s="122" t="str">
        <f>IF(AND($C8="CMA",H$4="X"),Catch_History!AY35/Catch_History!AY$53,"")</f>
        <v/>
      </c>
      <c r="I8" s="40" t="str">
        <f>IF(AND($C8="CMA",I$4="X"),Catch_History!AZ35/Catch_History!AZ$53,"")</f>
        <v/>
      </c>
      <c r="J8" s="40" t="str">
        <f>IF(AND($C8="CMA",J$4="X"),Catch_History!BA35/Catch_History!BA$53,"")</f>
        <v/>
      </c>
      <c r="K8" s="40" t="str">
        <f>IF(AND($C8="CMA",K$4="X"),TKA_limit!D3,"")</f>
        <v/>
      </c>
      <c r="L8" s="40" t="str">
        <f>IF(AND($C8="CMA",L$4="X"),'Biomass_2013&amp;2021'!F4,"")</f>
        <v/>
      </c>
      <c r="M8" s="40" t="str">
        <f>IF(AND($C8="CMA",M$4="X"),EEZ_area!#REF!,"")</f>
        <v/>
      </c>
      <c r="N8" s="40" t="str">
        <f>IF(AND($C8="CMA",N$4="X"),Effort_VMSdays!N3,"")</f>
        <v/>
      </c>
      <c r="P8" s="13"/>
      <c r="R8" s="81" t="s">
        <v>14</v>
      </c>
      <c r="S8" s="64">
        <v>1629.8409223033589</v>
      </c>
      <c r="T8" s="133" t="str">
        <f>IF($C8="CMA",S8,"")</f>
        <v/>
      </c>
      <c r="U8" s="116" t="str">
        <f>IF($C8="CMA",D8*$T$25,"")</f>
        <v/>
      </c>
      <c r="W8" s="81" t="s">
        <v>14</v>
      </c>
      <c r="X8" s="64">
        <v>1356.0329223011784</v>
      </c>
      <c r="Y8" s="133" t="str">
        <f>IF($C8="CMA",X8,"")</f>
        <v/>
      </c>
      <c r="Z8" s="116" t="str">
        <f t="shared" ref="Z8" si="2">IF($C8="CMA",F8*$Y$25,"")</f>
        <v/>
      </c>
      <c r="AB8" s="101">
        <f>'Biomass_2013&amp;2021'!C4*$AB$5</f>
        <v>782.8319708296425</v>
      </c>
      <c r="AC8" s="101" t="str">
        <f>IF($C8="CMA",AB8,"")</f>
        <v/>
      </c>
      <c r="AD8" s="116" t="str">
        <f t="shared" ref="AD8:AD24" si="3">IF(C8="CMA",D8*$AC$25,"")</f>
        <v/>
      </c>
    </row>
    <row r="9" spans="1:30" x14ac:dyDescent="0.3">
      <c r="B9" s="125" t="s">
        <v>1</v>
      </c>
      <c r="C9" s="124" t="s">
        <v>20</v>
      </c>
      <c r="D9" s="80" t="e">
        <f t="shared" si="0"/>
        <v>#DIV/0!</v>
      </c>
      <c r="E9" s="100" t="e">
        <f>IF(C9="CMA",MAX(H9,I9,J9,K9,L9,M9,N9),"")</f>
        <v>#DIV/0!</v>
      </c>
      <c r="F9" s="80" t="e">
        <f t="shared" ref="F9:F24" si="4">IF(C9="CMA",G9*1/$G$25,"")</f>
        <v>#DIV/0!</v>
      </c>
      <c r="G9" s="40" t="e">
        <f t="shared" si="1"/>
        <v>#DIV/0!</v>
      </c>
      <c r="H9" s="122" t="e">
        <f>IF(AND($C9="CMA",H$4="X"),Catch_History!AY36/Catch_History!AY$53,"")</f>
        <v>#DIV/0!</v>
      </c>
      <c r="I9" s="40" t="e">
        <f>IF(AND($C9="CMA",I$4="X"),Catch_History!AZ36/Catch_History!AZ$53,"")</f>
        <v>#DIV/0!</v>
      </c>
      <c r="J9" s="40" t="e">
        <f>IF(AND($C9="CMA",J$4="X"),Catch_History!BA36/Catch_History!BA$53,"")</f>
        <v>#DIV/0!</v>
      </c>
      <c r="K9" s="40">
        <f>IF(AND($C9="CMA",K$4="X"),TKA_limit!D4,"")</f>
        <v>3.9519384211020372E-2</v>
      </c>
      <c r="L9" s="40">
        <f>IF(AND($C9="CMA",L$4="X"),'Biomass_2013&amp;2021'!F5,"")</f>
        <v>0.27619351423266736</v>
      </c>
      <c r="M9" s="40" t="str">
        <f>IF(AND($C9="CMA",M$4="X"),EEZ_area!#REF!,"")</f>
        <v/>
      </c>
      <c r="N9" s="40">
        <f>IF(AND($C9="CMA",N$4="X"),Effort_VMSdays!N4,"")</f>
        <v>1.655176331621305E-3</v>
      </c>
      <c r="P9" s="13"/>
      <c r="R9" s="39" t="s">
        <v>1</v>
      </c>
      <c r="S9" s="64">
        <v>2654.4460767564037</v>
      </c>
      <c r="T9" s="133">
        <f t="shared" ref="T9:T24" si="5">IF($C9="CMA",S9,"")</f>
        <v>2654.4460767564037</v>
      </c>
      <c r="U9" s="116" t="e">
        <f t="shared" ref="U9:U24" si="6">IF($C9="CMA",D9*$T$25,"")</f>
        <v>#DIV/0!</v>
      </c>
      <c r="W9" s="39" t="s">
        <v>1</v>
      </c>
      <c r="X9" s="64">
        <v>963.85933542245471</v>
      </c>
      <c r="Y9" s="133">
        <f t="shared" ref="Y9:Y24" si="7">IF($C9="CMA",X9,"")</f>
        <v>963.85933542245471</v>
      </c>
      <c r="Z9" s="116" t="e">
        <f>IF($C9="CMA",F9*$Y$25,"")</f>
        <v>#DIV/0!</v>
      </c>
      <c r="AB9" s="101">
        <f>'Biomass_2013&amp;2021'!C5*$AB$5</f>
        <v>5085.0260163765288</v>
      </c>
      <c r="AC9" s="101">
        <f t="shared" ref="AC9:AC24" si="8">IF(C9="CMA",AB9,"")</f>
        <v>5085.0260163765288</v>
      </c>
      <c r="AD9" s="116" t="e">
        <f t="shared" si="3"/>
        <v>#DIV/0!</v>
      </c>
    </row>
    <row r="10" spans="1:30" s="59" customFormat="1" x14ac:dyDescent="0.3">
      <c r="B10" s="125" t="s">
        <v>2</v>
      </c>
      <c r="C10" s="124"/>
      <c r="D10" s="80" t="str">
        <f t="shared" si="0"/>
        <v/>
      </c>
      <c r="E10" s="100" t="str">
        <f t="shared" ref="E10:E24" si="9">IF(C10="CMA",MAX(H10,I10,J10,K10,L10,M10,N10),"")</f>
        <v/>
      </c>
      <c r="F10" s="80" t="str">
        <f t="shared" si="4"/>
        <v/>
      </c>
      <c r="G10" s="40" t="str">
        <f t="shared" si="1"/>
        <v/>
      </c>
      <c r="H10" s="122" t="str">
        <f>IF(AND($C10="CMA",H$4="X"),Catch_History!AY37/Catch_History!AY$53,"")</f>
        <v/>
      </c>
      <c r="I10" s="40" t="str">
        <f>IF(AND($C10="CMA",I$4="X"),Catch_History!AZ37/Catch_History!AZ$53,"")</f>
        <v/>
      </c>
      <c r="J10" s="40" t="str">
        <f>IF(AND($C10="CMA",J$4="X"),Catch_History!BA37/Catch_History!BA$53,"")</f>
        <v/>
      </c>
      <c r="K10" s="40">
        <f>IF(K$4="X",TKA_limit!D5,"")</f>
        <v>0.15172564848712414</v>
      </c>
      <c r="L10" s="40" t="str">
        <f>IF(AND($C10="CMA",L$4="X"),'Biomass_2013&amp;2021'!F6,"")</f>
        <v/>
      </c>
      <c r="M10" s="40" t="str">
        <f>IF(AND($C10="CMA",M$4="X"),EEZ_area!#REF!,"")</f>
        <v/>
      </c>
      <c r="N10" s="40" t="str">
        <f>IF(AND($C10="CMA",N$4="X"),Effort_VMSdays!N5,"")</f>
        <v/>
      </c>
      <c r="P10" s="13"/>
      <c r="R10" s="39" t="s">
        <v>2</v>
      </c>
      <c r="S10" s="64">
        <v>4752.1556685688674</v>
      </c>
      <c r="T10" s="133" t="str">
        <f t="shared" si="5"/>
        <v/>
      </c>
      <c r="U10" s="116" t="str">
        <f t="shared" si="6"/>
        <v/>
      </c>
      <c r="W10" s="39" t="s">
        <v>2</v>
      </c>
      <c r="X10" s="64">
        <v>4529.5224498373564</v>
      </c>
      <c r="Y10" s="133" t="str">
        <f t="shared" si="7"/>
        <v/>
      </c>
      <c r="Z10" s="116" t="str">
        <f t="shared" ref="Z10:Z24" si="10">IF($C10="CMA",F10*$Y$25,"")</f>
        <v/>
      </c>
      <c r="AB10" s="101">
        <f>'Biomass_2013&amp;2021'!C6*$AB$5</f>
        <v>3402.2984852446471</v>
      </c>
      <c r="AC10" s="101" t="str">
        <f t="shared" si="8"/>
        <v/>
      </c>
      <c r="AD10" s="116" t="str">
        <f t="shared" si="3"/>
        <v/>
      </c>
    </row>
    <row r="11" spans="1:30" x14ac:dyDescent="0.3">
      <c r="B11" s="125" t="s">
        <v>3</v>
      </c>
      <c r="C11" s="124" t="s">
        <v>20</v>
      </c>
      <c r="D11" s="80" t="e">
        <f t="shared" si="0"/>
        <v>#DIV/0!</v>
      </c>
      <c r="E11" s="100" t="e">
        <f t="shared" si="9"/>
        <v>#DIV/0!</v>
      </c>
      <c r="F11" s="80" t="e">
        <f t="shared" si="4"/>
        <v>#DIV/0!</v>
      </c>
      <c r="G11" s="40" t="e">
        <f t="shared" si="1"/>
        <v>#DIV/0!</v>
      </c>
      <c r="H11" s="122" t="e">
        <f>IF(AND($C11="CMA",H$4="X"),Catch_History!AY38/Catch_History!AY$53,"")</f>
        <v>#DIV/0!</v>
      </c>
      <c r="I11" s="40" t="e">
        <f>IF(AND($C11="CMA",I$4="X"),Catch_History!AZ38/Catch_History!AZ$53,"")</f>
        <v>#DIV/0!</v>
      </c>
      <c r="J11" s="40" t="e">
        <f>IF(AND($C11="CMA",J$4="X"),Catch_History!BA38/Catch_History!BA$53,"")</f>
        <v>#DIV/0!</v>
      </c>
      <c r="K11" s="40">
        <f>IF(AND($C11="CMA",K$4="X"),TKA_limit!D6,"")</f>
        <v>0.11411495979223379</v>
      </c>
      <c r="L11" s="40">
        <f>IF(AND($C11="CMA",L$4="X"),'Biomass_2013&amp;2021'!F7,"")</f>
        <v>0.13498518091688752</v>
      </c>
      <c r="M11" s="40" t="str">
        <f>IF(AND($C11="CMA",M$4="X"),EEZ_area!#REF!,"")</f>
        <v/>
      </c>
      <c r="N11" s="40">
        <f>IF(AND($C11="CMA",N$4="X"),Effort_VMSdays!N6,"")</f>
        <v>0.2328839742074158</v>
      </c>
      <c r="P11" s="13"/>
      <c r="R11" s="39" t="s">
        <v>3</v>
      </c>
      <c r="S11" s="64">
        <v>3574.1620382080137</v>
      </c>
      <c r="T11" s="133">
        <f t="shared" si="5"/>
        <v>3574.1620382080137</v>
      </c>
      <c r="U11" s="116" t="e">
        <f t="shared" si="6"/>
        <v>#DIV/0!</v>
      </c>
      <c r="W11" s="39" t="s">
        <v>3</v>
      </c>
      <c r="X11" s="64">
        <v>3833.588864494503</v>
      </c>
      <c r="Y11" s="133">
        <f t="shared" si="7"/>
        <v>3833.588864494503</v>
      </c>
      <c r="Z11" s="116" t="e">
        <f t="shared" si="10"/>
        <v>#DIV/0!</v>
      </c>
      <c r="AB11" s="101">
        <f>'Biomass_2013&amp;2021'!C7*$AB$5</f>
        <v>2485.2254720559249</v>
      </c>
      <c r="AC11" s="101">
        <f t="shared" si="8"/>
        <v>2485.2254720559249</v>
      </c>
      <c r="AD11" s="116" t="e">
        <f t="shared" si="3"/>
        <v>#DIV/0!</v>
      </c>
    </row>
    <row r="12" spans="1:30" s="59" customFormat="1" x14ac:dyDescent="0.3">
      <c r="B12" s="125" t="s">
        <v>69</v>
      </c>
      <c r="C12" s="124"/>
      <c r="D12" s="80" t="str">
        <f t="shared" si="0"/>
        <v/>
      </c>
      <c r="E12" s="100" t="str">
        <f t="shared" si="9"/>
        <v/>
      </c>
      <c r="F12" s="80" t="str">
        <f t="shared" si="4"/>
        <v/>
      </c>
      <c r="G12" s="40" t="str">
        <f t="shared" si="1"/>
        <v/>
      </c>
      <c r="H12" s="122" t="str">
        <f>IF(AND($C12="CMA",H$4="X"),Catch_History!AY39/Catch_History!AY$53,"")</f>
        <v/>
      </c>
      <c r="I12" s="40" t="str">
        <f>IF(AND($C12="CMA",I$4="X"),Catch_History!AZ39/Catch_History!AZ$53,"")</f>
        <v/>
      </c>
      <c r="J12" s="40" t="str">
        <f>IF(AND($C12="CMA",J$4="X"),Catch_History!BA39/Catch_History!BA$53,"")</f>
        <v/>
      </c>
      <c r="K12" s="40" t="str">
        <f>IF(AND($C12="CMA",K$4="X"),TKA_limit!D7,"")</f>
        <v/>
      </c>
      <c r="L12" s="40" t="str">
        <f>IF(AND($C12="CMA",L$4="X"),'Biomass_2013&amp;2021'!F8,"")</f>
        <v/>
      </c>
      <c r="M12" s="40" t="str">
        <f>IF(AND($C12="CMA",M$4="X"),EEZ_area!#REF!,"")</f>
        <v/>
      </c>
      <c r="N12" s="40" t="str">
        <f>IF(AND($C12="CMA",N$4="X"),Effort_VMSdays!N7,"")</f>
        <v/>
      </c>
      <c r="P12" s="13"/>
      <c r="R12" s="39" t="s">
        <v>69</v>
      </c>
      <c r="S12" s="64">
        <v>12132.089254498633</v>
      </c>
      <c r="T12" s="133" t="str">
        <f t="shared" si="5"/>
        <v/>
      </c>
      <c r="U12" s="116" t="str">
        <f t="shared" si="6"/>
        <v/>
      </c>
      <c r="W12" s="39" t="s">
        <v>69</v>
      </c>
      <c r="X12" s="64">
        <v>24165.791732262169</v>
      </c>
      <c r="Y12" s="133" t="str">
        <f t="shared" si="7"/>
        <v/>
      </c>
      <c r="Z12" s="116" t="str">
        <f t="shared" si="10"/>
        <v/>
      </c>
      <c r="AB12" s="101">
        <f>'Biomass_2013&amp;2021'!C8*$AB$5</f>
        <v>19300.053856445913</v>
      </c>
      <c r="AC12" s="101" t="str">
        <f t="shared" si="8"/>
        <v/>
      </c>
      <c r="AD12" s="116" t="str">
        <f t="shared" si="3"/>
        <v/>
      </c>
    </row>
    <row r="13" spans="1:30" s="59" customFormat="1" x14ac:dyDescent="0.3">
      <c r="B13" s="125" t="s">
        <v>13</v>
      </c>
      <c r="C13" s="124"/>
      <c r="D13" s="80" t="str">
        <f t="shared" si="0"/>
        <v/>
      </c>
      <c r="E13" s="100" t="str">
        <f t="shared" si="9"/>
        <v/>
      </c>
      <c r="F13" s="80" t="str">
        <f t="shared" si="4"/>
        <v/>
      </c>
      <c r="G13" s="40" t="str">
        <f t="shared" si="1"/>
        <v/>
      </c>
      <c r="H13" s="122" t="str">
        <f>IF(AND($C13="CMA",H$4="X"),Catch_History!AY40/Catch_History!AY$53,"")</f>
        <v/>
      </c>
      <c r="I13" s="40" t="str">
        <f>IF(AND($C13="CMA",I$4="X"),Catch_History!AZ40/Catch_History!AZ$53,"")</f>
        <v/>
      </c>
      <c r="J13" s="40" t="str">
        <f>IF(AND($C13="CMA",J$4="X"),Catch_History!BA40/Catch_History!BA$53,"")</f>
        <v/>
      </c>
      <c r="K13" s="40" t="str">
        <f>IF(AND($C13="CMA",K$4="X"),TKA_limit!D8,"")</f>
        <v/>
      </c>
      <c r="L13" s="40" t="str">
        <f>IF(AND($C13="CMA",L$4="X"),'Biomass_2013&amp;2021'!F9,"")</f>
        <v/>
      </c>
      <c r="M13" s="40" t="str">
        <f>IF(AND($C13="CMA",M$4="X"),EEZ_area!#REF!,"")</f>
        <v/>
      </c>
      <c r="N13" s="40" t="str">
        <f>IF(AND($C13="CMA",N$4="X"),Effort_VMSdays!N8,"")</f>
        <v/>
      </c>
      <c r="P13" s="13"/>
      <c r="R13" s="39" t="s">
        <v>13</v>
      </c>
      <c r="S13" s="64">
        <v>4989.6036338125668</v>
      </c>
      <c r="T13" s="133" t="str">
        <f t="shared" si="5"/>
        <v/>
      </c>
      <c r="U13" s="116" t="str">
        <f t="shared" si="6"/>
        <v/>
      </c>
      <c r="W13" s="39" t="s">
        <v>13</v>
      </c>
      <c r="X13" s="64">
        <v>2896.3601682056778</v>
      </c>
      <c r="Y13" s="133" t="str">
        <f t="shared" si="7"/>
        <v/>
      </c>
      <c r="Z13" s="116" t="str">
        <f t="shared" si="10"/>
        <v/>
      </c>
      <c r="AB13" s="101">
        <f>'Biomass_2013&amp;2021'!C9*$AB$5</f>
        <v>2941.7561000000001</v>
      </c>
      <c r="AC13" s="101" t="str">
        <f t="shared" si="8"/>
        <v/>
      </c>
      <c r="AD13" s="116" t="str">
        <f t="shared" si="3"/>
        <v/>
      </c>
    </row>
    <row r="14" spans="1:30" s="59" customFormat="1" x14ac:dyDescent="0.3">
      <c r="B14" s="125" t="s">
        <v>16</v>
      </c>
      <c r="C14" s="124"/>
      <c r="D14" s="80" t="str">
        <f t="shared" si="0"/>
        <v/>
      </c>
      <c r="E14" s="100" t="str">
        <f t="shared" si="9"/>
        <v/>
      </c>
      <c r="F14" s="80" t="str">
        <f t="shared" si="4"/>
        <v/>
      </c>
      <c r="G14" s="40" t="str">
        <f t="shared" si="1"/>
        <v/>
      </c>
      <c r="H14" s="122" t="str">
        <f>IF(AND($C14="CMA",H$4="X"),Catch_History!AY41/Catch_History!AY$53,"")</f>
        <v/>
      </c>
      <c r="I14" s="40" t="str">
        <f>IF(AND($C14="CMA",I$4="X"),Catch_History!AZ41/Catch_History!AZ$53,"")</f>
        <v/>
      </c>
      <c r="J14" s="40" t="str">
        <f>IF(AND($C14="CMA",J$4="X"),Catch_History!BA41/Catch_History!BA$53,"")</f>
        <v/>
      </c>
      <c r="K14" s="40" t="str">
        <f>IF(AND($C14="CMA",K$4="X"),TKA_limit!D9,"")</f>
        <v/>
      </c>
      <c r="L14" s="40" t="str">
        <f>IF(AND($C14="CMA",L$4="X"),'Biomass_2013&amp;2021'!F10,"")</f>
        <v/>
      </c>
      <c r="M14" s="40" t="str">
        <f>IF(AND($C14="CMA",M$4="X"),EEZ_area!#REF!,"")</f>
        <v/>
      </c>
      <c r="N14" s="40" t="str">
        <f>IF(AND($C14="CMA",N$4="X"),Effort_VMSdays!N9,"")</f>
        <v/>
      </c>
      <c r="P14" s="13"/>
      <c r="R14" s="39" t="s">
        <v>16</v>
      </c>
      <c r="S14" s="64">
        <v>1723.8212201449728</v>
      </c>
      <c r="T14" s="133" t="str">
        <f t="shared" si="5"/>
        <v/>
      </c>
      <c r="U14" s="116" t="str">
        <f t="shared" si="6"/>
        <v/>
      </c>
      <c r="W14" s="39" t="s">
        <v>16</v>
      </c>
      <c r="X14" s="64">
        <v>1143.9778993723096</v>
      </c>
      <c r="Y14" s="133" t="str">
        <f t="shared" si="7"/>
        <v/>
      </c>
      <c r="Z14" s="116" t="str">
        <f t="shared" si="10"/>
        <v/>
      </c>
      <c r="AB14" s="101">
        <f>'Biomass_2013&amp;2021'!C10*$AB$5</f>
        <v>3302.2617520000003</v>
      </c>
      <c r="AC14" s="101" t="str">
        <f t="shared" si="8"/>
        <v/>
      </c>
      <c r="AD14" s="116" t="str">
        <f t="shared" si="3"/>
        <v/>
      </c>
    </row>
    <row r="15" spans="1:30" x14ac:dyDescent="0.3">
      <c r="B15" s="125" t="s">
        <v>4</v>
      </c>
      <c r="C15" s="124" t="s">
        <v>20</v>
      </c>
      <c r="D15" s="80" t="e">
        <f t="shared" si="0"/>
        <v>#DIV/0!</v>
      </c>
      <c r="E15" s="100" t="e">
        <f t="shared" si="9"/>
        <v>#DIV/0!</v>
      </c>
      <c r="F15" s="80" t="e">
        <f t="shared" si="4"/>
        <v>#DIV/0!</v>
      </c>
      <c r="G15" s="40" t="e">
        <f t="shared" si="1"/>
        <v>#DIV/0!</v>
      </c>
      <c r="H15" s="122" t="e">
        <f>IF(AND($C15="CMA",H$4="X"),Catch_History!AY42/Catch_History!AY$53,"")</f>
        <v>#DIV/0!</v>
      </c>
      <c r="I15" s="40" t="e">
        <f>IF(AND($C15="CMA",I$4="X"),Catch_History!AZ42/Catch_History!AZ$53,"")</f>
        <v>#DIV/0!</v>
      </c>
      <c r="J15" s="40" t="e">
        <f>IF(AND($C15="CMA",J$4="X"),Catch_History!BA42/Catch_History!BA$53,"")</f>
        <v>#DIV/0!</v>
      </c>
      <c r="K15" s="40">
        <f>IF(AND($C15="CMA",K$4="X"),TKA_limit!D10,"")</f>
        <v>3.9112613035451674E-2</v>
      </c>
      <c r="L15" s="40">
        <f>IF(AND($C15="CMA",L$4="X"),'Biomass_2013&amp;2021'!F11,"")</f>
        <v>3.3466196899206366E-2</v>
      </c>
      <c r="M15" s="40" t="str">
        <f>IF(AND($C15="CMA",M$4="X"),EEZ_area!#REF!,"")</f>
        <v/>
      </c>
      <c r="N15" s="40">
        <f>IF(AND($C15="CMA",N$4="X"),Effort_VMSdays!N10,"")</f>
        <v>4.2050400071757541E-3</v>
      </c>
      <c r="P15" s="13"/>
      <c r="R15" s="39" t="s">
        <v>4</v>
      </c>
      <c r="S15" s="64">
        <v>1225.0349733369942</v>
      </c>
      <c r="T15" s="133">
        <f t="shared" si="5"/>
        <v>1225.0349733369942</v>
      </c>
      <c r="U15" s="116" t="e">
        <f t="shared" si="6"/>
        <v>#DIV/0!</v>
      </c>
      <c r="W15" s="39" t="s">
        <v>4</v>
      </c>
      <c r="X15" s="64">
        <v>293.31680385011788</v>
      </c>
      <c r="Y15" s="133">
        <f t="shared" si="7"/>
        <v>293.31680385011788</v>
      </c>
      <c r="Z15" s="116" t="e">
        <f t="shared" si="10"/>
        <v>#DIV/0!</v>
      </c>
      <c r="AB15" s="101">
        <f>'Biomass_2013&amp;2021'!C11*$AB$5</f>
        <v>616.1494500493086</v>
      </c>
      <c r="AC15" s="101">
        <f t="shared" si="8"/>
        <v>616.1494500493086</v>
      </c>
      <c r="AD15" s="116" t="e">
        <f t="shared" si="3"/>
        <v>#DIV/0!</v>
      </c>
    </row>
    <row r="16" spans="1:30" x14ac:dyDescent="0.3">
      <c r="B16" s="125" t="s">
        <v>5</v>
      </c>
      <c r="C16" s="124" t="s">
        <v>20</v>
      </c>
      <c r="D16" s="80" t="e">
        <f t="shared" si="0"/>
        <v>#DIV/0!</v>
      </c>
      <c r="E16" s="100" t="e">
        <f t="shared" si="9"/>
        <v>#DIV/0!</v>
      </c>
      <c r="F16" s="80" t="e">
        <f t="shared" si="4"/>
        <v>#DIV/0!</v>
      </c>
      <c r="G16" s="40" t="e">
        <f t="shared" si="1"/>
        <v>#DIV/0!</v>
      </c>
      <c r="H16" s="122" t="e">
        <f>IF(AND($C16="CMA",H$4="X"),Catch_History!AY43/Catch_History!AY$53,"")</f>
        <v>#DIV/0!</v>
      </c>
      <c r="I16" s="40" t="e">
        <f>IF(AND($C16="CMA",I$4="X"),Catch_History!AZ43/Catch_History!AZ$53,"")</f>
        <v>#DIV/0!</v>
      </c>
      <c r="J16" s="40" t="e">
        <f>IF(AND($C16="CMA",J$4="X"),Catch_History!BA43/Catch_History!BA$53,"")</f>
        <v>#DIV/0!</v>
      </c>
      <c r="K16" s="40">
        <f>IF(AND($C16="CMA",K$4="X"),TKA_limit!D11,"")</f>
        <v>0.10482180293501048</v>
      </c>
      <c r="L16" s="40">
        <f>IF(AND($C16="CMA",L$4="X"),'Biomass_2013&amp;2021'!F12,"")</f>
        <v>0.16718408618848207</v>
      </c>
      <c r="M16" s="40" t="str">
        <f>IF(AND($C16="CMA",M$4="X"),EEZ_area!#REF!,"")</f>
        <v/>
      </c>
      <c r="N16" s="40">
        <f>IF(AND($C16="CMA",N$4="X"),Effort_VMSdays!N11,"")</f>
        <v>5.2957790216457542E-3</v>
      </c>
      <c r="P16" s="13"/>
      <c r="R16" s="39" t="s">
        <v>5</v>
      </c>
      <c r="S16" s="64">
        <v>3283.0937285431437</v>
      </c>
      <c r="T16" s="133">
        <f t="shared" si="5"/>
        <v>3283.0937285431437</v>
      </c>
      <c r="U16" s="116" t="e">
        <f t="shared" si="6"/>
        <v>#DIV/0!</v>
      </c>
      <c r="W16" s="39" t="s">
        <v>5</v>
      </c>
      <c r="X16" s="64">
        <v>2188.4779599846165</v>
      </c>
      <c r="Y16" s="133">
        <f t="shared" si="7"/>
        <v>2188.4779599846165</v>
      </c>
      <c r="Z16" s="116" t="e">
        <f t="shared" si="10"/>
        <v>#DIV/0!</v>
      </c>
      <c r="AB16" s="101">
        <f>'Biomass_2013&amp;2021'!C12*$AB$5</f>
        <v>3078.0426910257102</v>
      </c>
      <c r="AC16" s="101">
        <f t="shared" si="8"/>
        <v>3078.0426910257102</v>
      </c>
      <c r="AD16" s="116" t="e">
        <f t="shared" si="3"/>
        <v>#DIV/0!</v>
      </c>
    </row>
    <row r="17" spans="2:30" s="59" customFormat="1" x14ac:dyDescent="0.3">
      <c r="B17" s="125" t="s">
        <v>15</v>
      </c>
      <c r="C17" s="124"/>
      <c r="D17" s="80" t="str">
        <f t="shared" si="0"/>
        <v/>
      </c>
      <c r="E17" s="100" t="str">
        <f t="shared" si="9"/>
        <v/>
      </c>
      <c r="F17" s="80" t="str">
        <f t="shared" si="4"/>
        <v/>
      </c>
      <c r="G17" s="40" t="str">
        <f t="shared" si="1"/>
        <v/>
      </c>
      <c r="H17" s="122" t="str">
        <f>IF(AND($C17="CMA",H$4="X"),Catch_History!AY44/Catch_History!AY$53,"")</f>
        <v/>
      </c>
      <c r="I17" s="40" t="str">
        <f>IF(AND($C17="CMA",I$4="X"),Catch_History!AZ44/Catch_History!AZ$53,"")</f>
        <v/>
      </c>
      <c r="J17" s="40" t="str">
        <f>IF(AND($C17="CMA",J$4="X"),Catch_History!BA44/Catch_History!BA$53,"")</f>
        <v/>
      </c>
      <c r="K17" s="40" t="str">
        <f>IF(AND($C17="CMA",K$4="X"),TKA_limit!D12,"")</f>
        <v/>
      </c>
      <c r="L17" s="40" t="str">
        <f>IF(AND($C17="CMA",L$4="X"),'Biomass_2013&amp;2021'!F13,"")</f>
        <v/>
      </c>
      <c r="M17" s="40" t="str">
        <f>IF(AND($C17="CMA",M$4="X"),EEZ_area!#REF!,"")</f>
        <v/>
      </c>
      <c r="N17" s="40" t="str">
        <f>IF(AND($C17="CMA",N$4="X"),Effort_VMSdays!N12,"")</f>
        <v/>
      </c>
      <c r="P17" s="13"/>
      <c r="R17" s="39" t="s">
        <v>15</v>
      </c>
      <c r="S17" s="64">
        <v>5200.50593324286</v>
      </c>
      <c r="T17" s="133" t="str">
        <f t="shared" si="5"/>
        <v/>
      </c>
      <c r="U17" s="116" t="str">
        <f t="shared" si="6"/>
        <v/>
      </c>
      <c r="W17" s="39" t="s">
        <v>15</v>
      </c>
      <c r="X17" s="64">
        <v>3633.3286564047189</v>
      </c>
      <c r="Y17" s="133" t="str">
        <f t="shared" si="7"/>
        <v/>
      </c>
      <c r="Z17" s="116" t="str">
        <f t="shared" si="10"/>
        <v/>
      </c>
      <c r="AB17" s="101">
        <f>'Biomass_2013&amp;2021'!C13*$AB$5</f>
        <v>9962.4204840410785</v>
      </c>
      <c r="AC17" s="101" t="str">
        <f t="shared" si="8"/>
        <v/>
      </c>
      <c r="AD17" s="116" t="str">
        <f t="shared" si="3"/>
        <v/>
      </c>
    </row>
    <row r="18" spans="2:30" s="59" customFormat="1" x14ac:dyDescent="0.3">
      <c r="B18" s="125" t="s">
        <v>6</v>
      </c>
      <c r="C18" s="124"/>
      <c r="D18" s="80" t="str">
        <f t="shared" si="0"/>
        <v/>
      </c>
      <c r="E18" s="100" t="str">
        <f t="shared" si="9"/>
        <v/>
      </c>
      <c r="F18" s="80" t="str">
        <f t="shared" si="4"/>
        <v/>
      </c>
      <c r="G18" s="40" t="str">
        <f t="shared" si="1"/>
        <v/>
      </c>
      <c r="H18" s="122" t="str">
        <f>IF(AND($C18="CMA",H$4="X"),Catch_History!AY45/Catch_History!AY$53,"")</f>
        <v/>
      </c>
      <c r="I18" s="40" t="str">
        <f>IF(AND($C18="CMA",I$4="X"),Catch_History!AZ45/Catch_History!AZ$53,"")</f>
        <v/>
      </c>
      <c r="J18" s="40" t="str">
        <f>IF(AND($C18="CMA",J$4="X"),Catch_History!BA45/Catch_History!BA$53,"")</f>
        <v/>
      </c>
      <c r="K18" s="40" t="str">
        <f>IF(AND($C18="CMA",K$4="X"),TKA_limit!D13,"")</f>
        <v/>
      </c>
      <c r="L18" s="40" t="str">
        <f>IF(AND($C18="CMA",L$4="X"),'Biomass_2013&amp;2021'!F14,"")</f>
        <v/>
      </c>
      <c r="M18" s="40" t="str">
        <f>IF(AND($C18="CMA",M$4="X"),EEZ_area!#REF!,"")</f>
        <v/>
      </c>
      <c r="N18" s="40" t="str">
        <f>IF(AND($C18="CMA",N$4="X"),Effort_VMSdays!N13,"")</f>
        <v/>
      </c>
      <c r="P18" s="13"/>
      <c r="R18" s="39" t="s">
        <v>6</v>
      </c>
      <c r="S18" s="64">
        <v>1586.7541259992909</v>
      </c>
      <c r="T18" s="133" t="str">
        <f t="shared" si="5"/>
        <v/>
      </c>
      <c r="U18" s="116" t="str">
        <f t="shared" si="6"/>
        <v/>
      </c>
      <c r="W18" s="39" t="s">
        <v>6</v>
      </c>
      <c r="X18" s="64">
        <v>980.94528230458388</v>
      </c>
      <c r="Y18" s="133" t="str">
        <f t="shared" si="7"/>
        <v/>
      </c>
      <c r="Z18" s="116" t="str">
        <f t="shared" si="10"/>
        <v/>
      </c>
      <c r="AB18" s="101">
        <f>'Biomass_2013&amp;2021'!C14*$AB$5</f>
        <v>1897.2342479338533</v>
      </c>
      <c r="AC18" s="101" t="str">
        <f t="shared" si="8"/>
        <v/>
      </c>
      <c r="AD18" s="116" t="str">
        <f t="shared" si="3"/>
        <v/>
      </c>
    </row>
    <row r="19" spans="2:30" x14ac:dyDescent="0.3">
      <c r="B19" s="125" t="s">
        <v>7</v>
      </c>
      <c r="C19" s="124" t="s">
        <v>20</v>
      </c>
      <c r="D19" s="80" t="e">
        <f t="shared" si="0"/>
        <v>#DIV/0!</v>
      </c>
      <c r="E19" s="100" t="e">
        <f t="shared" si="9"/>
        <v>#DIV/0!</v>
      </c>
      <c r="F19" s="80" t="e">
        <f t="shared" si="4"/>
        <v>#DIV/0!</v>
      </c>
      <c r="G19" s="40" t="e">
        <f t="shared" si="1"/>
        <v>#DIV/0!</v>
      </c>
      <c r="H19" s="122" t="e">
        <f>IF(AND($C19="CMA",H$4="X"),Catch_History!AY46/Catch_History!AY$53,"")</f>
        <v>#DIV/0!</v>
      </c>
      <c r="I19" s="40" t="e">
        <f>IF(AND($C19="CMA",I$4="X"),Catch_History!AZ46/Catch_History!AZ$53,"")</f>
        <v>#DIV/0!</v>
      </c>
      <c r="J19" s="40" t="e">
        <f>IF(AND($C19="CMA",J$4="X"),Catch_History!BA46/Catch_History!BA$53,"")</f>
        <v>#DIV/0!</v>
      </c>
      <c r="K19" s="40">
        <f>IF(AND($C19="CMA",K$4="X"),TKA_limit!D14,"")</f>
        <v>0.22685315560561969</v>
      </c>
      <c r="L19" s="40">
        <f>IF(AND($C19="CMA",L$4="X"),'Biomass_2013&amp;2021'!F15,"")</f>
        <v>0.12822760361527261</v>
      </c>
      <c r="M19" s="40" t="str">
        <f>IF(AND($C19="CMA",M$4="X"),EEZ_area!#REF!,"")</f>
        <v/>
      </c>
      <c r="N19" s="40">
        <f>IF(AND($C19="CMA",N$4="X"),Effort_VMSdays!N14,"")</f>
        <v>0.43513491165413665</v>
      </c>
      <c r="P19" s="13"/>
      <c r="R19" s="39" t="s">
        <v>7</v>
      </c>
      <c r="S19" s="64">
        <v>7105.2028453545654</v>
      </c>
      <c r="T19" s="133">
        <f t="shared" si="5"/>
        <v>7105.2028453545654</v>
      </c>
      <c r="U19" s="116" t="e">
        <f t="shared" si="6"/>
        <v>#DIV/0!</v>
      </c>
      <c r="W19" s="39" t="s">
        <v>7</v>
      </c>
      <c r="X19" s="64">
        <v>6800.7296226887092</v>
      </c>
      <c r="Y19" s="133">
        <f t="shared" si="7"/>
        <v>6800.7296226887092</v>
      </c>
      <c r="Z19" s="116" t="e">
        <f t="shared" si="10"/>
        <v>#DIV/0!</v>
      </c>
      <c r="AB19" s="101">
        <f>'Biomass_2013&amp;2021'!C15*$AB$5</f>
        <v>2360.8110502261634</v>
      </c>
      <c r="AC19" s="101">
        <f t="shared" si="8"/>
        <v>2360.8110502261634</v>
      </c>
      <c r="AD19" s="116" t="e">
        <f t="shared" si="3"/>
        <v>#DIV/0!</v>
      </c>
    </row>
    <row r="20" spans="2:30" x14ac:dyDescent="0.3">
      <c r="B20" s="125" t="s">
        <v>8</v>
      </c>
      <c r="C20" s="124" t="s">
        <v>20</v>
      </c>
      <c r="D20" s="80" t="e">
        <f t="shared" si="0"/>
        <v>#DIV/0!</v>
      </c>
      <c r="E20" s="100" t="e">
        <f t="shared" si="9"/>
        <v>#DIV/0!</v>
      </c>
      <c r="F20" s="80" t="e">
        <f t="shared" si="4"/>
        <v>#DIV/0!</v>
      </c>
      <c r="G20" s="40" t="e">
        <f t="shared" si="1"/>
        <v>#DIV/0!</v>
      </c>
      <c r="H20" s="122" t="e">
        <f>IF(AND($C20="CMA",H$4="X"),Catch_History!AY47/Catch_History!AY$53,"")</f>
        <v>#DIV/0!</v>
      </c>
      <c r="I20" s="40" t="e">
        <f>IF(AND($C20="CMA",I$4="X"),Catch_History!AZ47/Catch_History!AZ$53,"")</f>
        <v>#DIV/0!</v>
      </c>
      <c r="J20" s="40" t="e">
        <f>IF(AND($C20="CMA",J$4="X"),Catch_History!BA47/Catch_History!BA$53,"")</f>
        <v>#DIV/0!</v>
      </c>
      <c r="K20" s="40">
        <f>IF(AND($C20="CMA",K$4="X"),TKA_limit!D15,"")</f>
        <v>3.9112613035451674E-2</v>
      </c>
      <c r="L20" s="40">
        <f>IF(AND($C20="CMA",L$4="X"),'Biomass_2013&amp;2021'!F16,"")</f>
        <v>2.0112965801117311E-2</v>
      </c>
      <c r="M20" s="40" t="str">
        <f>IF(AND($C20="CMA",M$4="X"),EEZ_area!#REF!,"")</f>
        <v/>
      </c>
      <c r="N20" s="40">
        <f>IF(AND($C20="CMA",N$4="X"),Effort_VMSdays!N15,"")</f>
        <v>1.9810296812192742E-2</v>
      </c>
      <c r="P20" s="13"/>
      <c r="R20" s="39" t="s">
        <v>8</v>
      </c>
      <c r="S20" s="64">
        <v>1225.0349733369942</v>
      </c>
      <c r="T20" s="133">
        <f t="shared" si="5"/>
        <v>1225.0349733369942</v>
      </c>
      <c r="U20" s="116" t="e">
        <f t="shared" si="6"/>
        <v>#DIV/0!</v>
      </c>
      <c r="W20" s="39" t="s">
        <v>8</v>
      </c>
      <c r="X20" s="64">
        <v>645.48571883849615</v>
      </c>
      <c r="Y20" s="133">
        <f t="shared" si="7"/>
        <v>645.48571883849615</v>
      </c>
      <c r="Z20" s="116" t="e">
        <f t="shared" si="10"/>
        <v>#DIV/0!</v>
      </c>
      <c r="AB20" s="101">
        <f>'Biomass_2013&amp;2021'!C16*$AB$5</f>
        <v>370.30179600457882</v>
      </c>
      <c r="AC20" s="101">
        <f t="shared" si="8"/>
        <v>370.30179600457882</v>
      </c>
      <c r="AD20" s="116" t="e">
        <f t="shared" si="3"/>
        <v>#DIV/0!</v>
      </c>
    </row>
    <row r="21" spans="2:30" x14ac:dyDescent="0.3">
      <c r="B21" s="125" t="s">
        <v>9</v>
      </c>
      <c r="C21" s="124" t="s">
        <v>20</v>
      </c>
      <c r="D21" s="80" t="e">
        <f t="shared" si="0"/>
        <v>#DIV/0!</v>
      </c>
      <c r="E21" s="100" t="e">
        <f t="shared" si="9"/>
        <v>#DIV/0!</v>
      </c>
      <c r="F21" s="80" t="e">
        <f t="shared" si="4"/>
        <v>#DIV/0!</v>
      </c>
      <c r="G21" s="40" t="e">
        <f t="shared" si="1"/>
        <v>#DIV/0!</v>
      </c>
      <c r="H21" s="122" t="e">
        <f>IF(AND($C21="CMA",H$4="X"),Catch_History!AY48/Catch_History!AY$53,"")</f>
        <v>#DIV/0!</v>
      </c>
      <c r="I21" s="40" t="e">
        <f>IF(AND($C21="CMA",I$4="X"),Catch_History!AZ48/Catch_History!AZ$53,"")</f>
        <v>#DIV/0!</v>
      </c>
      <c r="J21" s="40" t="e">
        <f>IF(AND($C21="CMA",J$4="X"),Catch_History!BA48/Catch_History!BA$53,"")</f>
        <v>#DIV/0!</v>
      </c>
      <c r="K21" s="40">
        <f>IF(AND($C21="CMA",K$4="X"),TKA_limit!D16,"")</f>
        <v>3.9112613035451674E-2</v>
      </c>
      <c r="L21" s="40">
        <f>IF(AND($C21="CMA",L$4="X"),'Biomass_2013&amp;2021'!F17,"")</f>
        <v>6.901975057310003E-2</v>
      </c>
      <c r="M21" s="40" t="str">
        <f>IF(AND($C21="CMA",M$4="X"),EEZ_area!#REF!,"")</f>
        <v/>
      </c>
      <c r="N21" s="40">
        <f>IF(AND($C21="CMA",N$4="X"),Effort_VMSdays!N16,"")</f>
        <v>3.2904411956752852E-2</v>
      </c>
      <c r="P21" s="13"/>
      <c r="R21" s="39" t="s">
        <v>9</v>
      </c>
      <c r="S21" s="64">
        <v>1225.0349733369942</v>
      </c>
      <c r="T21" s="133">
        <f t="shared" si="5"/>
        <v>1225.0349733369942</v>
      </c>
      <c r="U21" s="116" t="e">
        <f t="shared" si="6"/>
        <v>#DIV/0!</v>
      </c>
      <c r="W21" s="39" t="s">
        <v>9</v>
      </c>
      <c r="X21" s="64">
        <v>1023.1797626009135</v>
      </c>
      <c r="Y21" s="133">
        <f t="shared" si="7"/>
        <v>1023.1797626009135</v>
      </c>
      <c r="Z21" s="116" t="e">
        <f t="shared" si="10"/>
        <v>#DIV/0!</v>
      </c>
      <c r="AB21" s="101">
        <f>'Biomass_2013&amp;2021'!C17*$AB$5</f>
        <v>1270.729431439057</v>
      </c>
      <c r="AC21" s="101">
        <f t="shared" si="8"/>
        <v>1270.729431439057</v>
      </c>
      <c r="AD21" s="116" t="e">
        <f t="shared" si="3"/>
        <v>#DIV/0!</v>
      </c>
    </row>
    <row r="22" spans="2:30" x14ac:dyDescent="0.3">
      <c r="B22" s="125" t="s">
        <v>10</v>
      </c>
      <c r="C22" s="124" t="s">
        <v>20</v>
      </c>
      <c r="D22" s="80" t="e">
        <f t="shared" si="0"/>
        <v>#DIV/0!</v>
      </c>
      <c r="E22" s="100" t="e">
        <f t="shared" si="9"/>
        <v>#DIV/0!</v>
      </c>
      <c r="F22" s="80" t="e">
        <f t="shared" si="4"/>
        <v>#DIV/0!</v>
      </c>
      <c r="G22" s="40" t="e">
        <f t="shared" si="1"/>
        <v>#DIV/0!</v>
      </c>
      <c r="H22" s="122" t="e">
        <f>IF(AND($C22="CMA",H$4="X"),Catch_History!AY49/Catch_History!AY$53,"")</f>
        <v>#DIV/0!</v>
      </c>
      <c r="I22" s="40" t="e">
        <f>IF(AND($C22="CMA",I$4="X"),Catch_History!AZ49/Catch_History!AZ$53,"")</f>
        <v>#DIV/0!</v>
      </c>
      <c r="J22" s="40" t="e">
        <f>IF(AND($C22="CMA",J$4="X"),Catch_History!BA49/Catch_History!BA$53,"")</f>
        <v>#DIV/0!</v>
      </c>
      <c r="K22" s="40">
        <f>IF(AND($C22="CMA",K$4="X"),TKA_limit!D17,"")</f>
        <v>3.9112613035451674E-2</v>
      </c>
      <c r="L22" s="40">
        <f>IF(AND($C22="CMA",L$4="X"),'Biomass_2013&amp;2021'!F18,"")</f>
        <v>5.0318992339851924E-2</v>
      </c>
      <c r="M22" s="40" t="str">
        <f>IF(AND($C22="CMA",M$4="X"),EEZ_area!#REF!,"")</f>
        <v/>
      </c>
      <c r="N22" s="40">
        <f>IF(AND($C22="CMA",N$4="X"),Effort_VMSdays!N17,"")</f>
        <v>5.4493232434607249E-2</v>
      </c>
      <c r="P22" s="13"/>
      <c r="R22" s="39" t="s">
        <v>10</v>
      </c>
      <c r="S22" s="64">
        <v>1225.0349733369942</v>
      </c>
      <c r="T22" s="133">
        <f t="shared" si="5"/>
        <v>1225.0349733369942</v>
      </c>
      <c r="U22" s="116" t="e">
        <f t="shared" si="6"/>
        <v>#DIV/0!</v>
      </c>
      <c r="W22" s="39" t="s">
        <v>10</v>
      </c>
      <c r="X22" s="64">
        <v>1021.8499000666482</v>
      </c>
      <c r="Y22" s="133">
        <f t="shared" si="7"/>
        <v>1021.8499000666482</v>
      </c>
      <c r="Z22" s="116" t="e">
        <f t="shared" si="10"/>
        <v>#DIV/0!</v>
      </c>
      <c r="AB22" s="101">
        <f>'Biomass_2013&amp;2021'!C18*$AB$5</f>
        <v>926.4279281752024</v>
      </c>
      <c r="AC22" s="101">
        <f t="shared" si="8"/>
        <v>926.4279281752024</v>
      </c>
      <c r="AD22" s="116" t="e">
        <f t="shared" si="3"/>
        <v>#DIV/0!</v>
      </c>
    </row>
    <row r="23" spans="2:30" x14ac:dyDescent="0.3">
      <c r="B23" s="125" t="s">
        <v>11</v>
      </c>
      <c r="C23" s="124" t="s">
        <v>20</v>
      </c>
      <c r="D23" s="80" t="e">
        <f t="shared" si="0"/>
        <v>#DIV/0!</v>
      </c>
      <c r="E23" s="100" t="e">
        <f t="shared" si="9"/>
        <v>#DIV/0!</v>
      </c>
      <c r="F23" s="80" t="e">
        <f t="shared" si="4"/>
        <v>#DIV/0!</v>
      </c>
      <c r="G23" s="40" t="e">
        <f t="shared" si="1"/>
        <v>#DIV/0!</v>
      </c>
      <c r="H23" s="122" t="e">
        <f>IF(AND($C23="CMA",H$4="X"),Catch_History!AY50/Catch_History!AY$53,"")</f>
        <v>#DIV/0!</v>
      </c>
      <c r="I23" s="40" t="e">
        <f>IF(AND($C23="CMA",I$4="X"),Catch_History!AZ50/Catch_History!AZ$53,"")</f>
        <v>#DIV/0!</v>
      </c>
      <c r="J23" s="40" t="e">
        <f>IF(AND($C23="CMA",J$4="X"),Catch_History!BA50/Catch_History!BA$53,"")</f>
        <v>#DIV/0!</v>
      </c>
      <c r="K23" s="40">
        <f>IF(AND($C23="CMA",K$4="X"),TKA_limit!D18,"")</f>
        <v>0.13104289871397728</v>
      </c>
      <c r="L23" s="40">
        <f>IF(AND($C23="CMA",L$4="X"),'Biomass_2013&amp;2021'!F19,"")</f>
        <v>0.1066112342880533</v>
      </c>
      <c r="M23" s="40" t="str">
        <f>IF(AND($C23="CMA",M$4="X"),EEZ_area!#REF!,"")</f>
        <v/>
      </c>
      <c r="N23" s="40">
        <f>IF(AND($C23="CMA",N$4="X"),Effort_VMSdays!N18,"")</f>
        <v>0.20624667610431693</v>
      </c>
      <c r="P23" s="13"/>
      <c r="R23" s="39" t="s">
        <v>11</v>
      </c>
      <c r="S23" s="64">
        <v>4104.3571746682646</v>
      </c>
      <c r="T23" s="133">
        <f t="shared" si="5"/>
        <v>4104.3571746682646</v>
      </c>
      <c r="U23" s="116" t="e">
        <f t="shared" si="6"/>
        <v>#DIV/0!</v>
      </c>
      <c r="W23" s="39" t="s">
        <v>11</v>
      </c>
      <c r="X23" s="64">
        <v>3886.5599746354237</v>
      </c>
      <c r="Y23" s="133">
        <f t="shared" si="7"/>
        <v>3886.5599746354237</v>
      </c>
      <c r="Z23" s="116" t="e">
        <f t="shared" si="10"/>
        <v>#DIV/0!</v>
      </c>
      <c r="AB23" s="101">
        <f>'Biomass_2013&amp;2021'!C19*$AB$5</f>
        <v>1962.829943704174</v>
      </c>
      <c r="AC23" s="101">
        <f t="shared" si="8"/>
        <v>1962.829943704174</v>
      </c>
      <c r="AD23" s="116" t="e">
        <f t="shared" si="3"/>
        <v>#DIV/0!</v>
      </c>
    </row>
    <row r="24" spans="2:30" x14ac:dyDescent="0.3">
      <c r="B24" s="125" t="s">
        <v>12</v>
      </c>
      <c r="C24" s="124" t="s">
        <v>20</v>
      </c>
      <c r="D24" s="80" t="e">
        <f t="shared" si="0"/>
        <v>#DIV/0!</v>
      </c>
      <c r="E24" s="100" t="e">
        <f t="shared" si="9"/>
        <v>#DIV/0!</v>
      </c>
      <c r="F24" s="80" t="e">
        <f t="shared" si="4"/>
        <v>#DIV/0!</v>
      </c>
      <c r="G24" s="40" t="e">
        <f t="shared" si="1"/>
        <v>#DIV/0!</v>
      </c>
      <c r="H24" s="122" t="e">
        <f>IF(AND($C24="CMA",H$4="X"),Catch_History!AY51/Catch_History!AY$53,"")</f>
        <v>#DIV/0!</v>
      </c>
      <c r="I24" s="40" t="e">
        <f>IF(AND($C24="CMA",I$4="X"),Catch_History!AZ51/Catch_History!AZ$53,"")</f>
        <v>#DIV/0!</v>
      </c>
      <c r="J24" s="40" t="e">
        <f>IF(AND($C24="CMA",J$4="X"),Catch_History!BA51/Catch_History!BA$53,"")</f>
        <v>#DIV/0!</v>
      </c>
      <c r="K24" s="40">
        <f>IF(AND($C24="CMA",K$4="X"),TKA_limit!D19,"")</f>
        <v>7.5471698113207544E-2</v>
      </c>
      <c r="L24" s="40">
        <f>IF(AND($C24="CMA",L$4="X"),'Biomass_2013&amp;2021'!F20,"")</f>
        <v>1.3880475145361462E-2</v>
      </c>
      <c r="M24" s="40" t="str">
        <f>IF(AND($C24="CMA",M$4="X"),EEZ_area!#REF!,"")</f>
        <v/>
      </c>
      <c r="N24" s="40">
        <f>IF(AND($C24="CMA",N$4="X"),Effort_VMSdays!N19,"")</f>
        <v>7.3705014701350002E-3</v>
      </c>
      <c r="P24" s="13"/>
      <c r="R24" s="39" t="s">
        <v>12</v>
      </c>
      <c r="S24" s="64">
        <v>2363.8274845510637</v>
      </c>
      <c r="T24" s="134">
        <f t="shared" si="5"/>
        <v>2363.8274845510637</v>
      </c>
      <c r="U24" s="116" t="e">
        <f t="shared" si="6"/>
        <v>#DIV/0!</v>
      </c>
      <c r="W24" s="39" t="s">
        <v>12</v>
      </c>
      <c r="X24" s="64">
        <v>636.99294673013662</v>
      </c>
      <c r="Y24" s="134">
        <f t="shared" si="7"/>
        <v>636.99294673013662</v>
      </c>
      <c r="Z24" s="116" t="e">
        <f t="shared" si="10"/>
        <v>#DIV/0!</v>
      </c>
      <c r="AB24" s="101">
        <f>'Biomass_2013&amp;2021'!C20*$AB$5</f>
        <v>255.55479617226479</v>
      </c>
      <c r="AC24" s="101">
        <f t="shared" si="8"/>
        <v>255.55479617226479</v>
      </c>
      <c r="AD24" s="116" t="e">
        <f t="shared" si="3"/>
        <v>#DIV/0!</v>
      </c>
    </row>
    <row r="25" spans="2:30" x14ac:dyDescent="0.3">
      <c r="B25" s="104" t="s">
        <v>131</v>
      </c>
      <c r="C25" s="104"/>
      <c r="D25" s="105" t="e">
        <f t="shared" ref="D25:K25" si="11">SUM(D8:D24)</f>
        <v>#DIV/0!</v>
      </c>
      <c r="E25" s="105" t="e">
        <f t="shared" si="11"/>
        <v>#DIV/0!</v>
      </c>
      <c r="F25" s="105" t="e">
        <f t="shared" ref="F25:G25" si="12">SUM(F8:F24)</f>
        <v>#DIV/0!</v>
      </c>
      <c r="G25" s="105" t="e">
        <f t="shared" si="12"/>
        <v>#DIV/0!</v>
      </c>
      <c r="H25" s="105" t="e">
        <f t="shared" si="11"/>
        <v>#DIV/0!</v>
      </c>
      <c r="I25" s="105" t="e">
        <f t="shared" si="11"/>
        <v>#DIV/0!</v>
      </c>
      <c r="J25" s="105" t="e">
        <f t="shared" si="11"/>
        <v>#DIV/0!</v>
      </c>
      <c r="K25" s="105">
        <f t="shared" si="11"/>
        <v>1</v>
      </c>
      <c r="L25" s="105">
        <f>SUM(L8:L24)</f>
        <v>1</v>
      </c>
      <c r="M25" s="105">
        <f>SUM(M8:M24)</f>
        <v>0</v>
      </c>
      <c r="N25" s="105">
        <f>SUM(N8:N24)</f>
        <v>0.99999999999999989</v>
      </c>
      <c r="P25" s="13"/>
      <c r="S25" s="117">
        <f>SUM(S8:S24)</f>
        <v>59999.999999999985</v>
      </c>
      <c r="T25" s="117">
        <f>SUM(T8:T24)</f>
        <v>27985.229241429435</v>
      </c>
      <c r="U25" s="117" t="e">
        <f>SUM(U8:U24)</f>
        <v>#DIV/0!</v>
      </c>
      <c r="X25" s="117">
        <f>SUM(X8:X24)</f>
        <v>60000.000000000007</v>
      </c>
      <c r="Y25" s="117">
        <f>SUM(Y8:Y24)</f>
        <v>21294.040889312022</v>
      </c>
      <c r="Z25" s="117" t="e">
        <f>SUM(Z8:Z24)</f>
        <v>#DIV/0!</v>
      </c>
      <c r="AB25" s="117">
        <f>SUM(AB8:AB24)</f>
        <v>59999.955471724032</v>
      </c>
      <c r="AC25" s="106">
        <f>SUM(AC8:AC24)</f>
        <v>18411.098575228913</v>
      </c>
      <c r="AD25" s="117" t="e">
        <f>SUM(AD8:AD24)</f>
        <v>#DIV/0!</v>
      </c>
    </row>
    <row r="26" spans="2:30" x14ac:dyDescent="0.3">
      <c r="J26" s="102"/>
      <c r="P26" s="13"/>
      <c r="S26" s="131" t="s">
        <v>178</v>
      </c>
      <c r="T26" s="132" t="s">
        <v>179</v>
      </c>
      <c r="U26" s="130"/>
      <c r="V26" s="130"/>
      <c r="X26" s="131" t="s">
        <v>178</v>
      </c>
      <c r="Y26" s="132" t="s">
        <v>179</v>
      </c>
      <c r="Z26" s="130"/>
      <c r="AA26" s="130"/>
      <c r="AB26" s="131" t="s">
        <v>180</v>
      </c>
      <c r="AC26" s="130"/>
      <c r="AD26" s="132" t="s">
        <v>179</v>
      </c>
    </row>
    <row r="27" spans="2:30" x14ac:dyDescent="0.3">
      <c r="E27" s="59" t="s">
        <v>185</v>
      </c>
      <c r="P27" s="13"/>
    </row>
    <row r="28" spans="2:30" x14ac:dyDescent="0.3">
      <c r="E28" s="59" t="s">
        <v>186</v>
      </c>
      <c r="S28" s="111" t="s">
        <v>156</v>
      </c>
    </row>
    <row r="30" spans="2:30" x14ac:dyDescent="0.3">
      <c r="C30" s="1"/>
    </row>
    <row r="31" spans="2:30" x14ac:dyDescent="0.3">
      <c r="C31" s="1"/>
    </row>
  </sheetData>
  <mergeCells count="1">
    <mergeCell ref="H5:N5"/>
  </mergeCells>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O23"/>
  <sheetViews>
    <sheetView topLeftCell="E1" workbookViewId="0">
      <selection activeCell="U14" sqref="U14"/>
    </sheetView>
  </sheetViews>
  <sheetFormatPr defaultRowHeight="14.4" x14ac:dyDescent="0.3"/>
  <cols>
    <col min="3" max="3" width="13" customWidth="1"/>
    <col min="4" max="4" width="12.109375" customWidth="1"/>
    <col min="5" max="5" width="11.44140625" customWidth="1"/>
    <col min="6" max="6" width="10.109375" customWidth="1"/>
    <col min="7" max="7" width="10.33203125" customWidth="1"/>
    <col min="10" max="10" width="10.33203125" customWidth="1"/>
    <col min="11" max="11" width="10.33203125" bestFit="1" customWidth="1"/>
    <col min="15" max="15" width="11.109375" customWidth="1"/>
  </cols>
  <sheetData>
    <row r="2" spans="2:15" x14ac:dyDescent="0.3">
      <c r="I2" s="68"/>
      <c r="J2" s="68"/>
      <c r="K2" s="68"/>
      <c r="L2" s="68"/>
      <c r="M2" s="68"/>
      <c r="N2" s="68"/>
    </row>
    <row r="3" spans="2:15" s="59" customFormat="1" ht="15" thickBot="1" x14ac:dyDescent="0.35">
      <c r="I3" s="68"/>
      <c r="J3" s="68"/>
      <c r="K3" s="233"/>
      <c r="L3" s="68"/>
      <c r="M3" s="68"/>
      <c r="N3" s="68"/>
    </row>
    <row r="4" spans="2:15" ht="84" customHeight="1" thickBot="1" x14ac:dyDescent="0.35">
      <c r="B4" s="250"/>
      <c r="C4" s="246" t="s">
        <v>213</v>
      </c>
      <c r="D4" s="247" t="s">
        <v>214</v>
      </c>
      <c r="E4" s="247" t="s">
        <v>215</v>
      </c>
      <c r="F4" s="248" t="s">
        <v>216</v>
      </c>
      <c r="G4" s="249" t="s">
        <v>217</v>
      </c>
      <c r="I4" s="159"/>
      <c r="J4" s="346"/>
      <c r="K4" s="347" t="s">
        <v>213</v>
      </c>
      <c r="L4" s="348" t="s">
        <v>214</v>
      </c>
      <c r="M4" s="348" t="s">
        <v>215</v>
      </c>
      <c r="N4" s="349" t="s">
        <v>216</v>
      </c>
      <c r="O4" s="350" t="s">
        <v>217</v>
      </c>
    </row>
    <row r="5" spans="2:15" ht="15" thickBot="1" x14ac:dyDescent="0.35">
      <c r="B5" s="170" t="s">
        <v>14</v>
      </c>
      <c r="C5" s="258"/>
      <c r="D5" s="258"/>
      <c r="E5" s="258"/>
      <c r="F5" s="258"/>
      <c r="G5" s="259"/>
      <c r="I5" s="68"/>
      <c r="J5" s="343" t="s">
        <v>14</v>
      </c>
      <c r="K5" s="344"/>
      <c r="L5" s="456"/>
      <c r="M5" s="344"/>
      <c r="N5" s="344"/>
      <c r="O5" s="345"/>
    </row>
    <row r="6" spans="2:15" x14ac:dyDescent="0.3">
      <c r="B6" s="157" t="s">
        <v>1</v>
      </c>
      <c r="C6" s="251">
        <f>datanumbers!C7/datanumbers!C23</f>
        <v>2.0641461277079907E-2</v>
      </c>
      <c r="D6" s="251">
        <f>datanumbers!D7/datanumbers!$D$23</f>
        <v>3.8081612223890601E-2</v>
      </c>
      <c r="E6" s="251">
        <f>datanumbers!E7/datanumbers!$E$23</f>
        <v>3.6652253402594384E-2</v>
      </c>
      <c r="F6" s="251">
        <f>datanumbers!F7/datanumbers!$F$23</f>
        <v>0.22674953444259294</v>
      </c>
      <c r="G6" s="225">
        <f>datanumbers!G7/datanumbers!G$23</f>
        <v>1.5128593040847197E-3</v>
      </c>
      <c r="I6" s="342"/>
      <c r="J6" s="157" t="s">
        <v>1</v>
      </c>
      <c r="K6" s="451">
        <f>datanumbers!J7/datanumbers!$J$23</f>
        <v>1.9396364897275122E-2</v>
      </c>
      <c r="L6" s="457">
        <f>datanumbers!K7/datanumbers!$K$23</f>
        <v>3.5632392119784924E-2</v>
      </c>
      <c r="M6" s="454">
        <f>datanumbers!L7/datanumbers!$L$23</f>
        <v>3.6652253402594384E-2</v>
      </c>
      <c r="N6" s="251">
        <f>datanumbers!M7/datanumbers!$M$23</f>
        <v>0.22674953444259294</v>
      </c>
      <c r="O6" s="225">
        <f>datanumbers!N7/datanumbers!N$23</f>
        <v>1.5133005601893278E-3</v>
      </c>
    </row>
    <row r="7" spans="2:15" x14ac:dyDescent="0.3">
      <c r="B7" s="157" t="s">
        <v>2</v>
      </c>
      <c r="C7" s="251">
        <f>datanumbers!C8/datanumbers!C23</f>
        <v>0.17044388751364567</v>
      </c>
      <c r="D7" s="251">
        <f>datanumbers!D8/datanumbers!$D$23</f>
        <v>0.15291195663465262</v>
      </c>
      <c r="E7" s="251">
        <f>datanumbers!E8/datanumbers!$E$23</f>
        <v>0.14071795467076817</v>
      </c>
      <c r="F7" s="251">
        <f>datanumbers!F8/datanumbers!$F$23</f>
        <v>0.12742346041829658</v>
      </c>
      <c r="G7" s="225">
        <f>datanumbers!G8/datanumbers!G$23</f>
        <v>1.5128593040847198E-2</v>
      </c>
      <c r="I7" s="342"/>
      <c r="J7" s="157" t="s">
        <v>2</v>
      </c>
      <c r="K7" s="451">
        <f>datanumbers!J8/datanumbers!$J$23</f>
        <v>0.16016268385008817</v>
      </c>
      <c r="L7" s="458">
        <f>datanumbers!K8/datanumbers!$K$23</f>
        <v>0.1430774192693261</v>
      </c>
      <c r="M7" s="454">
        <f>datanumbers!L8/datanumbers!$L$23</f>
        <v>0.14071795467076817</v>
      </c>
      <c r="N7" s="251">
        <f>datanumbers!M8/datanumbers!$M$23</f>
        <v>0.12742346041829658</v>
      </c>
      <c r="O7" s="225">
        <f>datanumbers!N8/datanumbers!N$23</f>
        <v>1.5133005601893278E-2</v>
      </c>
    </row>
    <row r="8" spans="2:15" x14ac:dyDescent="0.3">
      <c r="B8" s="157" t="s">
        <v>3</v>
      </c>
      <c r="C8" s="251">
        <f>datanumbers!C9/datanumbers!C23</f>
        <v>0.13288180937591293</v>
      </c>
      <c r="D8" s="251">
        <f>datanumbers!D9/datanumbers!$D$23</f>
        <v>0.13453456856578933</v>
      </c>
      <c r="E8" s="251">
        <f>datanumbers!E9/datanumbers!$E$23</f>
        <v>0.10583592094953423</v>
      </c>
      <c r="F8" s="251">
        <f>datanumbers!F9/datanumbers!$F$23</f>
        <v>9.8718890584250152E-2</v>
      </c>
      <c r="G8" s="225">
        <f>datanumbers!G9/datanumbers!G$23</f>
        <v>2.4205748865355516E-2</v>
      </c>
      <c r="I8" s="342"/>
      <c r="J8" s="157" t="s">
        <v>3</v>
      </c>
      <c r="K8" s="451">
        <f>datanumbers!J9/datanumbers!$J$23</f>
        <v>0.12486635651746759</v>
      </c>
      <c r="L8" s="458">
        <f>datanumbers!K9/datanumbers!$K$23</f>
        <v>0.12588197349992708</v>
      </c>
      <c r="M8" s="454">
        <f>datanumbers!L9/datanumbers!$L$23</f>
        <v>0.10583592094953423</v>
      </c>
      <c r="N8" s="251">
        <f>datanumbers!M9/datanumbers!$M$23</f>
        <v>9.8718890584250152E-2</v>
      </c>
      <c r="O8" s="225">
        <f>datanumbers!N9/datanumbers!N$23</f>
        <v>2.4212808963029245E-2</v>
      </c>
    </row>
    <row r="9" spans="2:15" x14ac:dyDescent="0.3">
      <c r="B9" s="170" t="s">
        <v>62</v>
      </c>
      <c r="C9" s="257"/>
      <c r="D9" s="257"/>
      <c r="E9" s="257"/>
      <c r="F9" s="257"/>
      <c r="G9" s="351"/>
      <c r="I9" s="342"/>
      <c r="J9" s="170" t="s">
        <v>62</v>
      </c>
      <c r="K9" s="452"/>
      <c r="L9" s="458"/>
      <c r="M9" s="455"/>
      <c r="N9" s="257"/>
      <c r="O9" s="351"/>
    </row>
    <row r="10" spans="2:15" x14ac:dyDescent="0.3">
      <c r="B10" s="157" t="s">
        <v>13</v>
      </c>
      <c r="C10" s="251">
        <f>datanumbers!C11/datanumbers!C23</f>
        <v>6.6267931548763065E-2</v>
      </c>
      <c r="D10" s="251">
        <f>datanumbers!D11/datanumbers!$D$23</f>
        <v>5.2393498975361448E-2</v>
      </c>
      <c r="E10" s="251">
        <f>datanumbers!E11/datanumbers!$E$23</f>
        <v>3.6274993470501178E-2</v>
      </c>
      <c r="F10" s="251">
        <f>datanumbers!F11/datanumbers!$F$23</f>
        <v>3.0775599699363478E-2</v>
      </c>
      <c r="G10" s="225">
        <f>datanumbers!G11/datanumbers!G$23</f>
        <v>0.24205748865355517</v>
      </c>
      <c r="I10" s="342"/>
      <c r="J10" s="157" t="s">
        <v>13</v>
      </c>
      <c r="K10" s="451">
        <f>datanumbers!J11/datanumbers!$J$23</f>
        <v>6.227063888808624E-2</v>
      </c>
      <c r="L10" s="458">
        <f>datanumbers!K11/datanumbers!$K$23</f>
        <v>4.9023809418615436E-2</v>
      </c>
      <c r="M10" s="454">
        <f>datanumbers!L11/datanumbers!$L$23</f>
        <v>3.6274993470501178E-2</v>
      </c>
      <c r="N10" s="251">
        <f>datanumbers!M11/datanumbers!$M$23</f>
        <v>3.0775599699363478E-2</v>
      </c>
      <c r="O10" s="225">
        <f>datanumbers!N11/datanumbers!N$23</f>
        <v>0.24212808963029245</v>
      </c>
    </row>
    <row r="11" spans="2:15" x14ac:dyDescent="0.3">
      <c r="B11" s="170" t="s">
        <v>16</v>
      </c>
      <c r="C11" s="257"/>
      <c r="D11" s="257"/>
      <c r="E11" s="257"/>
      <c r="F11" s="257"/>
      <c r="G11" s="351"/>
      <c r="I11" s="342"/>
      <c r="J11" s="170" t="s">
        <v>16</v>
      </c>
      <c r="K11" s="452"/>
      <c r="L11" s="458"/>
      <c r="M11" s="455"/>
      <c r="N11" s="257"/>
      <c r="O11" s="351"/>
    </row>
    <row r="12" spans="2:15" x14ac:dyDescent="0.3">
      <c r="B12" s="157" t="s">
        <v>4</v>
      </c>
      <c r="C12" s="251">
        <f>datanumbers!C13/datanumbers!C23</f>
        <v>8.5487169236919403E-3</v>
      </c>
      <c r="D12" s="251">
        <f>datanumbers!D13/datanumbers!$D$23</f>
        <v>8.0601750857013342E-3</v>
      </c>
      <c r="E12" s="251">
        <f>datanumbers!E13/datanumbers!$E$23</f>
        <v>3.6274993470501178E-2</v>
      </c>
      <c r="F12" s="251">
        <f>datanumbers!F13/datanumbers!$F$23</f>
        <v>2.4517323453749511E-2</v>
      </c>
      <c r="G12" s="225">
        <f>datanumbers!G13/datanumbers!G$23</f>
        <v>7.1406959152798766E-2</v>
      </c>
      <c r="I12" s="342"/>
      <c r="J12" s="157" t="s">
        <v>4</v>
      </c>
      <c r="K12" s="451">
        <f>datanumbers!J13/datanumbers!$J$23</f>
        <v>8.0330568960037003E-3</v>
      </c>
      <c r="L12" s="458">
        <f>datanumbers!K13/datanumbers!$K$23</f>
        <v>7.5417846681305467E-3</v>
      </c>
      <c r="M12" s="454">
        <f>datanumbers!L13/datanumbers!$L$23</f>
        <v>3.6274993470501178E-2</v>
      </c>
      <c r="N12" s="251">
        <f>datanumbers!M13/datanumbers!$M$23</f>
        <v>2.4517323453749511E-2</v>
      </c>
      <c r="O12" s="225">
        <f>datanumbers!N13/datanumbers!N$23</f>
        <v>7.1355376788847777E-2</v>
      </c>
    </row>
    <row r="13" spans="2:15" x14ac:dyDescent="0.3">
      <c r="B13" s="157" t="s">
        <v>5</v>
      </c>
      <c r="C13" s="251">
        <f>datanumbers!C14/datanumbers!C23</f>
        <v>1.324589861467735E-2</v>
      </c>
      <c r="D13" s="251">
        <f>datanumbers!D14/datanumbers!$D$23</f>
        <v>1.3339188410724234E-2</v>
      </c>
      <c r="E13" s="251">
        <f>datanumbers!E14/datanumbers!$E$23</f>
        <v>9.7216982500943155E-2</v>
      </c>
      <c r="F13" s="251">
        <f>datanumbers!F14/datanumbers!$F$23</f>
        <v>0.19104967998948885</v>
      </c>
      <c r="G13" s="225">
        <f>datanumbers!G14/datanumbers!G$23</f>
        <v>1.8154311649016637E-3</v>
      </c>
      <c r="I13" s="342"/>
      <c r="J13" s="157" t="s">
        <v>5</v>
      </c>
      <c r="K13" s="451">
        <f>datanumbers!J14/datanumbers!$J$23</f>
        <v>7.2767070245904036E-2</v>
      </c>
      <c r="L13" s="458">
        <f>datanumbers!K14/datanumbers!$K$23</f>
        <v>7.6796309959838993E-2</v>
      </c>
      <c r="M13" s="454">
        <f>datanumbers!L14/datanumbers!$L$23</f>
        <v>9.7216982500943155E-2</v>
      </c>
      <c r="N13" s="251">
        <f>datanumbers!M14/datanumbers!$M$23</f>
        <v>0.19104967998948885</v>
      </c>
      <c r="O13" s="225">
        <f>datanumbers!N14/datanumbers!N$23</f>
        <v>1.7655173202208824E-3</v>
      </c>
    </row>
    <row r="14" spans="2:15" x14ac:dyDescent="0.3">
      <c r="B14" s="170" t="s">
        <v>15</v>
      </c>
      <c r="C14" s="257"/>
      <c r="D14" s="257"/>
      <c r="E14" s="257"/>
      <c r="F14" s="257"/>
      <c r="G14" s="351"/>
      <c r="I14" s="342"/>
      <c r="J14" s="170" t="s">
        <v>15</v>
      </c>
      <c r="K14" s="452"/>
      <c r="L14" s="458"/>
      <c r="M14" s="455"/>
      <c r="N14" s="257"/>
      <c r="O14" s="351"/>
    </row>
    <row r="15" spans="2:15" x14ac:dyDescent="0.3">
      <c r="B15" s="157" t="s">
        <v>6</v>
      </c>
      <c r="C15" s="251">
        <f>datanumbers!C16/datanumbers!C23</f>
        <v>3.2665016374790509E-2</v>
      </c>
      <c r="D15" s="251">
        <f>datanumbers!D16/datanumbers!$D$23</f>
        <v>4.2279324966238867E-2</v>
      </c>
      <c r="E15" s="251">
        <f>datanumbers!E16/datanumbers!$E$23</f>
        <v>3.6274993470501178E-2</v>
      </c>
      <c r="F15" s="251">
        <f>datanumbers!F16/datanumbers!$F$23</f>
        <v>7.8106856981912526E-2</v>
      </c>
      <c r="G15" s="225">
        <f>datanumbers!G16/datanumbers!G$23</f>
        <v>3.0257186081694396E-2</v>
      </c>
      <c r="I15" s="342"/>
      <c r="J15" s="157" t="s">
        <v>6</v>
      </c>
      <c r="K15" s="451">
        <f>datanumbers!J16/datanumbers!$J$23</f>
        <v>3.0694657150287519E-2</v>
      </c>
      <c r="L15" s="458">
        <f>datanumbers!K16/datanumbers!$K$23</f>
        <v>3.9560128833298722E-2</v>
      </c>
      <c r="M15" s="454">
        <f>datanumbers!L16/datanumbers!$L$23</f>
        <v>3.6274993470501178E-2</v>
      </c>
      <c r="N15" s="251">
        <f>datanumbers!M16/datanumbers!$M$23</f>
        <v>7.8106856981912526E-2</v>
      </c>
      <c r="O15" s="225">
        <f>datanumbers!N16/datanumbers!N$23</f>
        <v>3.0266011203786556E-2</v>
      </c>
    </row>
    <row r="16" spans="2:15" x14ac:dyDescent="0.3">
      <c r="B16" s="157" t="s">
        <v>7</v>
      </c>
      <c r="C16" s="251">
        <f>datanumbers!C17/datanumbers!C23</f>
        <v>0.22453451006319286</v>
      </c>
      <c r="D16" s="251">
        <f>datanumbers!D17/datanumbers!$D$23</f>
        <v>0.2242447422349397</v>
      </c>
      <c r="E16" s="251">
        <f>datanumbers!E17/datanumbers!$E$23</f>
        <v>0.21039496212890682</v>
      </c>
      <c r="F16" s="251">
        <f>datanumbers!F17/datanumbers!$F$23</f>
        <v>8.0020278693039779E-2</v>
      </c>
      <c r="G16" s="225">
        <f>datanumbers!G17/datanumbers!G$23</f>
        <v>0.11331316187594551</v>
      </c>
      <c r="I16" s="342"/>
      <c r="J16" s="157" t="s">
        <v>7</v>
      </c>
      <c r="K16" s="451">
        <f>datanumbers!J17/datanumbers!$J$23</f>
        <v>0.21099055104458639</v>
      </c>
      <c r="L16" s="458">
        <f>datanumbers!K17/datanumbers!$K$23</f>
        <v>0.20982243448985813</v>
      </c>
      <c r="M16" s="454">
        <f>datanumbers!L17/datanumbers!$L$23</f>
        <v>0.21039496212890682</v>
      </c>
      <c r="N16" s="251">
        <f>datanumbers!M17/datanumbers!$M$23</f>
        <v>8.0020278693039779E-2</v>
      </c>
      <c r="O16" s="225">
        <f>datanumbers!N17/datanumbers!N$23</f>
        <v>0.11333456177329873</v>
      </c>
    </row>
    <row r="17" spans="2:15" x14ac:dyDescent="0.3">
      <c r="B17" s="157" t="s">
        <v>8</v>
      </c>
      <c r="C17" s="251">
        <f>datanumbers!C18/datanumbers!C23</f>
        <v>4.8309475852949771E-2</v>
      </c>
      <c r="D17" s="251">
        <f>datanumbers!D18/datanumbers!$D$23</f>
        <v>4.0503914402546012E-2</v>
      </c>
      <c r="E17" s="251">
        <f>datanumbers!E18/datanumbers!$E$23</f>
        <v>3.6274993470501178E-2</v>
      </c>
      <c r="F17" s="251">
        <f>datanumbers!F18/datanumbers!$F$23</f>
        <v>9.3082614588904326E-3</v>
      </c>
      <c r="G17" s="225">
        <f>datanumbers!G18/datanumbers!G$23</f>
        <v>0.18986384266263234</v>
      </c>
      <c r="I17" s="342"/>
      <c r="J17" s="157" t="s">
        <v>8</v>
      </c>
      <c r="K17" s="451">
        <f>datanumbers!J18/datanumbers!$J$23</f>
        <v>4.5395440228855437E-2</v>
      </c>
      <c r="L17" s="458">
        <f>datanumbers!K18/datanumbers!$K$23</f>
        <v>3.7898903856604473E-2</v>
      </c>
      <c r="M17" s="454">
        <f>datanumbers!L18/datanumbers!$L$23</f>
        <v>3.6274993470501178E-2</v>
      </c>
      <c r="N17" s="251">
        <f>datanumbers!M18/datanumbers!$M$23</f>
        <v>9.3082614588904326E-3</v>
      </c>
      <c r="O17" s="225">
        <f>datanumbers!N18/datanumbers!N$23</f>
        <v>0.18988290473263458</v>
      </c>
    </row>
    <row r="18" spans="2:15" x14ac:dyDescent="0.3">
      <c r="B18" s="157" t="s">
        <v>9</v>
      </c>
      <c r="C18" s="251">
        <f>datanumbers!C19/datanumbers!C23</f>
        <v>2.9128676640169746E-2</v>
      </c>
      <c r="D18" s="251">
        <f>datanumbers!D19/datanumbers!$D$23</f>
        <v>2.4336345865087684E-2</v>
      </c>
      <c r="E18" s="251">
        <f>datanumbers!E19/datanumbers!$E$23</f>
        <v>3.6274993470501178E-2</v>
      </c>
      <c r="F18" s="251">
        <f>datanumbers!F19/datanumbers!$F$23</f>
        <v>5.0829604418215539E-2</v>
      </c>
      <c r="G18" s="225">
        <f>datanumbers!G19/datanumbers!G$23</f>
        <v>6.7322239031770023E-2</v>
      </c>
      <c r="I18" s="342"/>
      <c r="J18" s="157" t="s">
        <v>9</v>
      </c>
      <c r="K18" s="451">
        <f>datanumbers!J19/datanumbers!$J$23</f>
        <v>2.7371630017048579E-2</v>
      </c>
      <c r="L18" s="458">
        <f>datanumbers!K19/datanumbers!$K$23</f>
        <v>2.2771153005005762E-2</v>
      </c>
      <c r="M18" s="454">
        <f>datanumbers!L19/datanumbers!$L$23</f>
        <v>3.6274993470501178E-2</v>
      </c>
      <c r="N18" s="251">
        <f>datanumbers!M19/datanumbers!$M$23</f>
        <v>5.0829604418215539E-2</v>
      </c>
      <c r="O18" s="225">
        <f>datanumbers!N19/datanumbers!N$23</f>
        <v>6.7279793880594532E-2</v>
      </c>
    </row>
    <row r="19" spans="2:15" x14ac:dyDescent="0.3">
      <c r="B19" s="157" t="s">
        <v>10</v>
      </c>
      <c r="C19" s="251">
        <f>datanumbers!C20/datanumbers!C23</f>
        <v>3.4133366134165656E-2</v>
      </c>
      <c r="D19" s="251">
        <f>datanumbers!D20/datanumbers!$D$23</f>
        <v>3.2155707283905148E-2</v>
      </c>
      <c r="E19" s="251">
        <f>datanumbers!E20/datanumbers!$E$23</f>
        <v>3.6274993470501178E-2</v>
      </c>
      <c r="F19" s="251">
        <f>datanumbers!F20/datanumbers!$F$23</f>
        <v>2.4401245813322849E-2</v>
      </c>
      <c r="G19" s="225">
        <f>datanumbers!G20/datanumbers!G$23</f>
        <v>0.159304084720121</v>
      </c>
      <c r="I19" s="342"/>
      <c r="J19" s="157" t="s">
        <v>10</v>
      </c>
      <c r="K19" s="451">
        <f>datanumbers!J20/datanumbers!$J$23</f>
        <v>3.207443580778456E-2</v>
      </c>
      <c r="L19" s="458">
        <f>datanumbers!K20/datanumbers!$K$23</f>
        <v>3.0087611944914484E-2</v>
      </c>
      <c r="M19" s="454">
        <f>datanumbers!L20/datanumbers!$L$23</f>
        <v>3.6274993470501178E-2</v>
      </c>
      <c r="N19" s="251">
        <f>datanumbers!M20/datanumbers!$M$23</f>
        <v>2.4401245813322849E-2</v>
      </c>
      <c r="O19" s="225">
        <f>datanumbers!N20/datanumbers!N$23</f>
        <v>0.15935054898793621</v>
      </c>
    </row>
    <row r="20" spans="2:15" x14ac:dyDescent="0.3">
      <c r="B20" s="157" t="s">
        <v>11</v>
      </c>
      <c r="C20" s="251">
        <f>datanumbers!C21/datanumbers!C23</f>
        <v>0.17146635095865559</v>
      </c>
      <c r="D20" s="251">
        <f>datanumbers!D21/datanumbers!$D$23</f>
        <v>0.17618588926348794</v>
      </c>
      <c r="E20" s="251">
        <f>datanumbers!E21/datanumbers!$E$23</f>
        <v>0.12153573812356713</v>
      </c>
      <c r="F20" s="251">
        <f>datanumbers!F21/datanumbers!$F$23</f>
        <v>4.8043874116754239E-2</v>
      </c>
      <c r="G20" s="225">
        <f>datanumbers!G21/datanumbers!G$23</f>
        <v>3.2375189107413001E-2</v>
      </c>
      <c r="I20" s="342"/>
      <c r="J20" s="157" t="s">
        <v>11</v>
      </c>
      <c r="K20" s="451">
        <f>datanumbers!J21/datanumbers!$J$23</f>
        <v>0.16112347212991596</v>
      </c>
      <c r="L20" s="458">
        <f>datanumbers!K21/datanumbers!$K$23</f>
        <v>0.16485448817923556</v>
      </c>
      <c r="M20" s="454">
        <f>datanumbers!L21/datanumbers!$L$23</f>
        <v>0.12153573812356713</v>
      </c>
      <c r="N20" s="251">
        <f>datanumbers!M21/datanumbers!$M$23</f>
        <v>4.8043874116754239E-2</v>
      </c>
      <c r="O20" s="225">
        <f>datanumbers!N21/datanumbers!N$23</f>
        <v>3.2325861510839049E-2</v>
      </c>
    </row>
    <row r="21" spans="2:15" ht="15" thickBot="1" x14ac:dyDescent="0.35">
      <c r="B21" s="209" t="s">
        <v>12</v>
      </c>
      <c r="C21" s="251">
        <f>datanumbers!C22/datanumbers!C23</f>
        <v>4.773289872230508E-2</v>
      </c>
      <c r="D21" s="251">
        <f>datanumbers!D22/datanumbers!$D$23</f>
        <v>6.0973076087675056E-2</v>
      </c>
      <c r="E21" s="251">
        <f>datanumbers!E22/datanumbers!$E$23</f>
        <v>6.9996227400679067E-2</v>
      </c>
      <c r="F21" s="251">
        <f>datanumbers!F22/datanumbers!$F$23</f>
        <v>1.005538993012314E-2</v>
      </c>
      <c r="G21" s="225">
        <f>datanumbers!G22/datanumbers!G$23</f>
        <v>5.143721633888048E-2</v>
      </c>
      <c r="I21" s="342"/>
      <c r="J21" s="209" t="s">
        <v>12</v>
      </c>
      <c r="K21" s="453">
        <f>datanumbers!J22/datanumbers!$J$23</f>
        <v>4.4853642326696919E-2</v>
      </c>
      <c r="L21" s="459">
        <f>datanumbers!K22/datanumbers!$K$23</f>
        <v>5.7051590755459722E-2</v>
      </c>
      <c r="M21" s="454">
        <f>datanumbers!L22/datanumbers!$L$23</f>
        <v>6.9996227400679067E-2</v>
      </c>
      <c r="N21" s="251">
        <f>datanumbers!M22/datanumbers!$M$23</f>
        <v>1.005538993012314E-2</v>
      </c>
      <c r="O21" s="225">
        <f>datanumbers!N22/datanumbers!N$23</f>
        <v>5.1452219046437146E-2</v>
      </c>
    </row>
    <row r="22" spans="2:15" x14ac:dyDescent="0.3">
      <c r="C22" s="260">
        <f>SUM(C5:C21)</f>
        <v>1</v>
      </c>
      <c r="D22" s="260">
        <f t="shared" ref="D22:G22" si="0">SUM(D5:D21)</f>
        <v>1</v>
      </c>
      <c r="E22" s="260">
        <f t="shared" si="0"/>
        <v>1</v>
      </c>
      <c r="F22" s="260">
        <f t="shared" si="0"/>
        <v>0.99999999999999989</v>
      </c>
      <c r="G22" s="260">
        <f t="shared" si="0"/>
        <v>0.99999999999999978</v>
      </c>
      <c r="I22" s="342"/>
      <c r="J22" s="59"/>
      <c r="K22" s="260">
        <f>SUM(K5:K21)</f>
        <v>1.0000000000000002</v>
      </c>
      <c r="L22" s="260">
        <f>SUM(L5:L21)</f>
        <v>0.99999999999999989</v>
      </c>
      <c r="M22" s="260">
        <f t="shared" ref="L22:O22" si="1">SUM(M5:M21)</f>
        <v>1</v>
      </c>
      <c r="N22" s="260">
        <f t="shared" si="1"/>
        <v>0.99999999999999989</v>
      </c>
      <c r="O22" s="260">
        <f t="shared" si="1"/>
        <v>0.99999999999999989</v>
      </c>
    </row>
    <row r="23" spans="2:15" x14ac:dyDescent="0.3">
      <c r="I23" s="68"/>
      <c r="J23" s="68"/>
      <c r="K23" s="68"/>
      <c r="L23" s="68"/>
      <c r="M23" s="68"/>
      <c r="N23" s="68"/>
      <c r="O23" s="68"/>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3:T45"/>
  <sheetViews>
    <sheetView topLeftCell="E4" workbookViewId="0">
      <selection activeCell="Q9" sqref="Q9"/>
    </sheetView>
  </sheetViews>
  <sheetFormatPr defaultRowHeight="14.4" x14ac:dyDescent="0.3"/>
  <cols>
    <col min="3" max="3" width="12.77734375" customWidth="1"/>
    <col min="4" max="4" width="12" customWidth="1"/>
    <col min="5" max="5" width="11.21875" customWidth="1"/>
    <col min="6" max="6" width="11.109375" customWidth="1"/>
    <col min="7" max="7" width="12" customWidth="1"/>
    <col min="10" max="11" width="11.33203125" customWidth="1"/>
    <col min="12" max="12" width="12" bestFit="1" customWidth="1"/>
    <col min="13" max="13" width="12.109375" bestFit="1" customWidth="1"/>
    <col min="14" max="14" width="11.21875" customWidth="1"/>
    <col min="19" max="19" width="9.5546875" bestFit="1" customWidth="1"/>
  </cols>
  <sheetData>
    <row r="3" spans="2:20" x14ac:dyDescent="0.3">
      <c r="B3" t="s">
        <v>127</v>
      </c>
    </row>
    <row r="4" spans="2:20" ht="15" thickBot="1" x14ac:dyDescent="0.35">
      <c r="B4" s="397"/>
      <c r="C4" s="397"/>
    </row>
    <row r="5" spans="2:20" ht="90" customHeight="1" x14ac:dyDescent="0.3">
      <c r="B5" s="250"/>
      <c r="C5" s="353" t="s">
        <v>266</v>
      </c>
      <c r="D5" s="354" t="s">
        <v>267</v>
      </c>
      <c r="E5" s="354" t="s">
        <v>215</v>
      </c>
      <c r="F5" s="355" t="s">
        <v>216</v>
      </c>
      <c r="G5" s="356" t="s">
        <v>217</v>
      </c>
      <c r="I5" s="250"/>
      <c r="J5" s="353" t="s">
        <v>269</v>
      </c>
      <c r="K5" s="354" t="s">
        <v>267</v>
      </c>
      <c r="L5" s="354" t="s">
        <v>215</v>
      </c>
      <c r="M5" s="355" t="s">
        <v>216</v>
      </c>
      <c r="N5" s="356" t="s">
        <v>217</v>
      </c>
    </row>
    <row r="6" spans="2:20" x14ac:dyDescent="0.3">
      <c r="B6" s="252" t="s">
        <v>14</v>
      </c>
      <c r="C6" s="362"/>
      <c r="D6" s="362"/>
      <c r="E6" s="362"/>
      <c r="F6" s="362"/>
      <c r="G6" s="363"/>
      <c r="I6" s="252" t="s">
        <v>14</v>
      </c>
      <c r="J6" s="362"/>
      <c r="K6" s="362"/>
      <c r="L6" s="362"/>
      <c r="M6" s="362"/>
      <c r="N6" s="363"/>
    </row>
    <row r="7" spans="2:20" x14ac:dyDescent="0.3">
      <c r="B7" s="253" t="s">
        <v>1</v>
      </c>
      <c r="C7" s="429">
        <v>895</v>
      </c>
      <c r="D7" s="429">
        <v>1613</v>
      </c>
      <c r="E7" s="429">
        <v>2526</v>
      </c>
      <c r="F7" s="430">
        <f>'Biomass_2013&amp;2021'!X32</f>
        <v>14362.219073708944</v>
      </c>
      <c r="G7" s="431">
        <v>1E-3</v>
      </c>
      <c r="I7" s="253" t="s">
        <v>1</v>
      </c>
      <c r="J7" s="440">
        <v>895</v>
      </c>
      <c r="K7" s="440">
        <v>1613</v>
      </c>
      <c r="L7" s="440">
        <v>2526</v>
      </c>
      <c r="M7" s="441">
        <f>'Biomass_2013&amp;2021'!X32</f>
        <v>14362.219073708944</v>
      </c>
      <c r="N7" s="442">
        <f>'Dependency Factors'!J6</f>
        <v>1E-3</v>
      </c>
    </row>
    <row r="8" spans="2:20" x14ac:dyDescent="0.3">
      <c r="B8" s="253" t="s">
        <v>2</v>
      </c>
      <c r="C8" s="429">
        <v>7390.333333333333</v>
      </c>
      <c r="D8" s="429">
        <v>6476.8</v>
      </c>
      <c r="E8" s="429">
        <v>9698</v>
      </c>
      <c r="F8" s="430">
        <f>'Biomass_2013&amp;2021'!X33</f>
        <v>8070.9477889622094</v>
      </c>
      <c r="G8" s="431">
        <v>0.01</v>
      </c>
      <c r="I8" s="253" t="s">
        <v>2</v>
      </c>
      <c r="J8" s="440">
        <v>7390.333333333333</v>
      </c>
      <c r="K8" s="440">
        <v>6476.8</v>
      </c>
      <c r="L8" s="440">
        <v>9698</v>
      </c>
      <c r="M8" s="441">
        <f>'Biomass_2013&amp;2021'!X33</f>
        <v>8070.9477889622094</v>
      </c>
      <c r="N8" s="442">
        <f>'Dependency Factors'!J7</f>
        <v>0.01</v>
      </c>
      <c r="S8" s="352"/>
      <c r="T8" s="352"/>
    </row>
    <row r="9" spans="2:20" x14ac:dyDescent="0.3">
      <c r="B9" s="253" t="s">
        <v>3</v>
      </c>
      <c r="C9" s="429">
        <v>5761.666666666667</v>
      </c>
      <c r="D9" s="429">
        <v>5698.4</v>
      </c>
      <c r="E9" s="429">
        <v>7294</v>
      </c>
      <c r="F9" s="430">
        <f>'Biomass_2013&amp;2021'!X34</f>
        <v>6252.8125438928273</v>
      </c>
      <c r="G9" s="431">
        <v>1.6E-2</v>
      </c>
      <c r="I9" s="253" t="s">
        <v>3</v>
      </c>
      <c r="J9" s="440">
        <v>5761.666666666667</v>
      </c>
      <c r="K9" s="440">
        <v>5698.4</v>
      </c>
      <c r="L9" s="440">
        <v>7294</v>
      </c>
      <c r="M9" s="441">
        <f>'Biomass_2013&amp;2021'!X34</f>
        <v>6252.8125438928273</v>
      </c>
      <c r="N9" s="442">
        <f>'Dependency Factors'!J8</f>
        <v>1.6E-2</v>
      </c>
      <c r="S9" s="352"/>
      <c r="T9" s="352"/>
    </row>
    <row r="10" spans="2:20" x14ac:dyDescent="0.3">
      <c r="B10" s="254" t="s">
        <v>69</v>
      </c>
      <c r="C10" s="432"/>
      <c r="D10" s="433"/>
      <c r="E10" s="433"/>
      <c r="F10" s="434"/>
      <c r="G10" s="435"/>
      <c r="I10" s="254" t="s">
        <v>69</v>
      </c>
      <c r="J10" s="443"/>
      <c r="K10" s="444"/>
      <c r="L10" s="444"/>
      <c r="M10" s="445"/>
      <c r="N10" s="446"/>
      <c r="S10" s="352"/>
      <c r="T10" s="352"/>
    </row>
    <row r="11" spans="2:20" x14ac:dyDescent="0.3">
      <c r="B11" s="253" t="s">
        <v>13</v>
      </c>
      <c r="C11" s="429">
        <v>2873.3333333333335</v>
      </c>
      <c r="D11" s="429">
        <v>2219.1999999999998</v>
      </c>
      <c r="E11" s="429">
        <v>2500</v>
      </c>
      <c r="F11" s="430">
        <f>'Biomass_2013&amp;2021'!X35</f>
        <v>1949.3133959176166</v>
      </c>
      <c r="G11" s="431">
        <v>0.16</v>
      </c>
      <c r="I11" s="253" t="s">
        <v>13</v>
      </c>
      <c r="J11" s="440">
        <v>2873.3333333333335</v>
      </c>
      <c r="K11" s="440">
        <v>2219.1999999999998</v>
      </c>
      <c r="L11" s="440">
        <v>2500</v>
      </c>
      <c r="M11" s="441">
        <f>'Biomass_2013&amp;2021'!X35</f>
        <v>1949.3133959176166</v>
      </c>
      <c r="N11" s="442">
        <f>'Dependency Factors'!J10</f>
        <v>0.16</v>
      </c>
      <c r="S11" s="352"/>
      <c r="T11" s="352"/>
    </row>
    <row r="12" spans="2:20" x14ac:dyDescent="0.3">
      <c r="B12" s="252" t="s">
        <v>16</v>
      </c>
      <c r="C12" s="433"/>
      <c r="D12" s="433"/>
      <c r="E12" s="433"/>
      <c r="F12" s="434"/>
      <c r="G12" s="435"/>
      <c r="I12" s="252" t="s">
        <v>16</v>
      </c>
      <c r="J12" s="444"/>
      <c r="K12" s="444"/>
      <c r="L12" s="444"/>
      <c r="M12" s="445"/>
      <c r="N12" s="446"/>
      <c r="S12" s="352"/>
      <c r="T12" s="352"/>
    </row>
    <row r="13" spans="2:20" x14ac:dyDescent="0.3">
      <c r="B13" s="253" t="s">
        <v>4</v>
      </c>
      <c r="C13" s="429">
        <v>370.66666666666669</v>
      </c>
      <c r="D13" s="429">
        <v>341.4</v>
      </c>
      <c r="E13" s="429">
        <v>2500</v>
      </c>
      <c r="F13" s="430">
        <f>'Biomass_2013&amp;2021'!X36</f>
        <v>1552.9168402014129</v>
      </c>
      <c r="G13" s="431">
        <v>4.7199999999999999E-2</v>
      </c>
      <c r="I13" s="253" t="s">
        <v>4</v>
      </c>
      <c r="J13" s="440">
        <v>370.66666666666669</v>
      </c>
      <c r="K13" s="440">
        <v>341.4</v>
      </c>
      <c r="L13" s="440">
        <v>2500</v>
      </c>
      <c r="M13" s="441">
        <f>'Biomass_2013&amp;2021'!X36</f>
        <v>1552.9168402014129</v>
      </c>
      <c r="N13" s="442">
        <f>'Dependency Factors'!J12</f>
        <v>4.7152151176049636E-2</v>
      </c>
      <c r="S13" s="352"/>
      <c r="T13" s="352"/>
    </row>
    <row r="14" spans="2:20" x14ac:dyDescent="0.3">
      <c r="B14" s="253" t="s">
        <v>5</v>
      </c>
      <c r="C14" s="429">
        <v>574.33333333333337</v>
      </c>
      <c r="D14" s="429">
        <v>565</v>
      </c>
      <c r="E14" s="429">
        <v>6700</v>
      </c>
      <c r="F14" s="430">
        <f>'Biomass_2013&amp;2021'!X37</f>
        <v>12101.005476003347</v>
      </c>
      <c r="G14" s="431">
        <v>1.1999999999999999E-3</v>
      </c>
      <c r="I14" s="340" t="s">
        <v>270</v>
      </c>
      <c r="J14" s="447">
        <v>3357.666666666667</v>
      </c>
      <c r="K14" s="447">
        <v>3476.4</v>
      </c>
      <c r="L14" s="447">
        <v>6700</v>
      </c>
      <c r="M14" s="448">
        <f>'Biomass_2013&amp;2021'!X37</f>
        <v>12101.005476003347</v>
      </c>
      <c r="N14" s="442">
        <f>'Dependency Factors'!J13</f>
        <v>1.1666666666666668E-3</v>
      </c>
      <c r="S14" s="352"/>
      <c r="T14" s="352"/>
    </row>
    <row r="15" spans="2:20" x14ac:dyDescent="0.3">
      <c r="B15" s="341" t="s">
        <v>15</v>
      </c>
      <c r="C15" s="436"/>
      <c r="D15" s="436"/>
      <c r="E15" s="436"/>
      <c r="F15" s="434"/>
      <c r="G15" s="437"/>
      <c r="I15" s="252" t="s">
        <v>15</v>
      </c>
      <c r="J15" s="449"/>
      <c r="K15" s="449"/>
      <c r="L15" s="449"/>
      <c r="M15" s="445"/>
      <c r="N15" s="446"/>
      <c r="S15" s="352"/>
      <c r="T15" s="352"/>
    </row>
    <row r="16" spans="2:20" x14ac:dyDescent="0.3">
      <c r="B16" s="253" t="s">
        <v>6</v>
      </c>
      <c r="C16" s="429">
        <v>1416.3333333333333</v>
      </c>
      <c r="D16" s="429">
        <v>1790.8</v>
      </c>
      <c r="E16" s="429">
        <v>2500</v>
      </c>
      <c r="F16" s="430">
        <f>'Biomass_2013&amp;2021'!X38</f>
        <v>4947.2551019375442</v>
      </c>
      <c r="G16" s="431">
        <v>0.02</v>
      </c>
      <c r="I16" s="253" t="s">
        <v>6</v>
      </c>
      <c r="J16" s="440">
        <v>1416.3333333333333</v>
      </c>
      <c r="K16" s="440">
        <v>1790.8</v>
      </c>
      <c r="L16" s="440">
        <v>2500</v>
      </c>
      <c r="M16" s="441">
        <f>'Biomass_2013&amp;2021'!X38</f>
        <v>4947.2551019375442</v>
      </c>
      <c r="N16" s="442">
        <f>'Dependency Factors'!J15</f>
        <v>0.02</v>
      </c>
      <c r="S16" s="352"/>
      <c r="T16" s="352"/>
    </row>
    <row r="17" spans="2:20" x14ac:dyDescent="0.3">
      <c r="B17" s="253" t="s">
        <v>7</v>
      </c>
      <c r="C17" s="429">
        <v>9735.6666666666661</v>
      </c>
      <c r="D17" s="429">
        <v>9498.2000000000007</v>
      </c>
      <c r="E17" s="429">
        <v>14500</v>
      </c>
      <c r="F17" s="430">
        <f>'Biomass_2013&amp;2021'!X39</f>
        <v>5068.450419331054</v>
      </c>
      <c r="G17" s="431">
        <v>7.4899999999999994E-2</v>
      </c>
      <c r="I17" s="253" t="s">
        <v>7</v>
      </c>
      <c r="J17" s="440">
        <v>9735.6666666666661</v>
      </c>
      <c r="K17" s="440">
        <v>9498.2000000000007</v>
      </c>
      <c r="L17" s="440">
        <v>14500</v>
      </c>
      <c r="M17" s="441">
        <f>'Biomass_2013&amp;2021'!X39</f>
        <v>5068.450419331054</v>
      </c>
      <c r="N17" s="442">
        <f>'Dependency Factors'!J16</f>
        <v>7.4892301473224551E-2</v>
      </c>
      <c r="S17" s="352"/>
      <c r="T17" s="352"/>
    </row>
    <row r="18" spans="2:20" x14ac:dyDescent="0.3">
      <c r="B18" s="253" t="s">
        <v>8</v>
      </c>
      <c r="C18" s="429">
        <v>2094.6666666666665</v>
      </c>
      <c r="D18" s="429">
        <v>1715.6</v>
      </c>
      <c r="E18" s="429">
        <v>2500</v>
      </c>
      <c r="F18" s="430">
        <f>'Biomass_2013&amp;2021'!X40</f>
        <v>589.58132194883137</v>
      </c>
      <c r="G18" s="431">
        <v>0.1255</v>
      </c>
      <c r="I18" s="253" t="s">
        <v>8</v>
      </c>
      <c r="J18" s="440">
        <v>2094.6666666666665</v>
      </c>
      <c r="K18" s="440">
        <v>1715.6</v>
      </c>
      <c r="L18" s="440">
        <v>2500</v>
      </c>
      <c r="M18" s="441">
        <f>'Biomass_2013&amp;2021'!X40</f>
        <v>589.58132194883137</v>
      </c>
      <c r="N18" s="442">
        <f>'Dependency Factors'!J17</f>
        <v>0.12547600240687051</v>
      </c>
      <c r="S18" s="352"/>
      <c r="T18" s="352"/>
    </row>
    <row r="19" spans="2:20" x14ac:dyDescent="0.3">
      <c r="B19" s="253" t="s">
        <v>9</v>
      </c>
      <c r="C19" s="429">
        <v>1263</v>
      </c>
      <c r="D19" s="429">
        <v>1030.8</v>
      </c>
      <c r="E19" s="429">
        <v>2500</v>
      </c>
      <c r="F19" s="430">
        <f>'Biomass_2013&amp;2021'!X41</f>
        <v>3219.5255257258273</v>
      </c>
      <c r="G19" s="431">
        <v>4.4499999999999998E-2</v>
      </c>
      <c r="I19" s="253" t="s">
        <v>9</v>
      </c>
      <c r="J19" s="440">
        <v>1263</v>
      </c>
      <c r="K19" s="440">
        <v>1030.8</v>
      </c>
      <c r="L19" s="440">
        <v>2500</v>
      </c>
      <c r="M19" s="441">
        <f>'Biomass_2013&amp;2021'!X41</f>
        <v>3219.5255257258273</v>
      </c>
      <c r="N19" s="442">
        <f>'Dependency Factors'!J18</f>
        <v>4.4458976392751232E-2</v>
      </c>
      <c r="S19" s="352"/>
      <c r="T19" s="352"/>
    </row>
    <row r="20" spans="2:20" x14ac:dyDescent="0.3">
      <c r="B20" s="253" t="s">
        <v>10</v>
      </c>
      <c r="C20" s="429">
        <v>1480</v>
      </c>
      <c r="D20" s="429">
        <v>1362</v>
      </c>
      <c r="E20" s="429">
        <v>2500</v>
      </c>
      <c r="F20" s="430">
        <f>'Biomass_2013&amp;2021'!X42</f>
        <v>1545.5645318252782</v>
      </c>
      <c r="G20" s="431">
        <v>0.1053</v>
      </c>
      <c r="I20" s="253" t="s">
        <v>10</v>
      </c>
      <c r="J20" s="440">
        <v>1480</v>
      </c>
      <c r="K20" s="440">
        <v>1362</v>
      </c>
      <c r="L20" s="440">
        <v>2500</v>
      </c>
      <c r="M20" s="441">
        <f>'Biomass_2013&amp;2021'!X42</f>
        <v>1545.5645318252782</v>
      </c>
      <c r="N20" s="442">
        <f>'Dependency Factors'!J19</f>
        <v>0.1053</v>
      </c>
      <c r="S20" s="352"/>
      <c r="T20" s="352"/>
    </row>
    <row r="21" spans="2:20" x14ac:dyDescent="0.3">
      <c r="B21" s="253" t="s">
        <v>11</v>
      </c>
      <c r="C21" s="429">
        <v>7434.666666666667</v>
      </c>
      <c r="D21" s="429">
        <v>7462.6</v>
      </c>
      <c r="E21" s="429">
        <v>8376</v>
      </c>
      <c r="F21" s="430">
        <f>'Biomass_2013&amp;2021'!X43</f>
        <v>3043.0785532184341</v>
      </c>
      <c r="G21" s="431">
        <v>2.1399999999999999E-2</v>
      </c>
      <c r="I21" s="253" t="s">
        <v>11</v>
      </c>
      <c r="J21" s="440">
        <v>7434.666666666667</v>
      </c>
      <c r="K21" s="440">
        <v>7462.6</v>
      </c>
      <c r="L21" s="440">
        <v>8376</v>
      </c>
      <c r="M21" s="441">
        <f>'Biomass_2013&amp;2021'!X43</f>
        <v>3043.0785532184341</v>
      </c>
      <c r="N21" s="442">
        <f>'Dependency Factors'!J20</f>
        <v>2.1361164041857481E-2</v>
      </c>
      <c r="S21" s="352"/>
      <c r="T21" s="352"/>
    </row>
    <row r="22" spans="2:20" x14ac:dyDescent="0.3">
      <c r="B22" s="255" t="s">
        <v>12</v>
      </c>
      <c r="C22" s="438">
        <v>2069.6666666666665</v>
      </c>
      <c r="D22" s="438">
        <v>2582.6</v>
      </c>
      <c r="E22" s="438">
        <v>4824</v>
      </c>
      <c r="F22" s="430">
        <f>'Biomass_2013&amp;2021'!X44</f>
        <v>636.90412155866284</v>
      </c>
      <c r="G22" s="439">
        <v>3.4000000000000002E-2</v>
      </c>
      <c r="I22" s="255" t="s">
        <v>12</v>
      </c>
      <c r="J22" s="450">
        <v>2069.6666666666665</v>
      </c>
      <c r="K22" s="450">
        <v>2582.6</v>
      </c>
      <c r="L22" s="450">
        <v>4824</v>
      </c>
      <c r="M22" s="441">
        <f>'Biomass_2013&amp;2021'!X44</f>
        <v>636.90412155866284</v>
      </c>
      <c r="N22" s="442">
        <f>'Dependency Factors'!J21</f>
        <v>3.4000000000000002E-2</v>
      </c>
      <c r="S22" s="352"/>
      <c r="T22" s="352"/>
    </row>
    <row r="23" spans="2:20" ht="15" thickBot="1" x14ac:dyDescent="0.35">
      <c r="B23" s="256" t="s">
        <v>67</v>
      </c>
      <c r="C23" s="364">
        <f>SUM(C6:C22)</f>
        <v>43359.333333333328</v>
      </c>
      <c r="D23" s="364">
        <f t="shared" ref="D23:G23" si="0">SUM(D6:D22)</f>
        <v>42356.4</v>
      </c>
      <c r="E23" s="364">
        <f t="shared" si="0"/>
        <v>68918</v>
      </c>
      <c r="F23" s="365">
        <f t="shared" si="0"/>
        <v>63339.574694231989</v>
      </c>
      <c r="G23" s="390">
        <f t="shared" si="0"/>
        <v>0.66100000000000014</v>
      </c>
      <c r="I23" s="256" t="s">
        <v>67</v>
      </c>
      <c r="J23" s="364">
        <f>SUM(J6:J22)</f>
        <v>46142.666666666657</v>
      </c>
      <c r="K23" s="364">
        <f t="shared" ref="K23:M23" si="1">SUM(K6:K22)</f>
        <v>45267.8</v>
      </c>
      <c r="L23" s="364">
        <f t="shared" si="1"/>
        <v>68918</v>
      </c>
      <c r="M23" s="365">
        <f t="shared" si="1"/>
        <v>63339.574694231989</v>
      </c>
      <c r="N23" s="390">
        <f>SUM(N7:N22)</f>
        <v>0.66080726215742025</v>
      </c>
      <c r="S23" s="352"/>
      <c r="T23" s="352"/>
    </row>
    <row r="24" spans="2:20" ht="15" thickTop="1" x14ac:dyDescent="0.3">
      <c r="B24" s="396" t="s">
        <v>220</v>
      </c>
      <c r="C24" s="396"/>
      <c r="D24" s="396"/>
      <c r="E24" s="396"/>
      <c r="F24" s="396"/>
      <c r="G24" s="396"/>
      <c r="H24" s="396"/>
      <c r="I24" s="396"/>
      <c r="J24" t="s">
        <v>271</v>
      </c>
    </row>
    <row r="30" spans="2:20" x14ac:dyDescent="0.3">
      <c r="D30" s="352"/>
      <c r="E30" s="352"/>
      <c r="H30" s="221"/>
    </row>
    <row r="31" spans="2:20" x14ac:dyDescent="0.3">
      <c r="D31" s="352"/>
      <c r="E31" s="352"/>
      <c r="H31" s="221"/>
    </row>
    <row r="32" spans="2:20" x14ac:dyDescent="0.3">
      <c r="D32" s="352"/>
      <c r="E32" s="352"/>
      <c r="H32" s="221"/>
    </row>
    <row r="33" spans="4:8" x14ac:dyDescent="0.3">
      <c r="E33" s="352"/>
      <c r="H33" s="221"/>
    </row>
    <row r="34" spans="4:8" x14ac:dyDescent="0.3">
      <c r="D34" s="352"/>
      <c r="E34" s="352"/>
      <c r="H34" s="221"/>
    </row>
    <row r="35" spans="4:8" x14ac:dyDescent="0.3">
      <c r="E35" s="352"/>
      <c r="H35" s="221"/>
    </row>
    <row r="36" spans="4:8" x14ac:dyDescent="0.3">
      <c r="D36" s="352"/>
      <c r="E36" s="352"/>
      <c r="H36" s="221"/>
    </row>
    <row r="37" spans="4:8" x14ac:dyDescent="0.3">
      <c r="D37" s="352"/>
      <c r="E37" s="352"/>
      <c r="H37" s="221"/>
    </row>
    <row r="38" spans="4:8" x14ac:dyDescent="0.3">
      <c r="D38" s="352"/>
      <c r="E38" s="352"/>
      <c r="H38" s="221"/>
    </row>
    <row r="39" spans="4:8" x14ac:dyDescent="0.3">
      <c r="D39" s="352"/>
      <c r="E39" s="352"/>
      <c r="H39" s="221"/>
    </row>
    <row r="40" spans="4:8" x14ac:dyDescent="0.3">
      <c r="D40" s="352"/>
      <c r="E40" s="352"/>
      <c r="H40" s="221"/>
    </row>
    <row r="41" spans="4:8" x14ac:dyDescent="0.3">
      <c r="D41" s="352"/>
      <c r="E41" s="352"/>
      <c r="H41" s="221"/>
    </row>
    <row r="42" spans="4:8" x14ac:dyDescent="0.3">
      <c r="D42" s="352"/>
      <c r="E42" s="352"/>
      <c r="H42" s="221"/>
    </row>
    <row r="43" spans="4:8" x14ac:dyDescent="0.3">
      <c r="D43" s="352"/>
      <c r="E43" s="352"/>
      <c r="H43" s="221"/>
    </row>
    <row r="44" spans="4:8" x14ac:dyDescent="0.3">
      <c r="D44" s="352"/>
      <c r="E44" s="352"/>
      <c r="H44" s="221"/>
    </row>
    <row r="45" spans="4:8" x14ac:dyDescent="0.3">
      <c r="D45" s="352"/>
      <c r="E45" s="352"/>
      <c r="H45" s="221"/>
    </row>
  </sheetData>
  <mergeCells count="2">
    <mergeCell ref="B24:I24"/>
    <mergeCell ref="B4:C4"/>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J58"/>
  <sheetViews>
    <sheetView topLeftCell="E1" zoomScale="110" zoomScaleNormal="110" workbookViewId="0">
      <pane ySplit="5" topLeftCell="A24" activePane="bottomLeft" state="frozen"/>
      <selection activeCell="G1" sqref="G1"/>
      <selection pane="bottomLeft" activeCell="AA53" sqref="AA53"/>
    </sheetView>
  </sheetViews>
  <sheetFormatPr defaultRowHeight="14.4" x14ac:dyDescent="0.3"/>
  <cols>
    <col min="1" max="1" width="6.44140625" style="59" customWidth="1"/>
    <col min="2" max="2" width="10.109375" style="59" customWidth="1"/>
    <col min="3" max="3" width="11.5546875" style="59" customWidth="1"/>
    <col min="4" max="5" width="8.6640625" style="59"/>
    <col min="6" max="6" width="15.5546875" customWidth="1"/>
    <col min="7" max="7" width="5.5546875" customWidth="1"/>
    <col min="8" max="17" width="6.6640625" customWidth="1"/>
    <col min="18" max="18" width="6.6640625" style="27" customWidth="1"/>
    <col min="19" max="23" width="6.6640625" customWidth="1"/>
    <col min="24" max="26" width="6.6640625" style="59" customWidth="1"/>
    <col min="27" max="29" width="8" style="59" customWidth="1"/>
    <col min="30" max="30" width="9" style="59" customWidth="1"/>
    <col min="31" max="31" width="11.33203125" style="59" customWidth="1"/>
    <col min="32" max="32" width="11.5546875" style="59" customWidth="1"/>
    <col min="33" max="33" width="8.77734375" style="59" customWidth="1"/>
    <col min="34" max="35" width="10" style="59" customWidth="1"/>
    <col min="36" max="36" width="3.5546875" style="59" hidden="1" customWidth="1"/>
    <col min="37" max="37" width="10" customWidth="1"/>
    <col min="38" max="38" width="9.77734375" customWidth="1"/>
    <col min="39" max="40" width="9.33203125" customWidth="1"/>
  </cols>
  <sheetData>
    <row r="1" spans="1:62" s="59" customFormat="1" x14ac:dyDescent="0.3">
      <c r="F1" t="s">
        <v>212</v>
      </c>
      <c r="R1" s="27"/>
    </row>
    <row r="2" spans="1:62" s="59" customFormat="1" x14ac:dyDescent="0.3">
      <c r="R2" s="27"/>
      <c r="AQ2" s="68"/>
      <c r="AR2" s="68"/>
      <c r="AS2" s="68"/>
      <c r="AT2" s="68"/>
      <c r="AU2" s="68"/>
      <c r="AV2" s="68"/>
      <c r="AW2" s="68"/>
      <c r="AX2" s="68"/>
      <c r="AY2" s="68"/>
      <c r="AZ2" s="68"/>
      <c r="BA2" s="68"/>
      <c r="BB2" s="68"/>
      <c r="BC2" s="68"/>
      <c r="BD2" s="68"/>
      <c r="BE2" s="68"/>
      <c r="BF2" s="68"/>
      <c r="BG2" s="68"/>
      <c r="BH2" s="68"/>
      <c r="BI2" s="68"/>
      <c r="BJ2" s="68"/>
    </row>
    <row r="3" spans="1:62" s="59" customFormat="1" ht="15" thickBot="1" x14ac:dyDescent="0.35">
      <c r="R3" s="27"/>
      <c r="AQ3" s="68"/>
      <c r="AR3" s="68"/>
      <c r="AS3" s="68"/>
      <c r="AT3" s="68"/>
      <c r="AU3" s="68"/>
      <c r="AV3" s="68"/>
      <c r="AW3" s="68"/>
      <c r="AX3" s="68"/>
      <c r="AY3" s="68"/>
      <c r="AZ3" s="68"/>
      <c r="BA3" s="68"/>
      <c r="BB3" s="68"/>
      <c r="BC3" s="68"/>
      <c r="BD3" s="68"/>
      <c r="BE3" s="68"/>
      <c r="BF3" s="68"/>
      <c r="BG3" s="68"/>
      <c r="BH3" s="68"/>
      <c r="BI3" s="68"/>
      <c r="BJ3" s="68"/>
    </row>
    <row r="4" spans="1:62" ht="29.4" thickBot="1" x14ac:dyDescent="0.35">
      <c r="A4" s="2"/>
      <c r="B4" s="3"/>
      <c r="C4" s="96" t="s">
        <v>116</v>
      </c>
      <c r="D4" s="21" t="s">
        <v>20</v>
      </c>
      <c r="F4" s="398" t="s">
        <v>35</v>
      </c>
      <c r="G4" s="51"/>
      <c r="H4" s="404" t="s">
        <v>77</v>
      </c>
      <c r="I4" s="405"/>
      <c r="J4" s="405"/>
      <c r="K4" s="405"/>
      <c r="L4" s="405"/>
      <c r="M4" s="405"/>
      <c r="N4" s="405"/>
      <c r="O4" s="405"/>
      <c r="P4" s="405"/>
      <c r="Q4" s="405"/>
      <c r="R4" s="405"/>
      <c r="S4" s="405"/>
      <c r="T4" s="405"/>
      <c r="U4" s="405"/>
      <c r="V4" s="405"/>
      <c r="W4" s="405"/>
      <c r="X4" s="405"/>
      <c r="Y4" s="405"/>
      <c r="Z4" s="406"/>
      <c r="AA4" s="84"/>
      <c r="AB4" s="84"/>
      <c r="AC4" s="84"/>
      <c r="AD4" s="84"/>
      <c r="AE4" s="84"/>
      <c r="AF4" s="84"/>
      <c r="AG4" s="84"/>
      <c r="AH4" s="84"/>
      <c r="AI4" s="84"/>
      <c r="AJ4" s="84"/>
      <c r="AK4" s="98"/>
      <c r="AL4" s="98"/>
      <c r="AM4" s="98"/>
      <c r="AQ4" s="68"/>
      <c r="AR4" s="68"/>
      <c r="AS4" s="68"/>
      <c r="AT4" s="68"/>
      <c r="AU4" s="68"/>
      <c r="AV4" s="68"/>
      <c r="AW4" s="68"/>
      <c r="AX4" s="68"/>
      <c r="AY4" s="68"/>
      <c r="AZ4" s="68"/>
      <c r="BA4" s="68"/>
      <c r="BB4" s="68"/>
      <c r="BC4" s="68"/>
      <c r="BD4" s="68"/>
      <c r="BE4" s="68"/>
      <c r="BF4" s="68"/>
      <c r="BG4" s="68"/>
      <c r="BH4" s="68"/>
      <c r="BI4" s="68"/>
      <c r="BJ4" s="68"/>
    </row>
    <row r="5" spans="1:62" ht="15" thickBot="1" x14ac:dyDescent="0.35">
      <c r="A5" s="8" t="s">
        <v>21</v>
      </c>
      <c r="B5" s="19" t="s">
        <v>22</v>
      </c>
      <c r="C5" s="95" t="s">
        <v>99</v>
      </c>
      <c r="D5" s="12" t="s">
        <v>0</v>
      </c>
      <c r="F5" s="399"/>
      <c r="G5" s="137" t="s">
        <v>75</v>
      </c>
      <c r="H5" s="147">
        <v>2000</v>
      </c>
      <c r="I5" s="148">
        <v>2001</v>
      </c>
      <c r="J5" s="148">
        <v>2002</v>
      </c>
      <c r="K5" s="148">
        <v>2003</v>
      </c>
      <c r="L5" s="148">
        <v>2004</v>
      </c>
      <c r="M5" s="148">
        <v>2005</v>
      </c>
      <c r="N5" s="148">
        <v>2006</v>
      </c>
      <c r="O5" s="148">
        <v>2007</v>
      </c>
      <c r="P5" s="148">
        <v>2008</v>
      </c>
      <c r="Q5" s="148">
        <v>2009</v>
      </c>
      <c r="R5" s="357">
        <v>2010</v>
      </c>
      <c r="S5" s="148">
        <v>2011</v>
      </c>
      <c r="T5" s="148">
        <v>2012</v>
      </c>
      <c r="U5" s="148">
        <v>2013</v>
      </c>
      <c r="V5" s="148">
        <v>2014</v>
      </c>
      <c r="W5" s="148">
        <v>2015</v>
      </c>
      <c r="X5" s="148">
        <v>2016</v>
      </c>
      <c r="Y5" s="148">
        <v>2017</v>
      </c>
      <c r="Z5" s="181">
        <v>2018</v>
      </c>
      <c r="AA5" s="320">
        <v>2019</v>
      </c>
      <c r="AB5" s="320">
        <v>2020</v>
      </c>
      <c r="AC5" s="189"/>
      <c r="AD5" s="84"/>
      <c r="AE5" s="84"/>
      <c r="AF5" s="84"/>
      <c r="AG5" s="84"/>
      <c r="AH5" s="84"/>
      <c r="AI5" s="84"/>
      <c r="AJ5" s="84"/>
      <c r="AK5" s="6"/>
      <c r="AL5" s="6"/>
      <c r="AM5" s="6"/>
      <c r="AQ5" s="68"/>
      <c r="AR5" s="68"/>
      <c r="AS5" s="68"/>
      <c r="AT5" s="68"/>
      <c r="AU5" s="68"/>
      <c r="AV5" s="68"/>
      <c r="AW5" s="68"/>
      <c r="AX5" s="68"/>
      <c r="AY5" s="68"/>
      <c r="AZ5" s="68"/>
      <c r="BA5" s="68"/>
      <c r="BB5" s="68"/>
      <c r="BC5" s="68"/>
      <c r="BD5" s="68"/>
      <c r="BE5" s="68"/>
      <c r="BF5" s="68"/>
      <c r="BG5" s="68"/>
      <c r="BH5" s="68"/>
      <c r="BI5" s="68"/>
      <c r="BJ5" s="68"/>
    </row>
    <row r="6" spans="1:62" ht="15" thickBot="1" x14ac:dyDescent="0.35">
      <c r="A6" s="93" t="s">
        <v>14</v>
      </c>
      <c r="B6" s="59" t="s">
        <v>26</v>
      </c>
      <c r="C6" s="87">
        <f>W6</f>
        <v>1760</v>
      </c>
      <c r="D6" s="72" t="str">
        <f t="shared" ref="D6:D22" si="0">IF($B6="CMA",$C6/D$24,"")</f>
        <v/>
      </c>
      <c r="F6" s="28" t="s">
        <v>36</v>
      </c>
      <c r="G6" s="138" t="s">
        <v>14</v>
      </c>
      <c r="H6" s="143">
        <v>626</v>
      </c>
      <c r="I6" s="140">
        <v>3217</v>
      </c>
      <c r="J6" s="140">
        <v>5334</v>
      </c>
      <c r="K6" s="140">
        <v>3204</v>
      </c>
      <c r="L6" s="140">
        <v>2019</v>
      </c>
      <c r="M6" s="140">
        <v>2880</v>
      </c>
      <c r="N6" s="140">
        <v>4078</v>
      </c>
      <c r="O6" s="140">
        <v>4667</v>
      </c>
      <c r="P6" s="140">
        <v>2803</v>
      </c>
      <c r="Q6" s="140">
        <v>3188</v>
      </c>
      <c r="R6" s="214">
        <v>2838</v>
      </c>
      <c r="S6" s="140">
        <v>1784</v>
      </c>
      <c r="T6" s="140">
        <v>2416</v>
      </c>
      <c r="U6" s="140">
        <v>1769</v>
      </c>
      <c r="V6" s="140">
        <v>1377</v>
      </c>
      <c r="W6" s="140">
        <v>1760</v>
      </c>
      <c r="X6" s="140">
        <v>1511</v>
      </c>
      <c r="Y6" s="140">
        <v>1511</v>
      </c>
      <c r="Z6" s="174">
        <v>1552</v>
      </c>
      <c r="AA6" s="180">
        <v>1062</v>
      </c>
      <c r="AB6" s="180">
        <v>513</v>
      </c>
      <c r="AC6" s="173"/>
      <c r="AD6" s="84"/>
      <c r="AE6" s="84"/>
      <c r="AF6" s="84"/>
      <c r="AG6" s="84"/>
      <c r="AH6" s="84"/>
      <c r="AI6" s="84"/>
      <c r="AJ6" s="84"/>
      <c r="AK6" s="99"/>
      <c r="AL6" s="99"/>
      <c r="AM6" s="6"/>
      <c r="AQ6" s="68"/>
      <c r="AR6" s="68"/>
      <c r="AS6" s="68"/>
      <c r="AT6" s="68"/>
      <c r="AU6" s="68"/>
      <c r="AV6" s="68"/>
      <c r="AW6" s="68"/>
      <c r="AX6" s="68"/>
      <c r="AY6" s="68"/>
      <c r="AZ6" s="68"/>
      <c r="BA6" s="68"/>
      <c r="BB6" s="68"/>
      <c r="BC6" s="68"/>
      <c r="BD6" s="68"/>
      <c r="BE6" s="68"/>
      <c r="BF6" s="68"/>
      <c r="BG6" s="68"/>
      <c r="BH6" s="68"/>
      <c r="BI6" s="68"/>
      <c r="BJ6" s="68"/>
    </row>
    <row r="7" spans="1:62" ht="15" thickBot="1" x14ac:dyDescent="0.35">
      <c r="A7" s="94" t="s">
        <v>1</v>
      </c>
      <c r="B7" s="59" t="s">
        <v>20</v>
      </c>
      <c r="C7" s="85">
        <f>W7</f>
        <v>945</v>
      </c>
      <c r="D7" s="72">
        <f t="shared" si="0"/>
        <v>1.4968637141227904E-2</v>
      </c>
      <c r="F7" s="28" t="s">
        <v>37</v>
      </c>
      <c r="G7" s="138" t="s">
        <v>1</v>
      </c>
      <c r="H7" s="143">
        <v>359</v>
      </c>
      <c r="I7" s="140">
        <v>554</v>
      </c>
      <c r="J7" s="140">
        <v>505</v>
      </c>
      <c r="K7" s="140">
        <v>391</v>
      </c>
      <c r="L7" s="140">
        <v>587</v>
      </c>
      <c r="M7" s="140">
        <v>619</v>
      </c>
      <c r="N7" s="140">
        <v>2526</v>
      </c>
      <c r="O7" s="140">
        <v>1867</v>
      </c>
      <c r="P7" s="140">
        <v>1256</v>
      </c>
      <c r="Q7" s="140">
        <v>1471</v>
      </c>
      <c r="R7" s="214">
        <v>745</v>
      </c>
      <c r="S7" s="140">
        <v>652</v>
      </c>
      <c r="T7" s="140">
        <v>702</v>
      </c>
      <c r="U7" s="140">
        <v>757</v>
      </c>
      <c r="V7" s="140">
        <v>728</v>
      </c>
      <c r="W7" s="140">
        <v>945</v>
      </c>
      <c r="X7" s="140">
        <v>910</v>
      </c>
      <c r="Y7" s="140">
        <v>830</v>
      </c>
      <c r="Z7" s="140">
        <v>751</v>
      </c>
      <c r="AA7" s="175">
        <v>796</v>
      </c>
      <c r="AB7" s="175">
        <v>1158</v>
      </c>
      <c r="AC7" s="173"/>
      <c r="AD7" s="84"/>
      <c r="AE7" s="84"/>
      <c r="AF7" s="84"/>
      <c r="AG7" s="84"/>
      <c r="AH7" s="84"/>
      <c r="AI7" s="84"/>
      <c r="AJ7" s="84"/>
      <c r="AK7" s="99"/>
      <c r="AL7" s="6"/>
      <c r="AM7" s="6"/>
      <c r="AQ7" s="68"/>
      <c r="AR7" s="68"/>
      <c r="AS7" s="68"/>
      <c r="AT7" s="68"/>
      <c r="AU7" s="68"/>
      <c r="AV7" s="68"/>
      <c r="AW7" s="68"/>
      <c r="AX7" s="68"/>
      <c r="AY7" s="68"/>
      <c r="AZ7" s="68"/>
      <c r="BA7" s="68"/>
      <c r="BB7" s="68"/>
      <c r="BC7" s="68"/>
      <c r="BD7" s="68"/>
      <c r="BE7" s="68"/>
      <c r="BF7" s="68"/>
      <c r="BG7" s="68"/>
      <c r="BH7" s="68"/>
      <c r="BI7" s="68"/>
      <c r="BJ7" s="68"/>
    </row>
    <row r="8" spans="1:62" ht="15" thickBot="1" x14ac:dyDescent="0.35">
      <c r="A8" s="94" t="s">
        <v>2</v>
      </c>
      <c r="B8" s="59" t="s">
        <v>19</v>
      </c>
      <c r="C8" s="85">
        <f>W8</f>
        <v>4556</v>
      </c>
      <c r="D8" s="72" t="str">
        <f t="shared" si="0"/>
        <v/>
      </c>
      <c r="F8" s="28" t="s">
        <v>38</v>
      </c>
      <c r="G8" s="138" t="s">
        <v>2</v>
      </c>
      <c r="H8" s="143"/>
      <c r="I8" s="140">
        <v>9</v>
      </c>
      <c r="J8" s="140">
        <v>1136</v>
      </c>
      <c r="K8" s="140">
        <v>1874</v>
      </c>
      <c r="L8" s="140">
        <v>2172</v>
      </c>
      <c r="M8" s="140">
        <v>2292</v>
      </c>
      <c r="N8" s="140">
        <v>1993</v>
      </c>
      <c r="O8" s="140">
        <v>2999</v>
      </c>
      <c r="P8" s="140">
        <v>2467</v>
      </c>
      <c r="Q8" s="140">
        <v>4643</v>
      </c>
      <c r="R8" s="214">
        <v>4911</v>
      </c>
      <c r="S8" s="140">
        <v>5559</v>
      </c>
      <c r="T8" s="140">
        <v>10627</v>
      </c>
      <c r="U8" s="140">
        <v>5985</v>
      </c>
      <c r="V8" s="140">
        <v>4483</v>
      </c>
      <c r="W8" s="140">
        <v>4556</v>
      </c>
      <c r="X8" s="140">
        <v>4757</v>
      </c>
      <c r="Y8" s="140">
        <v>3310</v>
      </c>
      <c r="Z8" s="140">
        <v>4715</v>
      </c>
      <c r="AA8" s="175">
        <v>5302</v>
      </c>
      <c r="AB8" s="175">
        <v>2441</v>
      </c>
      <c r="AC8" s="173"/>
      <c r="AD8" s="84"/>
      <c r="AE8" s="84"/>
      <c r="AF8" s="84"/>
      <c r="AG8" s="84"/>
      <c r="AH8" s="84"/>
      <c r="AI8" s="84"/>
      <c r="AJ8" s="84"/>
      <c r="AK8" s="99"/>
      <c r="AL8" s="6"/>
      <c r="AM8" s="6"/>
      <c r="AQ8" s="68"/>
      <c r="AR8" s="68"/>
      <c r="AS8" s="68"/>
      <c r="AT8" s="68"/>
      <c r="AU8" s="68"/>
      <c r="AV8" s="68"/>
      <c r="AW8" s="68"/>
      <c r="AX8" s="68"/>
      <c r="AY8" s="68"/>
      <c r="AZ8" s="68"/>
      <c r="BA8" s="68"/>
      <c r="BB8" s="68"/>
      <c r="BC8" s="68"/>
      <c r="BD8" s="68"/>
      <c r="BE8" s="68"/>
      <c r="BF8" s="68"/>
      <c r="BG8" s="68"/>
      <c r="BH8" s="68"/>
      <c r="BI8" s="68"/>
      <c r="BJ8" s="68"/>
    </row>
    <row r="9" spans="1:62" ht="15" thickBot="1" x14ac:dyDescent="0.35">
      <c r="A9" s="94" t="s">
        <v>3</v>
      </c>
      <c r="B9" s="59" t="s">
        <v>20</v>
      </c>
      <c r="C9" s="85">
        <f>W9</f>
        <v>5643</v>
      </c>
      <c r="D9" s="72">
        <f t="shared" si="0"/>
        <v>8.93841475004752E-2</v>
      </c>
      <c r="F9" s="28" t="s">
        <v>39</v>
      </c>
      <c r="G9" s="138" t="s">
        <v>3</v>
      </c>
      <c r="H9" s="143">
        <v>4503</v>
      </c>
      <c r="I9" s="140">
        <v>7294</v>
      </c>
      <c r="J9" s="140">
        <v>6284</v>
      </c>
      <c r="K9" s="140">
        <v>4053</v>
      </c>
      <c r="L9" s="140">
        <v>6066</v>
      </c>
      <c r="M9" s="140">
        <v>5598</v>
      </c>
      <c r="N9" s="140">
        <v>5473</v>
      </c>
      <c r="O9" s="140">
        <v>3998</v>
      </c>
      <c r="P9" s="140">
        <v>4520</v>
      </c>
      <c r="Q9" s="140">
        <v>5609</v>
      </c>
      <c r="R9" s="214">
        <v>5771</v>
      </c>
      <c r="S9" s="140">
        <v>4165</v>
      </c>
      <c r="T9" s="140">
        <v>4165</v>
      </c>
      <c r="U9" s="140">
        <v>3642</v>
      </c>
      <c r="V9" s="140">
        <v>3916</v>
      </c>
      <c r="W9" s="140">
        <v>5643</v>
      </c>
      <c r="X9" s="140">
        <v>4783</v>
      </c>
      <c r="Y9" s="140">
        <v>5871</v>
      </c>
      <c r="Z9" s="140">
        <v>5466</v>
      </c>
      <c r="AA9" s="175">
        <v>5140</v>
      </c>
      <c r="AB9" s="175">
        <v>3826</v>
      </c>
      <c r="AC9" s="173"/>
      <c r="AD9" s="84"/>
      <c r="AE9" s="84"/>
      <c r="AF9" s="84"/>
      <c r="AG9" s="84"/>
      <c r="AH9" s="84"/>
      <c r="AI9" s="84"/>
      <c r="AJ9" s="84"/>
      <c r="AK9" s="99"/>
      <c r="AL9" s="6"/>
      <c r="AM9" s="6"/>
      <c r="AQ9" s="68"/>
      <c r="AR9" s="68"/>
      <c r="AS9" s="68"/>
      <c r="AT9" s="68"/>
      <c r="AU9" s="68"/>
      <c r="AV9" s="68"/>
      <c r="AW9" s="68"/>
      <c r="AX9" s="68"/>
      <c r="AY9" s="68"/>
      <c r="AZ9" s="68"/>
      <c r="BA9" s="68"/>
      <c r="BB9" s="68"/>
      <c r="BC9" s="68"/>
      <c r="BD9" s="68"/>
      <c r="BE9" s="68"/>
      <c r="BF9" s="68"/>
      <c r="BG9" s="68"/>
      <c r="BH9" s="68"/>
      <c r="BI9" s="68"/>
      <c r="BJ9" s="68"/>
    </row>
    <row r="10" spans="1:62" ht="15" thickBot="1" x14ac:dyDescent="0.35">
      <c r="A10" s="94" t="s">
        <v>69</v>
      </c>
      <c r="B10" s="59" t="s">
        <v>26</v>
      </c>
      <c r="C10" s="85">
        <f>W10+W27</f>
        <v>23222</v>
      </c>
      <c r="D10" s="72" t="str">
        <f t="shared" si="0"/>
        <v/>
      </c>
      <c r="F10" s="136" t="s">
        <v>62</v>
      </c>
      <c r="G10" s="139" t="s">
        <v>69</v>
      </c>
      <c r="H10" s="144">
        <v>12828</v>
      </c>
      <c r="I10" s="141">
        <v>22174</v>
      </c>
      <c r="J10" s="141">
        <v>28042</v>
      </c>
      <c r="K10" s="141">
        <v>25659</v>
      </c>
      <c r="L10" s="141">
        <v>23827</v>
      </c>
      <c r="M10" s="141">
        <v>23315</v>
      </c>
      <c r="N10" s="141">
        <v>19167</v>
      </c>
      <c r="O10" s="141">
        <v>16276</v>
      </c>
      <c r="P10" s="141">
        <v>23030</v>
      </c>
      <c r="Q10" s="141">
        <v>30260</v>
      </c>
      <c r="R10" s="214">
        <v>40349</v>
      </c>
      <c r="S10" s="141">
        <v>22910</v>
      </c>
      <c r="T10" s="141">
        <v>29764</v>
      </c>
      <c r="U10" s="141">
        <v>29698</v>
      </c>
      <c r="V10" s="141">
        <v>19984</v>
      </c>
      <c r="W10" s="141">
        <v>23045</v>
      </c>
      <c r="X10" s="141">
        <v>16818</v>
      </c>
      <c r="Y10" s="141">
        <v>35799</v>
      </c>
      <c r="Z10" s="176">
        <v>27400</v>
      </c>
      <c r="AA10" s="177">
        <v>31355</v>
      </c>
      <c r="AB10" s="177">
        <v>28199</v>
      </c>
      <c r="AC10" s="190"/>
      <c r="AD10" s="84"/>
      <c r="AE10" s="84"/>
      <c r="AF10" s="84"/>
      <c r="AG10" s="84"/>
      <c r="AH10" s="84"/>
      <c r="AI10" s="84"/>
      <c r="AJ10" s="84"/>
      <c r="AK10" s="99"/>
      <c r="AL10" s="6"/>
      <c r="AM10" s="6"/>
      <c r="AQ10" s="68"/>
      <c r="AR10" s="68"/>
      <c r="AS10" s="68"/>
      <c r="AT10" s="68"/>
      <c r="AU10" s="68"/>
      <c r="AV10" s="68"/>
      <c r="AW10" s="68"/>
      <c r="AX10" s="68"/>
      <c r="AY10" s="68"/>
      <c r="AZ10" s="68"/>
      <c r="BA10" s="68"/>
      <c r="BB10" s="68"/>
      <c r="BC10" s="68"/>
      <c r="BD10" s="68"/>
      <c r="BE10" s="68"/>
      <c r="BF10" s="68"/>
      <c r="BG10" s="68"/>
      <c r="BH10" s="68"/>
      <c r="BI10" s="68"/>
      <c r="BJ10" s="68"/>
    </row>
    <row r="11" spans="1:62" ht="15" thickBot="1" x14ac:dyDescent="0.35">
      <c r="A11" s="94" t="s">
        <v>13</v>
      </c>
      <c r="B11" s="59" t="s">
        <v>25</v>
      </c>
      <c r="C11" s="85">
        <f>W11</f>
        <v>2578</v>
      </c>
      <c r="D11" s="72" t="str">
        <f t="shared" si="0"/>
        <v/>
      </c>
      <c r="F11" s="28" t="s">
        <v>63</v>
      </c>
      <c r="G11" s="138" t="s">
        <v>13</v>
      </c>
      <c r="H11" s="143">
        <v>269</v>
      </c>
      <c r="I11" s="140">
        <v>726</v>
      </c>
      <c r="J11" s="140">
        <v>758</v>
      </c>
      <c r="K11" s="140">
        <v>673</v>
      </c>
      <c r="L11" s="140">
        <v>832</v>
      </c>
      <c r="M11" s="140">
        <v>239</v>
      </c>
      <c r="N11" s="140">
        <v>299</v>
      </c>
      <c r="O11" s="140">
        <v>675</v>
      </c>
      <c r="P11" s="140">
        <v>360</v>
      </c>
      <c r="Q11" s="140">
        <v>1125</v>
      </c>
      <c r="R11" s="214">
        <v>1290</v>
      </c>
      <c r="S11" s="140">
        <v>550</v>
      </c>
      <c r="T11" s="140">
        <v>1218</v>
      </c>
      <c r="U11" s="140">
        <v>828</v>
      </c>
      <c r="V11" s="140">
        <v>1258</v>
      </c>
      <c r="W11" s="140">
        <v>2578</v>
      </c>
      <c r="X11" s="140">
        <v>4752</v>
      </c>
      <c r="Y11" s="140">
        <v>426</v>
      </c>
      <c r="Z11" s="140">
        <v>72</v>
      </c>
      <c r="AA11" s="175">
        <v>1127</v>
      </c>
      <c r="AB11" s="175">
        <v>2837</v>
      </c>
      <c r="AC11" s="173"/>
      <c r="AD11" s="84"/>
      <c r="AE11" s="84"/>
      <c r="AF11" s="84"/>
      <c r="AG11" s="84"/>
      <c r="AH11" s="84"/>
      <c r="AI11" s="84"/>
      <c r="AJ11" s="84"/>
      <c r="AK11" s="99"/>
      <c r="AL11" s="6"/>
      <c r="AM11" s="6"/>
      <c r="AQ11" s="68"/>
      <c r="AR11" s="68"/>
      <c r="AS11" s="68"/>
      <c r="AT11" s="68"/>
      <c r="AU11" s="68"/>
      <c r="AV11" s="68"/>
      <c r="AW11" s="68"/>
      <c r="AX11" s="68"/>
      <c r="AY11" s="68"/>
      <c r="AZ11" s="68"/>
      <c r="BA11" s="68"/>
      <c r="BB11" s="68"/>
      <c r="BC11" s="68"/>
      <c r="BD11" s="68"/>
      <c r="BE11" s="68"/>
      <c r="BF11" s="68"/>
      <c r="BG11" s="68"/>
      <c r="BH11" s="68"/>
      <c r="BI11" s="68"/>
      <c r="BJ11" s="68"/>
    </row>
    <row r="12" spans="1:62" ht="15" thickBot="1" x14ac:dyDescent="0.35">
      <c r="A12" s="94" t="s">
        <v>16</v>
      </c>
      <c r="B12" s="59" t="s">
        <v>26</v>
      </c>
      <c r="C12" s="85">
        <f>W12</f>
        <v>1578</v>
      </c>
      <c r="D12" s="72" t="str">
        <f t="shared" si="0"/>
        <v/>
      </c>
      <c r="F12" s="28" t="s">
        <v>40</v>
      </c>
      <c r="G12" s="138" t="s">
        <v>16</v>
      </c>
      <c r="H12" s="143">
        <v>885</v>
      </c>
      <c r="I12" s="140">
        <v>1015</v>
      </c>
      <c r="J12" s="140">
        <v>1160</v>
      </c>
      <c r="K12" s="140">
        <v>1087</v>
      </c>
      <c r="L12" s="140">
        <v>1367</v>
      </c>
      <c r="M12" s="140">
        <v>1579</v>
      </c>
      <c r="N12" s="140">
        <v>1348</v>
      </c>
      <c r="O12" s="140">
        <v>1312</v>
      </c>
      <c r="P12" s="140">
        <v>1484</v>
      </c>
      <c r="Q12" s="140">
        <v>1611</v>
      </c>
      <c r="R12" s="214">
        <v>1932</v>
      </c>
      <c r="S12" s="140">
        <v>1734</v>
      </c>
      <c r="T12" s="140">
        <v>1711</v>
      </c>
      <c r="U12" s="140">
        <v>1713</v>
      </c>
      <c r="V12" s="140">
        <v>1628</v>
      </c>
      <c r="W12" s="140">
        <v>1578</v>
      </c>
      <c r="X12" s="140">
        <v>1745</v>
      </c>
      <c r="Y12" s="140">
        <v>1719</v>
      </c>
      <c r="Z12" s="140">
        <v>1742</v>
      </c>
      <c r="AA12" s="175">
        <v>2009</v>
      </c>
      <c r="AB12" s="178">
        <v>1896</v>
      </c>
      <c r="AC12" s="173"/>
      <c r="AD12" s="84"/>
      <c r="AE12" s="84"/>
      <c r="AF12" s="84"/>
      <c r="AG12" s="84"/>
      <c r="AH12" s="84"/>
      <c r="AI12" s="84"/>
      <c r="AJ12" s="84"/>
      <c r="AK12" s="99"/>
      <c r="AL12" s="6"/>
      <c r="AM12" s="6"/>
      <c r="AQ12" s="68"/>
      <c r="AR12" s="68"/>
      <c r="AS12" s="68"/>
      <c r="AT12" s="68"/>
      <c r="AU12" s="68"/>
      <c r="AV12" s="68"/>
      <c r="AW12" s="68"/>
      <c r="AX12" s="68"/>
      <c r="AY12" s="68"/>
      <c r="AZ12" s="68"/>
      <c r="BA12" s="68"/>
      <c r="BB12" s="68"/>
      <c r="BC12" s="68"/>
      <c r="BD12" s="68"/>
      <c r="BE12" s="68"/>
      <c r="BF12" s="68"/>
      <c r="BG12" s="68"/>
      <c r="BH12" s="68"/>
      <c r="BI12" s="68"/>
      <c r="BJ12" s="68"/>
    </row>
    <row r="13" spans="1:62" ht="15" thickBot="1" x14ac:dyDescent="0.35">
      <c r="A13" s="94" t="s">
        <v>4</v>
      </c>
      <c r="B13" s="59" t="s">
        <v>20</v>
      </c>
      <c r="C13" s="85">
        <f>W13</f>
        <v>196</v>
      </c>
      <c r="D13" s="72">
        <f t="shared" si="0"/>
        <v>3.1046062218843058E-3</v>
      </c>
      <c r="F13" s="28" t="s">
        <v>41</v>
      </c>
      <c r="G13" s="138" t="s">
        <v>4</v>
      </c>
      <c r="H13" s="143" t="s">
        <v>64</v>
      </c>
      <c r="I13" s="140" t="s">
        <v>64</v>
      </c>
      <c r="J13" s="140">
        <v>34</v>
      </c>
      <c r="K13" s="140" t="s">
        <v>64</v>
      </c>
      <c r="L13" s="140" t="s">
        <v>64</v>
      </c>
      <c r="M13" s="140">
        <v>55</v>
      </c>
      <c r="N13" s="140">
        <v>258</v>
      </c>
      <c r="O13" s="140">
        <v>216</v>
      </c>
      <c r="P13" s="140">
        <v>337</v>
      </c>
      <c r="Q13" s="140">
        <v>241</v>
      </c>
      <c r="R13" s="214">
        <v>196</v>
      </c>
      <c r="S13" s="140">
        <v>0</v>
      </c>
      <c r="T13" s="140">
        <v>0</v>
      </c>
      <c r="U13" s="140">
        <v>362</v>
      </c>
      <c r="V13" s="140">
        <v>208</v>
      </c>
      <c r="W13" s="140">
        <v>196</v>
      </c>
      <c r="X13" s="140">
        <v>88</v>
      </c>
      <c r="Y13" s="140">
        <v>14</v>
      </c>
      <c r="Z13" s="140">
        <v>364</v>
      </c>
      <c r="AA13" s="175">
        <v>386</v>
      </c>
      <c r="AB13" s="175">
        <v>165</v>
      </c>
      <c r="AC13" s="173"/>
      <c r="AD13" s="84"/>
      <c r="AE13" s="84"/>
      <c r="AF13" s="84"/>
      <c r="AG13" s="84"/>
      <c r="AH13" s="84"/>
      <c r="AI13" s="84"/>
      <c r="AJ13" s="84"/>
      <c r="AK13" s="99"/>
      <c r="AL13" s="6"/>
      <c r="AM13" s="6"/>
      <c r="AQ13" s="68"/>
      <c r="AR13" s="68"/>
      <c r="AS13" s="68"/>
      <c r="AT13" s="68"/>
      <c r="AU13" s="68"/>
      <c r="AV13" s="68"/>
      <c r="AW13" s="68"/>
      <c r="AX13" s="68"/>
      <c r="AY13" s="68"/>
      <c r="AZ13" s="68"/>
      <c r="BA13" s="68"/>
      <c r="BB13" s="68"/>
      <c r="BC13" s="68"/>
      <c r="BD13" s="68"/>
      <c r="BE13" s="68"/>
      <c r="BF13" s="68"/>
      <c r="BG13" s="68"/>
      <c r="BH13" s="68"/>
      <c r="BI13" s="68"/>
      <c r="BJ13" s="68"/>
    </row>
    <row r="14" spans="1:62" ht="15" thickBot="1" x14ac:dyDescent="0.35">
      <c r="A14" s="94" t="s">
        <v>5</v>
      </c>
      <c r="B14" s="59" t="s">
        <v>20</v>
      </c>
      <c r="C14" s="85">
        <f>W14+W28</f>
        <v>2648</v>
      </c>
      <c r="D14" s="72">
        <f t="shared" si="0"/>
        <v>4.1943863650763483E-2</v>
      </c>
      <c r="F14" s="28" t="s">
        <v>42</v>
      </c>
      <c r="G14" s="138" t="s">
        <v>5</v>
      </c>
      <c r="H14" s="143">
        <v>1334</v>
      </c>
      <c r="I14" s="140">
        <v>2593</v>
      </c>
      <c r="J14" s="140">
        <v>2522</v>
      </c>
      <c r="K14" s="140">
        <v>2936</v>
      </c>
      <c r="L14" s="140">
        <v>1246</v>
      </c>
      <c r="M14" s="140">
        <v>602</v>
      </c>
      <c r="N14" s="140">
        <v>496</v>
      </c>
      <c r="O14" s="140">
        <v>277</v>
      </c>
      <c r="P14" s="140">
        <v>382</v>
      </c>
      <c r="Q14" s="140">
        <v>422</v>
      </c>
      <c r="R14" s="214">
        <v>460</v>
      </c>
      <c r="S14" s="140">
        <v>418</v>
      </c>
      <c r="T14" s="140">
        <v>266</v>
      </c>
      <c r="U14" s="140">
        <v>302</v>
      </c>
      <c r="V14" s="140">
        <v>311</v>
      </c>
      <c r="W14" s="140">
        <v>223</v>
      </c>
      <c r="X14" s="140">
        <v>233</v>
      </c>
      <c r="Y14" s="140">
        <v>181</v>
      </c>
      <c r="Z14" s="140">
        <v>239</v>
      </c>
      <c r="AA14" s="175">
        <v>845</v>
      </c>
      <c r="AB14" s="175">
        <v>171</v>
      </c>
      <c r="AC14" s="173"/>
      <c r="AD14" s="84"/>
      <c r="AE14" s="84"/>
      <c r="AF14" s="84"/>
      <c r="AG14" s="84"/>
      <c r="AH14" s="84"/>
      <c r="AI14" s="84"/>
      <c r="AJ14" s="84"/>
      <c r="AK14" s="99"/>
      <c r="AL14" s="6"/>
      <c r="AM14" s="6"/>
      <c r="AQ14" s="68"/>
      <c r="AR14" s="68"/>
      <c r="AS14" s="68"/>
      <c r="AT14" s="68"/>
      <c r="AU14" s="68"/>
      <c r="AV14" s="68"/>
      <c r="AW14" s="68"/>
      <c r="AX14" s="68"/>
      <c r="AY14" s="68"/>
      <c r="AZ14" s="68"/>
      <c r="BA14" s="68"/>
      <c r="BB14" s="68"/>
      <c r="BC14" s="68"/>
      <c r="BD14" s="68"/>
      <c r="BE14" s="68"/>
      <c r="BF14" s="68"/>
      <c r="BG14" s="68"/>
      <c r="BH14" s="68"/>
      <c r="BI14" s="68"/>
      <c r="BJ14" s="68"/>
    </row>
    <row r="15" spans="1:62" ht="15" thickBot="1" x14ac:dyDescent="0.35">
      <c r="A15" s="94" t="s">
        <v>15</v>
      </c>
      <c r="B15" s="59" t="s">
        <v>26</v>
      </c>
      <c r="C15" s="85">
        <f t="shared" ref="C15:C22" si="1">W15</f>
        <v>3418</v>
      </c>
      <c r="D15" s="72" t="str">
        <f t="shared" si="0"/>
        <v/>
      </c>
      <c r="F15" s="28" t="s">
        <v>43</v>
      </c>
      <c r="G15" s="138" t="s">
        <v>15</v>
      </c>
      <c r="H15" s="143">
        <v>3463</v>
      </c>
      <c r="I15" s="140">
        <v>4261</v>
      </c>
      <c r="J15" s="140">
        <v>4555</v>
      </c>
      <c r="K15" s="140">
        <v>3813</v>
      </c>
      <c r="L15" s="140">
        <v>2211</v>
      </c>
      <c r="M15" s="140">
        <v>2259</v>
      </c>
      <c r="N15" s="140">
        <v>2846</v>
      </c>
      <c r="O15" s="140">
        <v>3924</v>
      </c>
      <c r="P15" s="140">
        <v>3060</v>
      </c>
      <c r="Q15" s="140">
        <v>3560</v>
      </c>
      <c r="R15" s="214">
        <v>3482</v>
      </c>
      <c r="S15" s="140">
        <v>3224</v>
      </c>
      <c r="T15" s="140">
        <v>3591</v>
      </c>
      <c r="U15" s="140">
        <v>3495</v>
      </c>
      <c r="V15" s="140">
        <v>3744</v>
      </c>
      <c r="W15" s="140">
        <v>3418</v>
      </c>
      <c r="X15" s="140">
        <v>3276</v>
      </c>
      <c r="Y15" s="140">
        <v>2148</v>
      </c>
      <c r="Z15" s="140">
        <v>3058</v>
      </c>
      <c r="AA15" s="175">
        <v>3439</v>
      </c>
      <c r="AB15" s="175">
        <v>2812</v>
      </c>
      <c r="AC15" s="173"/>
      <c r="AD15" s="84"/>
      <c r="AE15" s="84"/>
      <c r="AF15" s="84"/>
      <c r="AG15" s="84"/>
      <c r="AH15" s="84"/>
      <c r="AI15" s="84"/>
      <c r="AJ15" s="84"/>
      <c r="AK15" s="99"/>
      <c r="AL15" s="6"/>
      <c r="AM15" s="6"/>
      <c r="AQ15" s="68"/>
      <c r="AR15" s="68"/>
      <c r="AS15" s="68"/>
      <c r="AT15" s="68"/>
      <c r="AU15" s="68"/>
      <c r="AV15" s="68"/>
      <c r="AW15" s="68"/>
      <c r="AX15" s="68"/>
      <c r="AY15" s="68"/>
      <c r="AZ15" s="68"/>
      <c r="BA15" s="68"/>
      <c r="BB15" s="68"/>
      <c r="BC15" s="68"/>
      <c r="BD15" s="68"/>
      <c r="BE15" s="68"/>
      <c r="BF15" s="68"/>
      <c r="BG15" s="68"/>
      <c r="BH15" s="68"/>
      <c r="BI15" s="68"/>
      <c r="BJ15" s="68"/>
    </row>
    <row r="16" spans="1:62" ht="15" thickBot="1" x14ac:dyDescent="0.35">
      <c r="A16" s="94" t="s">
        <v>6</v>
      </c>
      <c r="B16" s="59" t="s">
        <v>25</v>
      </c>
      <c r="C16" s="85">
        <f t="shared" si="1"/>
        <v>459</v>
      </c>
      <c r="D16" s="72" t="str">
        <f t="shared" si="0"/>
        <v/>
      </c>
      <c r="F16" s="28" t="s">
        <v>65</v>
      </c>
      <c r="G16" s="138" t="s">
        <v>6</v>
      </c>
      <c r="H16" s="143">
        <v>105</v>
      </c>
      <c r="I16" s="140">
        <v>72</v>
      </c>
      <c r="J16" s="140">
        <v>82</v>
      </c>
      <c r="K16" s="140">
        <v>645</v>
      </c>
      <c r="L16" s="140">
        <v>1529</v>
      </c>
      <c r="M16" s="140">
        <v>2181</v>
      </c>
      <c r="N16" s="140">
        <v>1790</v>
      </c>
      <c r="O16" s="140">
        <v>1919</v>
      </c>
      <c r="P16" s="140">
        <v>507</v>
      </c>
      <c r="Q16" s="140">
        <v>864</v>
      </c>
      <c r="R16" s="214">
        <v>795</v>
      </c>
      <c r="S16" s="140">
        <v>294</v>
      </c>
      <c r="T16" s="140">
        <v>801</v>
      </c>
      <c r="U16" s="140">
        <v>237</v>
      </c>
      <c r="V16" s="140">
        <v>310</v>
      </c>
      <c r="W16" s="140">
        <v>459</v>
      </c>
      <c r="X16" s="140">
        <v>1185</v>
      </c>
      <c r="Y16" s="140">
        <v>1613</v>
      </c>
      <c r="Z16" s="140">
        <v>1451</v>
      </c>
      <c r="AA16" s="175">
        <v>756</v>
      </c>
      <c r="AB16" s="175">
        <v>753</v>
      </c>
      <c r="AC16" s="173"/>
      <c r="AD16" s="84"/>
      <c r="AE16" s="84"/>
      <c r="AF16" s="84"/>
      <c r="AG16" s="84"/>
      <c r="AH16" s="84"/>
      <c r="AI16" s="84"/>
      <c r="AJ16" s="84"/>
      <c r="AK16" s="99"/>
      <c r="AL16" s="6"/>
      <c r="AM16" s="6"/>
      <c r="AQ16" s="68"/>
      <c r="AR16" s="68"/>
      <c r="AS16" s="68"/>
      <c r="AT16" s="68"/>
      <c r="AU16" s="68"/>
      <c r="AV16" s="68"/>
      <c r="AW16" s="68"/>
      <c r="AX16" s="68"/>
      <c r="AY16" s="68"/>
      <c r="AZ16" s="68"/>
      <c r="BA16" s="68"/>
      <c r="BB16" s="68"/>
      <c r="BC16" s="68"/>
      <c r="BD16" s="68"/>
      <c r="BE16" s="68"/>
      <c r="BF16" s="68"/>
      <c r="BG16" s="68"/>
      <c r="BH16" s="68"/>
      <c r="BI16" s="68"/>
      <c r="BJ16" s="68"/>
    </row>
    <row r="17" spans="1:62" ht="15" thickBot="1" x14ac:dyDescent="0.35">
      <c r="A17" s="94" t="s">
        <v>7</v>
      </c>
      <c r="B17" s="59" t="s">
        <v>20</v>
      </c>
      <c r="C17" s="85">
        <f t="shared" si="1"/>
        <v>6887</v>
      </c>
      <c r="D17" s="72">
        <f t="shared" si="0"/>
        <v>0.10908889311284294</v>
      </c>
      <c r="F17" s="28" t="s">
        <v>44</v>
      </c>
      <c r="G17" s="138" t="s">
        <v>7</v>
      </c>
      <c r="H17" s="143">
        <v>404</v>
      </c>
      <c r="I17" s="140">
        <v>189</v>
      </c>
      <c r="J17" s="140">
        <v>1084</v>
      </c>
      <c r="K17" s="140">
        <v>980</v>
      </c>
      <c r="L17" s="140">
        <v>2450</v>
      </c>
      <c r="M17" s="140">
        <v>2742</v>
      </c>
      <c r="N17" s="140">
        <v>6476</v>
      </c>
      <c r="O17" s="140">
        <v>5035</v>
      </c>
      <c r="P17" s="140">
        <v>6637</v>
      </c>
      <c r="Q17" s="140">
        <v>10112</v>
      </c>
      <c r="R17" s="214">
        <v>6021</v>
      </c>
      <c r="S17" s="140">
        <v>6424</v>
      </c>
      <c r="T17" s="140">
        <v>8172</v>
      </c>
      <c r="U17" s="140">
        <v>9074</v>
      </c>
      <c r="V17" s="140">
        <v>13111</v>
      </c>
      <c r="W17" s="140">
        <v>6887</v>
      </c>
      <c r="X17" s="140">
        <v>3748</v>
      </c>
      <c r="Y17" s="140">
        <v>5548</v>
      </c>
      <c r="Z17" s="140">
        <v>7022</v>
      </c>
      <c r="AA17" s="175">
        <v>4498</v>
      </c>
      <c r="AB17" s="175">
        <v>3793</v>
      </c>
      <c r="AC17" s="173"/>
      <c r="AD17" s="84"/>
      <c r="AE17" s="84"/>
      <c r="AF17" s="84"/>
      <c r="AG17" s="84"/>
      <c r="AH17" s="84"/>
      <c r="AI17" s="84"/>
      <c r="AJ17" s="84"/>
      <c r="AK17" s="99"/>
      <c r="AL17" s="6"/>
      <c r="AM17" s="6"/>
      <c r="AQ17" s="68"/>
      <c r="AR17" s="68"/>
      <c r="AS17" s="68"/>
      <c r="AT17" s="68"/>
      <c r="AU17" s="68"/>
      <c r="AV17" s="68"/>
      <c r="AW17" s="68"/>
      <c r="AX17" s="68"/>
      <c r="AY17" s="68"/>
      <c r="AZ17" s="68"/>
      <c r="BA17" s="68"/>
      <c r="BB17" s="68"/>
      <c r="BC17" s="68"/>
      <c r="BD17" s="68"/>
      <c r="BE17" s="68"/>
      <c r="BF17" s="68"/>
      <c r="BG17" s="68"/>
      <c r="BH17" s="68"/>
      <c r="BI17" s="68"/>
      <c r="BJ17" s="68"/>
    </row>
    <row r="18" spans="1:62" ht="15" thickBot="1" x14ac:dyDescent="0.35">
      <c r="A18" s="94" t="s">
        <v>8</v>
      </c>
      <c r="B18" s="59" t="s">
        <v>20</v>
      </c>
      <c r="C18" s="85">
        <f t="shared" si="1"/>
        <v>1867</v>
      </c>
      <c r="D18" s="72">
        <f t="shared" si="0"/>
        <v>2.9572958246214281E-2</v>
      </c>
      <c r="F18" s="28" t="s">
        <v>45</v>
      </c>
      <c r="G18" s="138" t="s">
        <v>8</v>
      </c>
      <c r="H18" s="143"/>
      <c r="I18" s="140"/>
      <c r="J18" s="140"/>
      <c r="K18" s="140"/>
      <c r="L18" s="140"/>
      <c r="M18" s="140"/>
      <c r="N18" s="140"/>
      <c r="O18" s="140">
        <v>0</v>
      </c>
      <c r="P18" s="140">
        <v>144</v>
      </c>
      <c r="Q18" s="140">
        <v>0</v>
      </c>
      <c r="R18" s="214">
        <v>0</v>
      </c>
      <c r="S18" s="140">
        <v>108</v>
      </c>
      <c r="T18" s="140">
        <v>250</v>
      </c>
      <c r="U18" s="140">
        <v>0</v>
      </c>
      <c r="V18" s="140">
        <v>7</v>
      </c>
      <c r="W18" s="140">
        <v>1867</v>
      </c>
      <c r="X18" s="140">
        <v>2447</v>
      </c>
      <c r="Y18" s="140">
        <v>1662</v>
      </c>
      <c r="Z18" s="140">
        <v>632</v>
      </c>
      <c r="AA18" s="178">
        <v>1970</v>
      </c>
      <c r="AB18" s="175">
        <v>1066</v>
      </c>
      <c r="AC18" s="173"/>
      <c r="AD18" s="84"/>
      <c r="AE18" s="84"/>
      <c r="AF18" s="84"/>
      <c r="AG18" s="84"/>
      <c r="AH18" s="84"/>
      <c r="AI18" s="84"/>
      <c r="AJ18" s="84"/>
      <c r="AK18" s="99"/>
      <c r="AL18" s="6"/>
      <c r="AM18" s="6"/>
      <c r="AQ18" s="68"/>
      <c r="AR18" s="68"/>
      <c r="AS18" s="68"/>
      <c r="AT18" s="68"/>
      <c r="AU18" s="68"/>
      <c r="AV18" s="68"/>
      <c r="AW18" s="68"/>
      <c r="AX18" s="68"/>
      <c r="AY18" s="68"/>
      <c r="AZ18" s="68"/>
      <c r="BA18" s="68"/>
      <c r="BB18" s="68"/>
      <c r="BC18" s="68"/>
      <c r="BD18" s="68"/>
      <c r="BE18" s="68"/>
      <c r="BF18" s="68"/>
      <c r="BG18" s="68"/>
      <c r="BH18" s="68"/>
      <c r="BI18" s="68"/>
      <c r="BJ18" s="68"/>
    </row>
    <row r="19" spans="1:62" ht="15" thickBot="1" x14ac:dyDescent="0.35">
      <c r="A19" s="94" t="s">
        <v>9</v>
      </c>
      <c r="B19" s="59" t="s">
        <v>20</v>
      </c>
      <c r="C19" s="85">
        <f t="shared" si="1"/>
        <v>710</v>
      </c>
      <c r="D19" s="72">
        <f t="shared" si="0"/>
        <v>1.1246277640499271E-2</v>
      </c>
      <c r="F19" s="28" t="s">
        <v>46</v>
      </c>
      <c r="G19" s="138" t="s">
        <v>9</v>
      </c>
      <c r="H19" s="143">
        <v>858</v>
      </c>
      <c r="I19" s="140">
        <v>1074</v>
      </c>
      <c r="J19" s="140">
        <v>845</v>
      </c>
      <c r="K19" s="140">
        <v>318</v>
      </c>
      <c r="L19" s="140">
        <v>206</v>
      </c>
      <c r="M19" s="140">
        <v>256</v>
      </c>
      <c r="N19" s="140">
        <v>405</v>
      </c>
      <c r="O19" s="140">
        <v>354</v>
      </c>
      <c r="P19" s="140">
        <v>220</v>
      </c>
      <c r="Q19" s="140">
        <v>124</v>
      </c>
      <c r="R19" s="214">
        <v>57</v>
      </c>
      <c r="S19" s="140">
        <v>36</v>
      </c>
      <c r="T19" s="140">
        <v>760</v>
      </c>
      <c r="U19" s="140">
        <v>1471</v>
      </c>
      <c r="V19" s="140">
        <v>264</v>
      </c>
      <c r="W19" s="140">
        <v>710</v>
      </c>
      <c r="X19" s="140">
        <v>1105</v>
      </c>
      <c r="Y19" s="140">
        <v>611</v>
      </c>
      <c r="Z19" s="140">
        <v>655</v>
      </c>
      <c r="AA19" s="175">
        <v>1213</v>
      </c>
      <c r="AB19" s="178">
        <v>829</v>
      </c>
      <c r="AC19" s="173"/>
      <c r="AD19" s="84"/>
      <c r="AE19" s="84"/>
      <c r="AF19" s="84"/>
      <c r="AG19" s="84"/>
      <c r="AH19" s="84"/>
      <c r="AI19" s="84"/>
      <c r="AJ19" s="84"/>
      <c r="AK19" s="99"/>
      <c r="AL19" s="6"/>
      <c r="AM19" s="6"/>
      <c r="AQ19" s="68"/>
      <c r="AR19" s="68"/>
      <c r="AS19" s="68"/>
      <c r="AT19" s="68"/>
      <c r="AU19" s="68"/>
      <c r="AV19" s="68"/>
      <c r="AW19" s="68"/>
      <c r="AX19" s="68"/>
      <c r="AY19" s="68"/>
      <c r="AZ19" s="68"/>
      <c r="BA19" s="68"/>
      <c r="BB19" s="68"/>
      <c r="BC19" s="68"/>
      <c r="BD19" s="68"/>
      <c r="BE19" s="68"/>
      <c r="BF19" s="68"/>
      <c r="BG19" s="68"/>
      <c r="BH19" s="68"/>
      <c r="BI19" s="68"/>
      <c r="BJ19" s="68"/>
    </row>
    <row r="20" spans="1:62" ht="15" thickBot="1" x14ac:dyDescent="0.35">
      <c r="A20" s="94" t="s">
        <v>10</v>
      </c>
      <c r="B20" s="59" t="s">
        <v>20</v>
      </c>
      <c r="C20" s="85">
        <f t="shared" si="1"/>
        <v>406</v>
      </c>
      <c r="D20" s="72">
        <f t="shared" si="0"/>
        <v>6.4309700310460618E-3</v>
      </c>
      <c r="F20" s="28" t="s">
        <v>47</v>
      </c>
      <c r="G20" s="138" t="s">
        <v>10</v>
      </c>
      <c r="H20" s="143">
        <v>240</v>
      </c>
      <c r="I20" s="140">
        <v>103</v>
      </c>
      <c r="J20" s="140">
        <v>186</v>
      </c>
      <c r="K20" s="140">
        <v>52</v>
      </c>
      <c r="L20" s="140">
        <v>224</v>
      </c>
      <c r="M20" s="140">
        <v>296</v>
      </c>
      <c r="N20" s="140">
        <v>8</v>
      </c>
      <c r="O20" s="140">
        <v>459</v>
      </c>
      <c r="P20" s="140">
        <v>159</v>
      </c>
      <c r="Q20" s="140">
        <v>351</v>
      </c>
      <c r="R20" s="214">
        <v>675</v>
      </c>
      <c r="S20" s="140">
        <v>467</v>
      </c>
      <c r="T20" s="140">
        <v>930</v>
      </c>
      <c r="U20" s="140">
        <v>1491</v>
      </c>
      <c r="V20" s="140">
        <v>475</v>
      </c>
      <c r="W20" s="140">
        <v>406</v>
      </c>
      <c r="X20" s="140">
        <v>1501</v>
      </c>
      <c r="Y20" s="140">
        <v>1426</v>
      </c>
      <c r="Z20" s="140">
        <v>944</v>
      </c>
      <c r="AA20" s="175">
        <v>1448</v>
      </c>
      <c r="AB20" s="175">
        <v>665</v>
      </c>
      <c r="AC20" s="173"/>
      <c r="AD20" s="84"/>
      <c r="AE20" s="84"/>
      <c r="AF20" s="84"/>
      <c r="AG20" s="84"/>
      <c r="AH20" s="84"/>
      <c r="AI20" s="84"/>
      <c r="AJ20" s="84"/>
      <c r="AK20" s="99"/>
      <c r="AL20" s="6"/>
      <c r="AM20" s="6"/>
      <c r="AQ20" s="68"/>
      <c r="AR20" s="68"/>
      <c r="AS20" s="68"/>
      <c r="AT20" s="68"/>
      <c r="AU20" s="68"/>
      <c r="AV20" s="68"/>
      <c r="AW20" s="68"/>
      <c r="AX20" s="68"/>
      <c r="AY20" s="68"/>
      <c r="AZ20" s="68"/>
      <c r="BA20" s="68"/>
      <c r="BB20" s="68"/>
      <c r="BC20" s="68"/>
      <c r="BD20" s="68"/>
      <c r="BE20" s="68"/>
      <c r="BF20" s="68"/>
      <c r="BG20" s="68"/>
      <c r="BH20" s="68"/>
      <c r="BI20" s="68"/>
      <c r="BJ20" s="68"/>
    </row>
    <row r="21" spans="1:62" ht="15" thickBot="1" x14ac:dyDescent="0.35">
      <c r="A21" s="94" t="s">
        <v>11</v>
      </c>
      <c r="B21" s="59" t="s">
        <v>20</v>
      </c>
      <c r="C21" s="85">
        <f t="shared" si="1"/>
        <v>5419</v>
      </c>
      <c r="D21" s="72">
        <f t="shared" si="0"/>
        <v>8.5836026104035984E-2</v>
      </c>
      <c r="F21" s="28" t="s">
        <v>48</v>
      </c>
      <c r="G21" s="138" t="s">
        <v>11</v>
      </c>
      <c r="H21" s="143">
        <v>2901</v>
      </c>
      <c r="I21" s="140">
        <v>2875</v>
      </c>
      <c r="J21" s="140">
        <v>2680</v>
      </c>
      <c r="K21" s="140">
        <v>2946</v>
      </c>
      <c r="L21" s="140">
        <v>4100</v>
      </c>
      <c r="M21" s="140">
        <v>6674</v>
      </c>
      <c r="N21" s="140">
        <v>8335</v>
      </c>
      <c r="O21" s="140">
        <v>5065</v>
      </c>
      <c r="P21" s="140">
        <v>5474</v>
      </c>
      <c r="Q21" s="140">
        <v>5493</v>
      </c>
      <c r="R21" s="214">
        <v>4790</v>
      </c>
      <c r="S21" s="140">
        <v>6077</v>
      </c>
      <c r="T21" s="140">
        <v>4281</v>
      </c>
      <c r="U21" s="140">
        <v>6819</v>
      </c>
      <c r="V21" s="140">
        <v>6604</v>
      </c>
      <c r="W21" s="140">
        <v>5419</v>
      </c>
      <c r="X21" s="140">
        <v>7513</v>
      </c>
      <c r="Y21" s="140">
        <v>7972</v>
      </c>
      <c r="Z21" s="140">
        <v>5602</v>
      </c>
      <c r="AA21" s="175">
        <v>3195</v>
      </c>
      <c r="AB21" s="175">
        <v>5180</v>
      </c>
      <c r="AC21" s="173"/>
      <c r="AD21" s="84"/>
      <c r="AE21" s="84"/>
      <c r="AF21" s="84"/>
      <c r="AG21" s="84" t="s">
        <v>211</v>
      </c>
      <c r="AH21" s="84"/>
      <c r="AI21" s="84"/>
      <c r="AJ21" s="84"/>
      <c r="AK21" s="99"/>
      <c r="AL21" s="6"/>
      <c r="AM21" s="6"/>
      <c r="AQ21" s="68"/>
      <c r="AR21" s="68"/>
      <c r="AS21" s="68"/>
      <c r="AT21" s="68"/>
      <c r="AU21" s="68"/>
      <c r="AV21" s="68"/>
      <c r="AW21" s="68"/>
      <c r="AX21" s="68"/>
      <c r="AY21" s="68"/>
      <c r="AZ21" s="68"/>
      <c r="BA21" s="68"/>
      <c r="BB21" s="68"/>
      <c r="BC21" s="68"/>
      <c r="BD21" s="68"/>
      <c r="BE21" s="68"/>
      <c r="BF21" s="68"/>
      <c r="BG21" s="68"/>
      <c r="BH21" s="68"/>
      <c r="BI21" s="68"/>
      <c r="BJ21" s="68"/>
    </row>
    <row r="22" spans="1:62" ht="15" thickBot="1" x14ac:dyDescent="0.35">
      <c r="A22" s="94" t="s">
        <v>12</v>
      </c>
      <c r="B22" s="59" t="s">
        <v>20</v>
      </c>
      <c r="C22" s="85">
        <f t="shared" si="1"/>
        <v>840</v>
      </c>
      <c r="D22" s="72">
        <f t="shared" si="0"/>
        <v>1.3305455236647026E-2</v>
      </c>
      <c r="F22" s="28" t="s">
        <v>66</v>
      </c>
      <c r="G22" s="138" t="s">
        <v>12</v>
      </c>
      <c r="H22" s="143">
        <v>4067</v>
      </c>
      <c r="I22" s="140">
        <v>4820</v>
      </c>
      <c r="J22" s="140">
        <v>4205</v>
      </c>
      <c r="K22" s="140">
        <v>2253</v>
      </c>
      <c r="L22" s="140">
        <v>1233</v>
      </c>
      <c r="M22" s="140">
        <v>1263</v>
      </c>
      <c r="N22" s="140">
        <v>2113</v>
      </c>
      <c r="O22" s="140">
        <v>3113</v>
      </c>
      <c r="P22" s="140">
        <v>2342</v>
      </c>
      <c r="Q22" s="140">
        <v>2816</v>
      </c>
      <c r="R22" s="214">
        <v>2529</v>
      </c>
      <c r="S22" s="140">
        <v>1415</v>
      </c>
      <c r="T22" s="140">
        <v>2038</v>
      </c>
      <c r="U22" s="140">
        <v>1642</v>
      </c>
      <c r="V22" s="140">
        <v>800</v>
      </c>
      <c r="W22" s="140">
        <v>840</v>
      </c>
      <c r="X22" s="140">
        <v>823</v>
      </c>
      <c r="Y22" s="140">
        <v>1638</v>
      </c>
      <c r="Z22" s="140">
        <v>1364</v>
      </c>
      <c r="AA22" s="175">
        <v>1442</v>
      </c>
      <c r="AB22" s="175">
        <v>700</v>
      </c>
      <c r="AC22" s="173"/>
      <c r="AD22" s="84"/>
      <c r="AE22" s="84"/>
      <c r="AF22" s="84"/>
      <c r="AG22" s="84"/>
      <c r="AH22" s="84"/>
      <c r="AI22" s="84"/>
      <c r="AJ22" s="84"/>
      <c r="AK22" s="99"/>
      <c r="AL22" s="6"/>
      <c r="AM22" s="6"/>
      <c r="AQ22" s="68"/>
      <c r="AR22" s="68"/>
      <c r="AS22" s="68"/>
      <c r="AT22" s="68"/>
      <c r="AU22" s="68"/>
      <c r="AV22" s="68"/>
      <c r="AW22" s="68"/>
      <c r="AX22" s="68"/>
      <c r="AY22" s="68"/>
      <c r="AZ22" s="68"/>
      <c r="BA22" s="68"/>
      <c r="BB22" s="68"/>
      <c r="BC22" s="68"/>
      <c r="BD22" s="68"/>
      <c r="BE22" s="68"/>
      <c r="BF22" s="68"/>
      <c r="BG22" s="68"/>
      <c r="BH22" s="68"/>
      <c r="BI22" s="68"/>
      <c r="BJ22" s="68"/>
    </row>
    <row r="23" spans="1:62" ht="15" thickBot="1" x14ac:dyDescent="0.35">
      <c r="A23" s="88" t="s">
        <v>27</v>
      </c>
      <c r="B23" s="88"/>
      <c r="C23" s="86">
        <f>SUM(C6:C22)</f>
        <v>63132</v>
      </c>
      <c r="D23" s="15">
        <f>SUM(D6:D22)</f>
        <v>0.40488183488563639</v>
      </c>
      <c r="F23" s="29" t="s">
        <v>67</v>
      </c>
      <c r="G23" s="142"/>
      <c r="H23" s="145">
        <f>SUM(H6:H22)</f>
        <v>32842</v>
      </c>
      <c r="I23" s="146">
        <f t="shared" ref="I23:Z23" si="2">SUM(I6:I22)</f>
        <v>50976</v>
      </c>
      <c r="J23" s="146">
        <f t="shared" si="2"/>
        <v>59412</v>
      </c>
      <c r="K23" s="146">
        <f t="shared" si="2"/>
        <v>50884</v>
      </c>
      <c r="L23" s="146">
        <f t="shared" si="2"/>
        <v>50069</v>
      </c>
      <c r="M23" s="146">
        <f t="shared" si="2"/>
        <v>52850</v>
      </c>
      <c r="N23" s="146">
        <f>SUM(N6:N22)</f>
        <v>57611</v>
      </c>
      <c r="O23" s="146">
        <f t="shared" si="2"/>
        <v>52156</v>
      </c>
      <c r="P23" s="146">
        <f t="shared" si="2"/>
        <v>55182</v>
      </c>
      <c r="Q23" s="146">
        <f t="shared" si="2"/>
        <v>71890</v>
      </c>
      <c r="R23" s="358">
        <f t="shared" si="2"/>
        <v>76841</v>
      </c>
      <c r="S23" s="146">
        <f>SUM(S6:S22)</f>
        <v>55817</v>
      </c>
      <c r="T23" s="146">
        <f t="shared" si="2"/>
        <v>71692</v>
      </c>
      <c r="U23" s="146">
        <f t="shared" si="2"/>
        <v>69285</v>
      </c>
      <c r="V23" s="146">
        <f t="shared" si="2"/>
        <v>59208</v>
      </c>
      <c r="W23" s="146">
        <f t="shared" si="2"/>
        <v>60530</v>
      </c>
      <c r="X23" s="146">
        <f t="shared" si="2"/>
        <v>57195</v>
      </c>
      <c r="Y23" s="146">
        <f t="shared" si="2"/>
        <v>72279</v>
      </c>
      <c r="Z23" s="172">
        <f t="shared" si="2"/>
        <v>63029</v>
      </c>
      <c r="AA23" s="179">
        <f>SUM(AA6:AA22)</f>
        <v>65983</v>
      </c>
      <c r="AB23" s="179">
        <f>SUM(AB6:AB22)</f>
        <v>57004</v>
      </c>
      <c r="AC23" s="173"/>
      <c r="AD23" s="84"/>
      <c r="AE23" s="84"/>
      <c r="AF23" s="84"/>
      <c r="AG23" s="84"/>
      <c r="AH23" s="84"/>
      <c r="AI23" s="84"/>
      <c r="AJ23" s="84"/>
      <c r="AK23" s="6"/>
      <c r="AL23" s="6"/>
      <c r="AM23" s="6"/>
      <c r="AQ23" s="68"/>
      <c r="AR23" s="68"/>
      <c r="AS23" s="68"/>
      <c r="AT23" s="68"/>
      <c r="AU23" s="68"/>
      <c r="AV23" s="68"/>
      <c r="AW23" s="68"/>
      <c r="AX23" s="68"/>
      <c r="AY23" s="68"/>
      <c r="AZ23" s="68"/>
      <c r="BA23" s="68"/>
      <c r="BB23" s="68"/>
      <c r="BC23" s="68"/>
      <c r="BD23" s="68"/>
      <c r="BE23" s="68"/>
      <c r="BF23" s="68"/>
      <c r="BG23" s="68"/>
      <c r="BH23" s="68"/>
      <c r="BI23" s="68"/>
      <c r="BJ23" s="68"/>
    </row>
    <row r="24" spans="1:62" ht="15" thickBot="1" x14ac:dyDescent="0.35">
      <c r="A24" s="97" t="s">
        <v>117</v>
      </c>
      <c r="D24" s="16">
        <f>DSUM(CATCH,$C$5,$AQ$5:$AQ$6)</f>
        <v>63132</v>
      </c>
      <c r="F24" s="59"/>
      <c r="G24" s="59"/>
      <c r="H24" s="59"/>
      <c r="I24" s="59"/>
      <c r="J24" s="59"/>
      <c r="K24" s="59"/>
      <c r="L24" s="59"/>
      <c r="M24" s="59"/>
      <c r="N24" s="59"/>
      <c r="O24" s="59"/>
      <c r="P24" s="59"/>
      <c r="Q24" s="59"/>
      <c r="S24" s="59"/>
      <c r="T24" s="59"/>
      <c r="U24" s="59"/>
      <c r="V24" s="59"/>
      <c r="W24" s="59"/>
      <c r="AA24" s="169"/>
      <c r="AB24" s="169"/>
      <c r="AC24" s="173"/>
      <c r="AD24" s="27"/>
      <c r="AE24" s="27"/>
      <c r="AF24" s="27"/>
      <c r="AG24" s="27"/>
      <c r="AH24" s="27"/>
      <c r="AI24" s="27"/>
      <c r="AJ24" s="27"/>
      <c r="AQ24" s="68"/>
      <c r="AR24" s="68"/>
      <c r="AS24" s="68"/>
      <c r="AT24" s="68"/>
      <c r="AU24" s="68"/>
      <c r="AV24" s="68"/>
      <c r="AW24" s="68"/>
      <c r="AX24" s="68"/>
      <c r="AY24" s="68"/>
      <c r="AZ24" s="68"/>
      <c r="BA24" s="68"/>
      <c r="BB24" s="68"/>
      <c r="BC24" s="68"/>
      <c r="BD24" s="68"/>
      <c r="BE24" s="68"/>
      <c r="BF24" s="68"/>
      <c r="BG24" s="68"/>
      <c r="BH24" s="68"/>
      <c r="BI24" s="68"/>
      <c r="BJ24" s="68"/>
    </row>
    <row r="25" spans="1:62" x14ac:dyDescent="0.3">
      <c r="F25" s="400" t="s">
        <v>61</v>
      </c>
      <c r="G25" s="54"/>
      <c r="H25" s="407" t="s">
        <v>76</v>
      </c>
      <c r="I25" s="408"/>
      <c r="J25" s="408"/>
      <c r="K25" s="408"/>
      <c r="L25" s="408"/>
      <c r="M25" s="408"/>
      <c r="N25" s="408"/>
      <c r="O25" s="408"/>
      <c r="P25" s="408"/>
      <c r="Q25" s="408"/>
      <c r="R25" s="408"/>
      <c r="S25" s="408"/>
      <c r="T25" s="408"/>
      <c r="U25" s="408"/>
      <c r="V25" s="408"/>
      <c r="W25" s="408"/>
      <c r="X25" s="408"/>
      <c r="Y25" s="408"/>
      <c r="Z25" s="408"/>
      <c r="AA25" s="408"/>
      <c r="AB25" s="408"/>
      <c r="AC25" s="168"/>
      <c r="AD25" s="84"/>
      <c r="AE25" s="84"/>
      <c r="AF25" s="84"/>
      <c r="AG25" s="84"/>
      <c r="AH25" s="84"/>
      <c r="AI25" s="84"/>
      <c r="AJ25" s="84"/>
      <c r="AQ25" s="68"/>
      <c r="AR25" s="68"/>
      <c r="AS25" s="68"/>
      <c r="AT25" s="68"/>
      <c r="AU25" s="68"/>
      <c r="AV25" s="68"/>
      <c r="AW25" s="68"/>
      <c r="AX25" s="68"/>
      <c r="AY25" s="68"/>
      <c r="AZ25" s="68"/>
      <c r="BA25" s="68"/>
      <c r="BB25" s="68"/>
      <c r="BC25" s="68"/>
      <c r="BD25" s="68"/>
      <c r="BE25" s="68"/>
      <c r="BF25" s="68"/>
      <c r="BG25" s="68"/>
      <c r="BH25" s="68"/>
      <c r="BI25" s="68"/>
      <c r="BJ25" s="68"/>
    </row>
    <row r="26" spans="1:62" ht="15" thickBot="1" x14ac:dyDescent="0.35">
      <c r="F26" s="401"/>
      <c r="G26" s="163"/>
      <c r="H26" s="188">
        <v>2000</v>
      </c>
      <c r="I26" s="188">
        <v>2001</v>
      </c>
      <c r="J26" s="188">
        <v>2002</v>
      </c>
      <c r="K26" s="188">
        <v>2003</v>
      </c>
      <c r="L26" s="188">
        <v>2004</v>
      </c>
      <c r="M26" s="188">
        <v>2005</v>
      </c>
      <c r="N26" s="188">
        <v>2006</v>
      </c>
      <c r="O26" s="188">
        <v>2007</v>
      </c>
      <c r="P26" s="188">
        <v>2008</v>
      </c>
      <c r="Q26" s="188">
        <v>2009</v>
      </c>
      <c r="R26" s="187">
        <v>2010</v>
      </c>
      <c r="S26" s="188">
        <v>2011</v>
      </c>
      <c r="T26" s="188">
        <v>2012</v>
      </c>
      <c r="U26" s="188">
        <v>2013</v>
      </c>
      <c r="V26" s="188">
        <v>2014</v>
      </c>
      <c r="W26" s="188">
        <v>2015</v>
      </c>
      <c r="X26" s="188">
        <v>2016</v>
      </c>
      <c r="Y26" s="188">
        <v>2017</v>
      </c>
      <c r="Z26" s="188">
        <v>2018</v>
      </c>
      <c r="AA26" s="188">
        <v>2019</v>
      </c>
      <c r="AB26" s="188">
        <v>2020</v>
      </c>
      <c r="AC26" s="84"/>
      <c r="AD26" s="84"/>
      <c r="AE26" s="84"/>
      <c r="AF26" s="84"/>
      <c r="AG26" s="84"/>
      <c r="AH26" s="84"/>
      <c r="AI26" s="84"/>
      <c r="AJ26" s="84"/>
      <c r="AQ26" s="68"/>
      <c r="AR26" s="68"/>
      <c r="AS26" s="68"/>
      <c r="AT26" s="68"/>
      <c r="AU26" s="68"/>
      <c r="AV26" s="68"/>
      <c r="AW26" s="68"/>
      <c r="AX26" s="68"/>
      <c r="AY26" s="68"/>
      <c r="AZ26" s="68"/>
      <c r="BA26" s="68"/>
      <c r="BB26" s="68"/>
      <c r="BC26" s="68"/>
      <c r="BD26" s="68"/>
      <c r="BE26" s="68"/>
      <c r="BF26" s="68"/>
      <c r="BG26" s="68"/>
      <c r="BH26" s="68"/>
      <c r="BI26" s="68"/>
      <c r="BJ26" s="68"/>
    </row>
    <row r="27" spans="1:62" ht="15" thickBot="1" x14ac:dyDescent="0.35">
      <c r="F27" s="30" t="s">
        <v>62</v>
      </c>
      <c r="G27" s="138" t="s">
        <v>69</v>
      </c>
      <c r="H27" s="164">
        <v>3119</v>
      </c>
      <c r="I27" s="164">
        <v>2515</v>
      </c>
      <c r="J27" s="164">
        <v>1647</v>
      </c>
      <c r="K27" s="164">
        <v>2262</v>
      </c>
      <c r="L27" s="164">
        <v>1399</v>
      </c>
      <c r="M27" s="164">
        <v>737</v>
      </c>
      <c r="N27" s="164">
        <v>843</v>
      </c>
      <c r="O27" s="164">
        <v>352</v>
      </c>
      <c r="P27" s="164">
        <v>151</v>
      </c>
      <c r="Q27" s="164">
        <v>237</v>
      </c>
      <c r="R27" s="187">
        <v>307</v>
      </c>
      <c r="S27" s="164">
        <v>472</v>
      </c>
      <c r="T27" s="164">
        <v>235</v>
      </c>
      <c r="U27" s="164">
        <v>390</v>
      </c>
      <c r="V27" s="164">
        <v>466</v>
      </c>
      <c r="W27" s="164">
        <v>177</v>
      </c>
      <c r="X27" s="164">
        <v>166</v>
      </c>
      <c r="Y27" s="164">
        <v>860</v>
      </c>
      <c r="Z27" s="164">
        <v>442</v>
      </c>
      <c r="AA27" s="187">
        <v>873</v>
      </c>
      <c r="AB27" s="187">
        <v>1913</v>
      </c>
      <c r="AC27" s="84"/>
      <c r="AD27" s="84"/>
      <c r="AE27" s="84"/>
      <c r="AF27" s="84"/>
      <c r="AG27" s="84"/>
      <c r="AH27" s="84"/>
      <c r="AI27" s="84"/>
      <c r="AJ27" s="84"/>
      <c r="AK27" s="6"/>
      <c r="AL27" s="6"/>
      <c r="AM27" s="6"/>
      <c r="AN27" s="6"/>
      <c r="AO27" s="6"/>
      <c r="AP27" s="6"/>
      <c r="AQ27" s="68"/>
      <c r="AR27" s="68"/>
      <c r="AS27" s="68"/>
      <c r="AT27" s="68"/>
      <c r="AU27" s="68"/>
      <c r="AV27" s="68"/>
      <c r="AW27" s="68"/>
      <c r="AX27" s="68"/>
      <c r="AY27" s="68"/>
      <c r="AZ27" s="68"/>
      <c r="BA27" s="68"/>
      <c r="BB27" s="68"/>
      <c r="BC27" s="68"/>
      <c r="BD27" s="68"/>
      <c r="BE27" s="68"/>
      <c r="BF27" s="68"/>
      <c r="BG27" s="68"/>
      <c r="BH27" s="68"/>
      <c r="BI27" s="68"/>
      <c r="BJ27" s="68"/>
    </row>
    <row r="28" spans="1:62" ht="15" thickBot="1" x14ac:dyDescent="0.35">
      <c r="F28" s="30" t="s">
        <v>42</v>
      </c>
      <c r="G28" s="138" t="s">
        <v>5</v>
      </c>
      <c r="H28" s="164">
        <v>3336</v>
      </c>
      <c r="I28" s="164">
        <v>2736</v>
      </c>
      <c r="J28" s="164">
        <v>3012</v>
      </c>
      <c r="K28" s="164">
        <v>3721</v>
      </c>
      <c r="L28" s="164">
        <v>3212</v>
      </c>
      <c r="M28" s="164">
        <v>2855</v>
      </c>
      <c r="N28" s="164">
        <v>2043</v>
      </c>
      <c r="O28" s="164">
        <v>1736</v>
      </c>
      <c r="P28" s="164">
        <v>3352</v>
      </c>
      <c r="Q28" s="164">
        <v>1794</v>
      </c>
      <c r="R28" s="187">
        <v>1832</v>
      </c>
      <c r="S28" s="164">
        <v>2787</v>
      </c>
      <c r="T28" s="164">
        <v>2727</v>
      </c>
      <c r="U28" s="164">
        <v>2836</v>
      </c>
      <c r="V28" s="164">
        <v>1937</v>
      </c>
      <c r="W28" s="164">
        <v>2425</v>
      </c>
      <c r="X28" s="164">
        <v>2135</v>
      </c>
      <c r="Y28" s="164">
        <v>1959</v>
      </c>
      <c r="Z28" s="164">
        <v>2272</v>
      </c>
      <c r="AA28" s="187">
        <v>1907</v>
      </c>
      <c r="AB28" s="187">
        <v>2859</v>
      </c>
      <c r="AC28" s="84"/>
      <c r="AD28" s="84"/>
      <c r="AE28" s="84"/>
      <c r="AF28" s="84"/>
      <c r="AG28" s="84"/>
      <c r="AH28" s="84"/>
      <c r="AI28" s="84"/>
      <c r="AJ28" s="84"/>
      <c r="AK28" s="6"/>
      <c r="AL28" s="6"/>
      <c r="AM28" s="6"/>
      <c r="AN28" s="6"/>
      <c r="AO28" s="6"/>
      <c r="AP28" s="6"/>
      <c r="AQ28" s="68"/>
      <c r="AR28" s="68"/>
      <c r="AS28" s="68"/>
      <c r="AT28" s="68"/>
      <c r="AU28" s="68"/>
      <c r="AV28" s="68"/>
      <c r="AW28" s="68"/>
      <c r="AX28" s="68"/>
      <c r="AY28" s="68"/>
      <c r="AZ28" s="68"/>
      <c r="BA28" s="68"/>
      <c r="BB28" s="68"/>
      <c r="BC28" s="68"/>
      <c r="BD28" s="68"/>
      <c r="BE28" s="68"/>
      <c r="BF28" s="68"/>
      <c r="BG28" s="68"/>
      <c r="BH28" s="68"/>
      <c r="BI28" s="68"/>
      <c r="BJ28" s="68"/>
    </row>
    <row r="29" spans="1:62" ht="15" thickBot="1" x14ac:dyDescent="0.35">
      <c r="F29" s="165" t="s">
        <v>67</v>
      </c>
      <c r="G29" s="166"/>
      <c r="H29" s="167">
        <v>6455</v>
      </c>
      <c r="I29" s="167">
        <v>5251</v>
      </c>
      <c r="J29" s="167">
        <v>4659</v>
      </c>
      <c r="K29" s="167">
        <v>5983</v>
      </c>
      <c r="L29" s="167">
        <v>4611</v>
      </c>
      <c r="M29" s="167">
        <v>3592</v>
      </c>
      <c r="N29" s="167">
        <v>2886</v>
      </c>
      <c r="O29" s="167">
        <v>2088</v>
      </c>
      <c r="P29" s="167">
        <v>3503</v>
      </c>
      <c r="Q29" s="167">
        <v>2031</v>
      </c>
      <c r="R29" s="359">
        <v>2139</v>
      </c>
      <c r="S29" s="167">
        <v>3259</v>
      </c>
      <c r="T29" s="167">
        <v>2962</v>
      </c>
      <c r="U29" s="167">
        <v>3226</v>
      </c>
      <c r="V29" s="167">
        <v>2403</v>
      </c>
      <c r="W29" s="167">
        <v>2597</v>
      </c>
      <c r="X29" s="167">
        <v>2597</v>
      </c>
      <c r="Y29" s="167">
        <v>2597</v>
      </c>
      <c r="Z29" s="167">
        <v>2597</v>
      </c>
      <c r="AA29" s="167">
        <f>SUM(AA27:AA28)</f>
        <v>2780</v>
      </c>
      <c r="AB29" s="167">
        <f>SUM(AB27:AB28)</f>
        <v>4772</v>
      </c>
      <c r="AC29" s="84"/>
      <c r="AD29" s="84"/>
      <c r="AE29" s="84"/>
      <c r="AF29" s="84"/>
      <c r="AG29" s="84"/>
      <c r="AH29" s="84"/>
      <c r="AI29" s="84"/>
      <c r="AJ29" s="84"/>
      <c r="AK29" s="6"/>
      <c r="AL29" s="6"/>
      <c r="AM29" s="6"/>
      <c r="AN29" s="6"/>
      <c r="AO29" s="6"/>
      <c r="AP29" s="6"/>
      <c r="AQ29" s="68"/>
      <c r="AR29" s="68"/>
      <c r="AS29" s="68"/>
      <c r="AT29" s="68"/>
      <c r="AU29" s="68"/>
      <c r="AV29" s="68"/>
      <c r="AW29" s="68"/>
      <c r="AX29" s="68"/>
      <c r="AY29" s="68"/>
      <c r="AZ29" s="68"/>
      <c r="BA29" s="68"/>
      <c r="BB29" s="68"/>
      <c r="BC29" s="68"/>
      <c r="BD29" s="68"/>
      <c r="BE29" s="68"/>
      <c r="BF29" s="68"/>
      <c r="BG29" s="68"/>
      <c r="BH29" s="68"/>
      <c r="BI29" s="68"/>
      <c r="BJ29" s="68"/>
    </row>
    <row r="30" spans="1:62" x14ac:dyDescent="0.3">
      <c r="AK30" s="68"/>
      <c r="AL30" s="68"/>
      <c r="AM30" s="68"/>
      <c r="AN30" s="68"/>
      <c r="AO30" s="68"/>
      <c r="AP30" s="68"/>
      <c r="AQ30" s="68"/>
      <c r="AR30" s="68"/>
      <c r="AS30" s="68"/>
      <c r="AT30" s="68"/>
      <c r="AU30" s="68"/>
      <c r="AV30" s="68"/>
      <c r="AW30" s="68"/>
      <c r="AX30" s="68"/>
      <c r="AY30" s="68"/>
      <c r="AZ30" s="68"/>
      <c r="BA30" s="68"/>
      <c r="BB30" s="68"/>
      <c r="BC30" s="68"/>
      <c r="BD30" s="68"/>
      <c r="BE30" s="68"/>
      <c r="BF30" s="68"/>
      <c r="BG30" s="68"/>
      <c r="BH30" s="68"/>
      <c r="BI30" s="68"/>
      <c r="BJ30" s="68"/>
    </row>
    <row r="31" spans="1:62" x14ac:dyDescent="0.3">
      <c r="AC31" s="27"/>
      <c r="AD31" s="59" t="s">
        <v>127</v>
      </c>
      <c r="AK31" s="68"/>
      <c r="AL31" s="68"/>
      <c r="AM31" s="68"/>
      <c r="AN31" s="68"/>
      <c r="AO31" s="68"/>
      <c r="AP31" s="68"/>
      <c r="AQ31" s="68"/>
      <c r="AR31" s="68"/>
      <c r="AS31" s="68"/>
      <c r="AT31" s="68"/>
      <c r="AU31" s="68"/>
      <c r="AV31" s="68"/>
      <c r="AW31" s="68"/>
      <c r="AX31" s="68"/>
      <c r="AY31" s="68"/>
      <c r="AZ31" s="68"/>
      <c r="BA31" s="68"/>
      <c r="BB31" s="68"/>
      <c r="BC31" s="68"/>
      <c r="BD31" s="68"/>
      <c r="BE31" s="68"/>
      <c r="BF31" s="68"/>
      <c r="BG31" s="68"/>
      <c r="BH31" s="68"/>
      <c r="BI31" s="68"/>
      <c r="BJ31" s="68"/>
    </row>
    <row r="32" spans="1:62" ht="15" thickBot="1" x14ac:dyDescent="0.35">
      <c r="AC32" s="27"/>
      <c r="AK32" s="68"/>
      <c r="AL32" s="68"/>
      <c r="AM32" s="68"/>
      <c r="AN32" s="68"/>
      <c r="AO32" s="68"/>
      <c r="AP32" s="68"/>
      <c r="AQ32" s="68"/>
      <c r="AR32" s="68"/>
      <c r="AS32" s="68"/>
      <c r="AT32" s="68"/>
      <c r="AU32" s="68"/>
      <c r="AV32" s="68"/>
      <c r="AW32" s="68"/>
      <c r="AX32" s="68"/>
      <c r="AY32" s="68"/>
      <c r="AZ32" s="68"/>
      <c r="BA32" s="68"/>
      <c r="BB32" s="68"/>
      <c r="BC32" s="68"/>
      <c r="BD32" s="68"/>
      <c r="BE32" s="68"/>
      <c r="BF32" s="68"/>
      <c r="BG32" s="68"/>
      <c r="BH32" s="68"/>
      <c r="BI32" s="68"/>
      <c r="BJ32" s="68"/>
    </row>
    <row r="33" spans="6:62" ht="15" thickBot="1" x14ac:dyDescent="0.35">
      <c r="F33" s="402" t="s">
        <v>35</v>
      </c>
      <c r="G33" s="51"/>
      <c r="H33" s="409" t="s">
        <v>77</v>
      </c>
      <c r="I33" s="410"/>
      <c r="J33" s="410"/>
      <c r="K33" s="410"/>
      <c r="L33" s="410"/>
      <c r="M33" s="410"/>
      <c r="N33" s="410"/>
      <c r="O33" s="410"/>
      <c r="P33" s="410"/>
      <c r="Q33" s="410"/>
      <c r="R33" s="410"/>
      <c r="S33" s="410"/>
      <c r="T33" s="410"/>
      <c r="U33" s="410"/>
      <c r="V33" s="410"/>
      <c r="W33" s="410"/>
      <c r="X33" s="410"/>
      <c r="Y33" s="410"/>
      <c r="Z33" s="410"/>
      <c r="AA33" s="410"/>
      <c r="AB33" s="410"/>
      <c r="AC33" s="27"/>
      <c r="AD33" s="196"/>
      <c r="AE33" s="419" t="s">
        <v>266</v>
      </c>
      <c r="AF33" s="421" t="s">
        <v>268</v>
      </c>
      <c r="AG33" s="423" t="s">
        <v>215</v>
      </c>
      <c r="AH33" s="413" t="s">
        <v>216</v>
      </c>
      <c r="AI33" s="415" t="s">
        <v>217</v>
      </c>
      <c r="AJ33" s="417" t="s">
        <v>210</v>
      </c>
      <c r="AK33" s="198"/>
      <c r="AL33" s="238"/>
      <c r="AM33" s="239"/>
      <c r="AN33" s="240"/>
      <c r="AO33" s="240"/>
      <c r="AP33" s="198"/>
      <c r="AQ33" s="198"/>
      <c r="AR33" s="198"/>
      <c r="AS33" s="198"/>
      <c r="AT33" s="198"/>
      <c r="AU33" s="198"/>
      <c r="AV33" s="198"/>
      <c r="AW33" s="198"/>
      <c r="AX33" s="159"/>
      <c r="AY33" s="411"/>
      <c r="AZ33" s="411"/>
      <c r="BA33" s="411"/>
      <c r="BB33" s="412"/>
      <c r="BC33" s="411"/>
      <c r="BD33" s="68"/>
      <c r="BE33" s="159"/>
      <c r="BF33" s="159"/>
      <c r="BG33" s="159"/>
      <c r="BH33" s="159"/>
      <c r="BI33" s="159"/>
      <c r="BJ33" s="159"/>
    </row>
    <row r="34" spans="6:62" ht="15" thickBot="1" x14ac:dyDescent="0.35">
      <c r="F34" s="403"/>
      <c r="G34" s="52" t="s">
        <v>75</v>
      </c>
      <c r="H34" s="183">
        <v>2000</v>
      </c>
      <c r="I34" s="184">
        <v>2001</v>
      </c>
      <c r="J34" s="184">
        <v>2002</v>
      </c>
      <c r="K34" s="184">
        <v>2003</v>
      </c>
      <c r="L34" s="184">
        <v>2004</v>
      </c>
      <c r="M34" s="184">
        <v>2005</v>
      </c>
      <c r="N34" s="184">
        <v>2006</v>
      </c>
      <c r="O34" s="184">
        <v>2007</v>
      </c>
      <c r="P34" s="184">
        <v>2008</v>
      </c>
      <c r="Q34" s="184">
        <v>2009</v>
      </c>
      <c r="R34" s="361">
        <v>2010</v>
      </c>
      <c r="S34" s="184">
        <v>2011</v>
      </c>
      <c r="T34" s="184">
        <v>2012</v>
      </c>
      <c r="U34" s="184">
        <v>2013</v>
      </c>
      <c r="V34" s="184">
        <v>2014</v>
      </c>
      <c r="W34" s="184">
        <v>2015</v>
      </c>
      <c r="X34" s="184">
        <v>2016</v>
      </c>
      <c r="Y34" s="184">
        <v>2017</v>
      </c>
      <c r="Z34" s="185">
        <v>2018</v>
      </c>
      <c r="AA34" s="186">
        <v>2019</v>
      </c>
      <c r="AB34" s="186">
        <v>2020</v>
      </c>
      <c r="AC34" s="189"/>
      <c r="AD34" s="157"/>
      <c r="AE34" s="420"/>
      <c r="AF34" s="422"/>
      <c r="AG34" s="424"/>
      <c r="AH34" s="414"/>
      <c r="AI34" s="416"/>
      <c r="AJ34" s="418"/>
      <c r="AK34" s="198"/>
      <c r="AL34" s="49"/>
      <c r="AM34" s="49"/>
      <c r="AN34" s="241"/>
      <c r="AO34" s="68"/>
      <c r="AP34" s="198"/>
      <c r="AQ34" s="198"/>
      <c r="AR34" s="198"/>
      <c r="AS34" s="198"/>
      <c r="AT34" s="198"/>
      <c r="AU34" s="198"/>
      <c r="AV34" s="198"/>
      <c r="AW34" s="198"/>
      <c r="AX34" s="228"/>
      <c r="AY34" s="411"/>
      <c r="AZ34" s="411"/>
      <c r="BA34" s="411"/>
      <c r="BB34" s="412"/>
      <c r="BC34" s="411"/>
      <c r="BD34" s="68"/>
      <c r="BE34" s="229"/>
      <c r="BF34" s="68"/>
      <c r="BG34" s="68"/>
      <c r="BH34" s="68"/>
      <c r="BI34" s="68"/>
      <c r="BJ34" s="68"/>
    </row>
    <row r="35" spans="6:62" ht="15" thickBot="1" x14ac:dyDescent="0.35">
      <c r="F35" s="28" t="s">
        <v>36</v>
      </c>
      <c r="G35" s="44" t="s">
        <v>14</v>
      </c>
      <c r="H35" s="143">
        <v>626</v>
      </c>
      <c r="I35" s="140">
        <v>3217</v>
      </c>
      <c r="J35" s="140">
        <v>5334</v>
      </c>
      <c r="K35" s="140">
        <v>3204</v>
      </c>
      <c r="L35" s="140">
        <v>2019</v>
      </c>
      <c r="M35" s="215">
        <v>2880</v>
      </c>
      <c r="N35" s="140">
        <v>4078</v>
      </c>
      <c r="O35" s="140">
        <v>4667</v>
      </c>
      <c r="P35" s="140">
        <v>2803</v>
      </c>
      <c r="Q35" s="140">
        <v>3188</v>
      </c>
      <c r="R35" s="214">
        <v>2833</v>
      </c>
      <c r="S35" s="140">
        <v>1782</v>
      </c>
      <c r="T35" s="140">
        <v>2410</v>
      </c>
      <c r="U35" s="140">
        <v>1764</v>
      </c>
      <c r="V35" s="140">
        <v>1376</v>
      </c>
      <c r="W35" s="140">
        <v>1760</v>
      </c>
      <c r="X35" s="140">
        <v>1511</v>
      </c>
      <c r="Y35" s="140">
        <v>1380</v>
      </c>
      <c r="Z35" s="156">
        <v>1427</v>
      </c>
      <c r="AA35" s="182">
        <f>AA6</f>
        <v>1062</v>
      </c>
      <c r="AB35" s="182">
        <f>AB6</f>
        <v>513</v>
      </c>
      <c r="AC35" s="191"/>
      <c r="AD35" s="211" t="s">
        <v>14</v>
      </c>
      <c r="AE35" s="149"/>
      <c r="AF35" s="149"/>
      <c r="AG35" s="149"/>
      <c r="AH35" s="149"/>
      <c r="AI35" s="208"/>
      <c r="AJ35" s="200">
        <f t="shared" ref="AJ35:AJ51" si="3">AVERAGE(V35:X35)</f>
        <v>1549</v>
      </c>
      <c r="AK35" s="155"/>
      <c r="AL35" s="49"/>
      <c r="AM35" s="49"/>
      <c r="AN35" s="241"/>
      <c r="AO35" s="242"/>
      <c r="AP35" s="155"/>
      <c r="AQ35" s="155"/>
      <c r="AR35" s="155"/>
      <c r="AS35" s="155"/>
      <c r="AT35" s="155"/>
      <c r="AU35" s="155"/>
      <c r="AV35" s="155"/>
      <c r="AW35" s="155"/>
      <c r="AX35" s="155"/>
      <c r="AY35" s="232"/>
      <c r="AZ35" s="232"/>
      <c r="BA35" s="232"/>
      <c r="BB35" s="233"/>
      <c r="BC35" s="232"/>
      <c r="BD35" s="68"/>
      <c r="BE35" s="229"/>
      <c r="BF35" s="229"/>
      <c r="BG35" s="229"/>
      <c r="BH35" s="229"/>
      <c r="BI35" s="229"/>
      <c r="BJ35" s="68"/>
    </row>
    <row r="36" spans="6:62" ht="15" thickBot="1" x14ac:dyDescent="0.35">
      <c r="F36" s="28" t="s">
        <v>37</v>
      </c>
      <c r="G36" s="44" t="s">
        <v>1</v>
      </c>
      <c r="H36" s="143">
        <v>359</v>
      </c>
      <c r="I36" s="140">
        <v>554</v>
      </c>
      <c r="J36" s="140">
        <v>505</v>
      </c>
      <c r="K36" s="140">
        <v>391</v>
      </c>
      <c r="L36" s="140">
        <v>587</v>
      </c>
      <c r="M36" s="214">
        <v>619</v>
      </c>
      <c r="N36" s="140">
        <v>2526</v>
      </c>
      <c r="O36" s="140">
        <v>1867</v>
      </c>
      <c r="P36" s="140">
        <v>1256</v>
      </c>
      <c r="Q36" s="140">
        <v>1471</v>
      </c>
      <c r="R36" s="214">
        <v>706</v>
      </c>
      <c r="S36" s="140">
        <v>627</v>
      </c>
      <c r="T36" s="140">
        <v>655</v>
      </c>
      <c r="U36" s="140">
        <v>708</v>
      </c>
      <c r="V36" s="140">
        <v>656</v>
      </c>
      <c r="W36" s="140">
        <v>911</v>
      </c>
      <c r="X36" s="140">
        <v>1007</v>
      </c>
      <c r="Y36" s="140">
        <v>803</v>
      </c>
      <c r="Z36" s="161">
        <v>732</v>
      </c>
      <c r="AA36" s="182">
        <f t="shared" ref="AA36:AB51" si="4">AA7</f>
        <v>796</v>
      </c>
      <c r="AB36" s="182">
        <f t="shared" si="4"/>
        <v>1158</v>
      </c>
      <c r="AC36" s="192"/>
      <c r="AD36" s="157" t="s">
        <v>1</v>
      </c>
      <c r="AE36" s="210">
        <f>SUM(X36,AA36,Y36)/3</f>
        <v>868.66666666666663</v>
      </c>
      <c r="AF36" s="210">
        <f>SUM(N36,O36,Q36,X36,P36)/5</f>
        <v>1625.4</v>
      </c>
      <c r="AG36" s="210">
        <v>2526</v>
      </c>
      <c r="AH36" s="220">
        <v>0.18</v>
      </c>
      <c r="AI36" s="225">
        <v>1E-3</v>
      </c>
      <c r="AJ36" s="200">
        <f t="shared" si="3"/>
        <v>858</v>
      </c>
      <c r="AK36" s="155"/>
      <c r="AL36" s="352"/>
      <c r="AM36" s="49"/>
      <c r="AN36" s="241"/>
      <c r="AO36" s="242"/>
      <c r="AP36" s="155"/>
      <c r="AQ36" s="155"/>
      <c r="AR36" s="155"/>
      <c r="AS36" s="155"/>
      <c r="AT36" s="155"/>
      <c r="AU36" s="155"/>
      <c r="AV36" s="155"/>
      <c r="AW36" s="155"/>
      <c r="AX36" s="155"/>
      <c r="AY36" s="232"/>
      <c r="AZ36" s="232"/>
      <c r="BA36" s="232"/>
      <c r="BB36" s="233"/>
      <c r="BC36" s="232"/>
      <c r="BD36" s="68"/>
      <c r="BE36" s="229"/>
      <c r="BF36" s="229"/>
      <c r="BG36" s="229"/>
      <c r="BH36" s="229"/>
      <c r="BI36" s="229"/>
      <c r="BJ36" s="68"/>
    </row>
    <row r="37" spans="6:62" ht="15" thickBot="1" x14ac:dyDescent="0.35">
      <c r="F37" s="28" t="s">
        <v>38</v>
      </c>
      <c r="G37" s="44" t="s">
        <v>2</v>
      </c>
      <c r="H37" s="143" t="s">
        <v>64</v>
      </c>
      <c r="I37" s="140">
        <v>9</v>
      </c>
      <c r="J37" s="140">
        <v>1136</v>
      </c>
      <c r="K37" s="140">
        <v>1874</v>
      </c>
      <c r="L37" s="140">
        <v>2172</v>
      </c>
      <c r="M37" s="214">
        <v>2292</v>
      </c>
      <c r="N37" s="140">
        <v>1993</v>
      </c>
      <c r="O37" s="140">
        <v>2999</v>
      </c>
      <c r="P37" s="140">
        <v>2467</v>
      </c>
      <c r="Q37" s="140">
        <v>4643</v>
      </c>
      <c r="R37" s="214">
        <v>4861</v>
      </c>
      <c r="S37" s="140">
        <v>5584</v>
      </c>
      <c r="T37" s="140">
        <v>10475</v>
      </c>
      <c r="U37" s="140">
        <v>5989</v>
      </c>
      <c r="V37" s="140">
        <v>4484</v>
      </c>
      <c r="W37" s="140">
        <v>4556</v>
      </c>
      <c r="X37" s="140">
        <v>3178</v>
      </c>
      <c r="Y37" s="156">
        <v>3328</v>
      </c>
      <c r="Z37" s="156">
        <v>3804</v>
      </c>
      <c r="AA37" s="182">
        <f t="shared" si="4"/>
        <v>5302</v>
      </c>
      <c r="AB37" s="182">
        <f t="shared" si="4"/>
        <v>2441</v>
      </c>
      <c r="AC37" s="194"/>
      <c r="AD37" s="157" t="s">
        <v>2</v>
      </c>
      <c r="AE37" s="210">
        <f>SUM(T37,S37,U37)/3</f>
        <v>7349.333333333333</v>
      </c>
      <c r="AF37" s="210">
        <f>SUM(T37,U37,S37,R37,AA37)/5</f>
        <v>6442.2</v>
      </c>
      <c r="AG37" s="210">
        <v>9698</v>
      </c>
      <c r="AH37" s="220">
        <v>0.1</v>
      </c>
      <c r="AI37" s="225">
        <v>0.01</v>
      </c>
      <c r="AJ37" s="200">
        <f t="shared" si="3"/>
        <v>4072.6666666666665</v>
      </c>
      <c r="AK37" s="155"/>
      <c r="AL37" s="352"/>
      <c r="AM37" s="49"/>
      <c r="AN37" s="241"/>
      <c r="AO37" s="242"/>
      <c r="AP37" s="155"/>
      <c r="AQ37" s="155"/>
      <c r="AR37" s="155"/>
      <c r="AS37" s="155"/>
      <c r="AT37" s="155"/>
      <c r="AU37" s="155"/>
      <c r="AV37" s="155"/>
      <c r="AW37" s="155"/>
      <c r="AX37" s="155"/>
      <c r="AY37" s="232"/>
      <c r="AZ37" s="232"/>
      <c r="BA37" s="232"/>
      <c r="BB37" s="233"/>
      <c r="BC37" s="232"/>
      <c r="BD37" s="68"/>
      <c r="BE37" s="229"/>
      <c r="BF37" s="229"/>
      <c r="BG37" s="229"/>
      <c r="BH37" s="229"/>
      <c r="BI37" s="229"/>
      <c r="BJ37" s="68"/>
    </row>
    <row r="38" spans="6:62" ht="15" thickBot="1" x14ac:dyDescent="0.35">
      <c r="F38" s="28" t="s">
        <v>39</v>
      </c>
      <c r="G38" s="44" t="s">
        <v>3</v>
      </c>
      <c r="H38" s="143">
        <v>4503</v>
      </c>
      <c r="I38" s="140">
        <v>7294</v>
      </c>
      <c r="J38" s="140">
        <v>6284</v>
      </c>
      <c r="K38" s="140">
        <v>4053</v>
      </c>
      <c r="L38" s="140">
        <v>6066</v>
      </c>
      <c r="M38" s="214">
        <v>5598</v>
      </c>
      <c r="N38" s="140">
        <v>5473</v>
      </c>
      <c r="O38" s="140">
        <v>3998</v>
      </c>
      <c r="P38" s="140">
        <v>4520</v>
      </c>
      <c r="Q38" s="140">
        <v>5609</v>
      </c>
      <c r="R38" s="214">
        <v>5744</v>
      </c>
      <c r="S38" s="140">
        <v>4156</v>
      </c>
      <c r="T38" s="140">
        <v>4275</v>
      </c>
      <c r="U38" s="140">
        <v>3694</v>
      </c>
      <c r="V38" s="140">
        <v>3927</v>
      </c>
      <c r="W38" s="140">
        <v>5837</v>
      </c>
      <c r="X38" s="140">
        <v>4933</v>
      </c>
      <c r="Y38" s="156">
        <v>5874</v>
      </c>
      <c r="Z38" s="156">
        <v>5633</v>
      </c>
      <c r="AA38" s="182">
        <f t="shared" si="4"/>
        <v>5140</v>
      </c>
      <c r="AB38" s="182">
        <f t="shared" si="4"/>
        <v>3826</v>
      </c>
      <c r="AC38" s="194"/>
      <c r="AD38" s="157" t="s">
        <v>3</v>
      </c>
      <c r="AE38" s="210">
        <f>SUM(R38,Y38,W38)/3</f>
        <v>5818.333333333333</v>
      </c>
      <c r="AF38" s="210">
        <f>SUM(Q38,R38,W38,Y38,Z38)/5</f>
        <v>5739.4</v>
      </c>
      <c r="AG38" s="210">
        <v>7294</v>
      </c>
      <c r="AH38" s="220">
        <v>0.06</v>
      </c>
      <c r="AI38" s="225">
        <v>1.6E-2</v>
      </c>
      <c r="AJ38" s="200">
        <f t="shared" si="3"/>
        <v>4899</v>
      </c>
      <c r="AK38" s="155"/>
      <c r="AL38" s="352"/>
      <c r="AM38" s="49"/>
      <c r="AN38" s="243"/>
      <c r="AO38" s="242"/>
      <c r="AP38" s="155"/>
      <c r="AQ38" s="155"/>
      <c r="AR38" s="155"/>
      <c r="AS38" s="155"/>
      <c r="AT38" s="155"/>
      <c r="AU38" s="155"/>
      <c r="AV38" s="155"/>
      <c r="AW38" s="155"/>
      <c r="AX38" s="155"/>
      <c r="AY38" s="232"/>
      <c r="AZ38" s="232"/>
      <c r="BA38" s="232"/>
      <c r="BB38" s="233"/>
      <c r="BC38" s="232"/>
      <c r="BD38" s="68"/>
      <c r="BE38" s="229"/>
      <c r="BF38" s="229"/>
      <c r="BG38" s="229"/>
      <c r="BH38" s="229"/>
      <c r="BI38" s="229"/>
      <c r="BJ38" s="68"/>
    </row>
    <row r="39" spans="6:62" ht="15" thickBot="1" x14ac:dyDescent="0.35">
      <c r="F39" s="321" t="s">
        <v>62</v>
      </c>
      <c r="G39" s="322" t="s">
        <v>69</v>
      </c>
      <c r="H39" s="323">
        <v>12828</v>
      </c>
      <c r="I39" s="324">
        <v>22174</v>
      </c>
      <c r="J39" s="324">
        <v>28042</v>
      </c>
      <c r="K39" s="324">
        <v>25659</v>
      </c>
      <c r="L39" s="324">
        <v>23827</v>
      </c>
      <c r="M39" s="324">
        <v>23315</v>
      </c>
      <c r="N39" s="324">
        <v>19167</v>
      </c>
      <c r="O39" s="324">
        <v>16276</v>
      </c>
      <c r="P39" s="324">
        <v>23030</v>
      </c>
      <c r="Q39" s="324">
        <v>30260</v>
      </c>
      <c r="R39" s="214">
        <v>40349</v>
      </c>
      <c r="S39" s="141">
        <v>22910</v>
      </c>
      <c r="T39" s="141">
        <v>29764</v>
      </c>
      <c r="U39" s="141">
        <v>29698</v>
      </c>
      <c r="V39" s="141">
        <v>19984</v>
      </c>
      <c r="W39" s="141">
        <v>23045</v>
      </c>
      <c r="X39" s="141">
        <v>16818</v>
      </c>
      <c r="Y39" s="141">
        <v>35799</v>
      </c>
      <c r="Z39" s="176">
        <v>27400</v>
      </c>
      <c r="AA39" s="177">
        <v>31355</v>
      </c>
      <c r="AB39" s="177">
        <v>28199</v>
      </c>
      <c r="AC39" s="195"/>
      <c r="AD39" s="170" t="s">
        <v>69</v>
      </c>
      <c r="AE39" s="212"/>
      <c r="AF39" s="149"/>
      <c r="AG39" s="149"/>
      <c r="AH39" s="216"/>
      <c r="AI39" s="217"/>
      <c r="AJ39" s="201">
        <f t="shared" si="3"/>
        <v>19949</v>
      </c>
      <c r="AK39" s="155"/>
      <c r="AL39" s="59"/>
      <c r="AM39" s="49"/>
      <c r="AN39" s="241"/>
      <c r="AO39" s="242"/>
      <c r="AP39" s="155"/>
      <c r="AQ39" s="155"/>
      <c r="AR39" s="155"/>
      <c r="AS39" s="155"/>
      <c r="AT39" s="155"/>
      <c r="AU39" s="155"/>
      <c r="AV39" s="155"/>
      <c r="AW39" s="155"/>
      <c r="AX39" s="155"/>
      <c r="AY39" s="232"/>
      <c r="AZ39" s="232"/>
      <c r="BA39" s="232"/>
      <c r="BB39" s="233"/>
      <c r="BC39" s="232"/>
      <c r="BD39" s="68"/>
      <c r="BE39" s="229"/>
      <c r="BF39" s="229"/>
      <c r="BG39" s="229"/>
      <c r="BH39" s="229"/>
      <c r="BI39" s="229"/>
      <c r="BJ39" s="68"/>
    </row>
    <row r="40" spans="6:62" ht="15" thickBot="1" x14ac:dyDescent="0.35">
      <c r="F40" s="28" t="s">
        <v>63</v>
      </c>
      <c r="G40" s="44" t="s">
        <v>13</v>
      </c>
      <c r="H40" s="143">
        <v>269</v>
      </c>
      <c r="I40" s="140">
        <v>726</v>
      </c>
      <c r="J40" s="140">
        <v>758</v>
      </c>
      <c r="K40" s="140">
        <v>673</v>
      </c>
      <c r="L40" s="140">
        <v>832</v>
      </c>
      <c r="M40" s="214">
        <v>239</v>
      </c>
      <c r="N40" s="140">
        <v>299</v>
      </c>
      <c r="O40" s="140">
        <v>675</v>
      </c>
      <c r="P40" s="140">
        <v>360</v>
      </c>
      <c r="Q40" s="140">
        <v>1125</v>
      </c>
      <c r="R40" s="214">
        <v>1272</v>
      </c>
      <c r="S40" s="140">
        <v>550</v>
      </c>
      <c r="T40" s="140">
        <v>1240</v>
      </c>
      <c r="U40" s="140">
        <v>822</v>
      </c>
      <c r="V40" s="140">
        <v>1253</v>
      </c>
      <c r="W40" s="140">
        <v>2588</v>
      </c>
      <c r="X40" s="140">
        <v>4760</v>
      </c>
      <c r="Y40" s="156">
        <v>332</v>
      </c>
      <c r="Z40" s="156">
        <v>69</v>
      </c>
      <c r="AA40" s="182">
        <f t="shared" si="4"/>
        <v>1127</v>
      </c>
      <c r="AB40" s="182">
        <f t="shared" si="4"/>
        <v>2837</v>
      </c>
      <c r="AC40" s="194"/>
      <c r="AD40" s="157" t="s">
        <v>13</v>
      </c>
      <c r="AE40" s="210">
        <f>SUM(X40,W40,R40)/3</f>
        <v>2873.3333333333335</v>
      </c>
      <c r="AF40" s="210">
        <f>SUM(T40,W40,X40,R40,V40)/5</f>
        <v>2222.6</v>
      </c>
      <c r="AG40" s="210" t="s">
        <v>218</v>
      </c>
      <c r="AH40" s="220">
        <v>0.13</v>
      </c>
      <c r="AI40" s="226">
        <v>0.16</v>
      </c>
      <c r="AJ40" s="200">
        <f t="shared" si="3"/>
        <v>2867</v>
      </c>
      <c r="AK40" s="155"/>
      <c r="AL40" s="352"/>
      <c r="AM40" s="49"/>
      <c r="AN40" s="241"/>
      <c r="AO40" s="242"/>
      <c r="AP40" s="155"/>
      <c r="AQ40" s="155"/>
      <c r="AR40" s="155"/>
      <c r="AS40" s="155"/>
      <c r="AT40" s="155"/>
      <c r="AU40" s="155"/>
      <c r="AV40" s="155"/>
      <c r="AW40" s="155"/>
      <c r="AX40" s="155"/>
      <c r="AY40" s="232"/>
      <c r="AZ40" s="232"/>
      <c r="BA40" s="232"/>
      <c r="BB40" s="233"/>
      <c r="BC40" s="232"/>
      <c r="BD40" s="68"/>
      <c r="BE40" s="229"/>
      <c r="BF40" s="229"/>
      <c r="BG40" s="229"/>
      <c r="BH40" s="229"/>
      <c r="BI40" s="229"/>
      <c r="BJ40" s="68"/>
    </row>
    <row r="41" spans="6:62" ht="15" thickBot="1" x14ac:dyDescent="0.35">
      <c r="F41" s="28" t="s">
        <v>40</v>
      </c>
      <c r="G41" s="44" t="s">
        <v>16</v>
      </c>
      <c r="H41" s="143">
        <v>885</v>
      </c>
      <c r="I41" s="140">
        <v>1015</v>
      </c>
      <c r="J41" s="140">
        <v>1160</v>
      </c>
      <c r="K41" s="140">
        <v>1087</v>
      </c>
      <c r="L41" s="140">
        <v>1367</v>
      </c>
      <c r="M41" s="214">
        <v>1579</v>
      </c>
      <c r="N41" s="140">
        <v>1348</v>
      </c>
      <c r="O41" s="140">
        <v>1312</v>
      </c>
      <c r="P41" s="140">
        <v>1484</v>
      </c>
      <c r="Q41" s="140">
        <v>1611</v>
      </c>
      <c r="R41" s="214">
        <v>1923</v>
      </c>
      <c r="S41" s="140">
        <v>1732</v>
      </c>
      <c r="T41" s="140">
        <v>1700</v>
      </c>
      <c r="U41" s="140">
        <v>1712</v>
      </c>
      <c r="V41" s="140">
        <v>1624</v>
      </c>
      <c r="W41" s="140">
        <v>1569</v>
      </c>
      <c r="X41" s="140">
        <v>1735</v>
      </c>
      <c r="Y41" s="156">
        <v>1718</v>
      </c>
      <c r="Z41" s="156">
        <v>1742</v>
      </c>
      <c r="AA41" s="182">
        <f t="shared" si="4"/>
        <v>2009</v>
      </c>
      <c r="AB41" s="182">
        <f t="shared" si="4"/>
        <v>1896</v>
      </c>
      <c r="AC41" s="194"/>
      <c r="AD41" s="211" t="s">
        <v>16</v>
      </c>
      <c r="AE41" s="149"/>
      <c r="AF41" s="149"/>
      <c r="AG41" s="149"/>
      <c r="AH41" s="216"/>
      <c r="AI41" s="217"/>
      <c r="AJ41" s="200">
        <f t="shared" si="3"/>
        <v>1642.6666666666667</v>
      </c>
      <c r="AK41" s="155"/>
      <c r="AL41" s="59"/>
      <c r="AM41" s="49"/>
      <c r="AN41" s="241"/>
      <c r="AO41" s="242"/>
      <c r="AP41" s="155"/>
      <c r="AQ41" s="155"/>
      <c r="AR41" s="155"/>
      <c r="AS41" s="155"/>
      <c r="AT41" s="155"/>
      <c r="AU41" s="155"/>
      <c r="AV41" s="155"/>
      <c r="AW41" s="155"/>
      <c r="AX41" s="155"/>
      <c r="AY41" s="232"/>
      <c r="AZ41" s="232"/>
      <c r="BA41" s="232"/>
      <c r="BB41" s="233"/>
      <c r="BC41" s="232"/>
      <c r="BD41" s="68"/>
      <c r="BE41" s="229"/>
      <c r="BF41" s="229"/>
      <c r="BG41" s="229"/>
      <c r="BH41" s="229"/>
      <c r="BI41" s="229"/>
      <c r="BJ41" s="68"/>
    </row>
    <row r="42" spans="6:62" ht="15" thickBot="1" x14ac:dyDescent="0.35">
      <c r="F42" s="28" t="s">
        <v>41</v>
      </c>
      <c r="G42" s="44" t="s">
        <v>4</v>
      </c>
      <c r="H42" s="143">
        <v>0</v>
      </c>
      <c r="I42" s="140">
        <v>0</v>
      </c>
      <c r="J42" s="140">
        <v>34</v>
      </c>
      <c r="K42" s="140" t="s">
        <v>64</v>
      </c>
      <c r="L42" s="140" t="s">
        <v>64</v>
      </c>
      <c r="M42" s="214">
        <v>55</v>
      </c>
      <c r="N42" s="140">
        <v>258</v>
      </c>
      <c r="O42" s="140">
        <v>216</v>
      </c>
      <c r="P42" s="140">
        <v>337</v>
      </c>
      <c r="Q42" s="140">
        <v>241</v>
      </c>
      <c r="R42" s="214">
        <v>196</v>
      </c>
      <c r="S42" s="140" t="s">
        <v>64</v>
      </c>
      <c r="T42" s="140" t="s">
        <v>64</v>
      </c>
      <c r="U42" s="140">
        <v>362</v>
      </c>
      <c r="V42" s="140">
        <v>208</v>
      </c>
      <c r="W42" s="140">
        <v>206</v>
      </c>
      <c r="X42" s="140">
        <v>92</v>
      </c>
      <c r="Y42" s="156">
        <v>13</v>
      </c>
      <c r="Z42" s="156">
        <v>414</v>
      </c>
      <c r="AA42" s="182">
        <f t="shared" si="4"/>
        <v>386</v>
      </c>
      <c r="AB42" s="182">
        <f t="shared" si="4"/>
        <v>165</v>
      </c>
      <c r="AC42" s="194"/>
      <c r="AD42" s="157" t="s">
        <v>4</v>
      </c>
      <c r="AE42" s="210">
        <f>SUM(U42,Z42,AA42)/3</f>
        <v>387.33333333333331</v>
      </c>
      <c r="AF42" s="210">
        <f>SUM(U42,P42,AA42,Z42,N42)/5</f>
        <v>351.4</v>
      </c>
      <c r="AG42" s="210">
        <v>2500</v>
      </c>
      <c r="AH42" s="220">
        <v>0.02</v>
      </c>
      <c r="AI42" s="225">
        <v>4.7199999999999999E-2</v>
      </c>
      <c r="AJ42" s="200">
        <f t="shared" si="3"/>
        <v>168.66666666666666</v>
      </c>
      <c r="AK42" s="155"/>
      <c r="AL42" s="352"/>
      <c r="AM42" s="49"/>
      <c r="AN42" s="241"/>
      <c r="AO42" s="242"/>
      <c r="AP42" s="155"/>
      <c r="AQ42" s="155"/>
      <c r="AR42" s="155"/>
      <c r="AS42" s="155"/>
      <c r="AT42" s="155"/>
      <c r="AU42" s="155"/>
      <c r="AV42" s="155"/>
      <c r="AW42" s="155"/>
      <c r="AX42" s="155"/>
      <c r="AY42" s="232"/>
      <c r="AZ42" s="232"/>
      <c r="BA42" s="232"/>
      <c r="BB42" s="233"/>
      <c r="BC42" s="232"/>
      <c r="BD42" s="68"/>
      <c r="BE42" s="229"/>
      <c r="BF42" s="229"/>
      <c r="BG42" s="229"/>
      <c r="BH42" s="229"/>
      <c r="BI42" s="229"/>
      <c r="BJ42" s="68"/>
    </row>
    <row r="43" spans="6:62" ht="15" thickBot="1" x14ac:dyDescent="0.35">
      <c r="F43" s="28" t="s">
        <v>42</v>
      </c>
      <c r="G43" s="44" t="s">
        <v>5</v>
      </c>
      <c r="H43" s="143">
        <v>1334</v>
      </c>
      <c r="I43" s="140">
        <v>2593</v>
      </c>
      <c r="J43" s="140">
        <v>2522</v>
      </c>
      <c r="K43" s="140">
        <v>2936</v>
      </c>
      <c r="L43" s="140">
        <v>1246</v>
      </c>
      <c r="M43" s="214">
        <v>602</v>
      </c>
      <c r="N43" s="140">
        <v>496</v>
      </c>
      <c r="O43" s="140">
        <v>277</v>
      </c>
      <c r="P43" s="140">
        <v>382</v>
      </c>
      <c r="Q43" s="140">
        <v>422</v>
      </c>
      <c r="R43" s="214">
        <v>460</v>
      </c>
      <c r="S43" s="140">
        <v>418</v>
      </c>
      <c r="T43" s="140">
        <v>266</v>
      </c>
      <c r="U43" s="140">
        <v>302</v>
      </c>
      <c r="V43" s="140">
        <v>311</v>
      </c>
      <c r="W43" s="140">
        <v>223</v>
      </c>
      <c r="X43" s="140">
        <v>233</v>
      </c>
      <c r="Y43" s="156">
        <v>181</v>
      </c>
      <c r="Z43" s="156">
        <v>239</v>
      </c>
      <c r="AA43" s="182">
        <f t="shared" si="4"/>
        <v>845</v>
      </c>
      <c r="AB43" s="182">
        <f t="shared" si="4"/>
        <v>171</v>
      </c>
      <c r="AC43" s="194"/>
      <c r="AD43" s="157" t="s">
        <v>5</v>
      </c>
      <c r="AE43" s="210">
        <f>SUM(R43,AA43,S43)/3</f>
        <v>574.33333333333337</v>
      </c>
      <c r="AF43" s="210">
        <f>SUM(P42,U42,Z42,AA42,N42)/5</f>
        <v>351.4</v>
      </c>
      <c r="AG43" s="210">
        <v>6700</v>
      </c>
      <c r="AH43" s="220">
        <v>0.19</v>
      </c>
      <c r="AI43" s="225">
        <v>1.1999999999999999E-3</v>
      </c>
      <c r="AJ43" s="200">
        <f t="shared" si="3"/>
        <v>255.66666666666666</v>
      </c>
      <c r="AK43" s="155"/>
      <c r="AL43" s="352"/>
      <c r="AM43" s="49"/>
      <c r="AN43" s="241"/>
      <c r="AO43" s="242"/>
      <c r="AP43" s="155"/>
      <c r="AQ43" s="155"/>
      <c r="AR43" s="155"/>
      <c r="AS43" s="155"/>
      <c r="AT43" s="155"/>
      <c r="AU43" s="155"/>
      <c r="AV43" s="155"/>
      <c r="AW43" s="155"/>
      <c r="AX43" s="155"/>
      <c r="AY43" s="232"/>
      <c r="AZ43" s="232"/>
      <c r="BA43" s="232"/>
      <c r="BB43" s="233"/>
      <c r="BC43" s="232"/>
      <c r="BD43" s="68"/>
      <c r="BE43" s="229"/>
      <c r="BF43" s="229"/>
      <c r="BG43" s="229"/>
      <c r="BH43" s="229"/>
      <c r="BI43" s="229"/>
      <c r="BJ43" s="68"/>
    </row>
    <row r="44" spans="6:62" ht="15" thickBot="1" x14ac:dyDescent="0.35">
      <c r="F44" s="28" t="s">
        <v>43</v>
      </c>
      <c r="G44" s="44" t="s">
        <v>15</v>
      </c>
      <c r="H44" s="143">
        <v>3463</v>
      </c>
      <c r="I44" s="140">
        <v>4261</v>
      </c>
      <c r="J44" s="140">
        <v>4555</v>
      </c>
      <c r="K44" s="140">
        <v>3813</v>
      </c>
      <c r="L44" s="140">
        <v>2211</v>
      </c>
      <c r="M44" s="214">
        <v>2259</v>
      </c>
      <c r="N44" s="140">
        <v>2846</v>
      </c>
      <c r="O44" s="140">
        <v>3924</v>
      </c>
      <c r="P44" s="140">
        <v>3060</v>
      </c>
      <c r="Q44" s="140">
        <v>3560</v>
      </c>
      <c r="R44" s="214">
        <v>3482</v>
      </c>
      <c r="S44" s="140">
        <v>3223</v>
      </c>
      <c r="T44" s="140">
        <v>3591</v>
      </c>
      <c r="U44" s="140">
        <v>3495</v>
      </c>
      <c r="V44" s="140">
        <v>3743</v>
      </c>
      <c r="W44" s="140">
        <v>3392</v>
      </c>
      <c r="X44" s="140">
        <v>3243</v>
      </c>
      <c r="Y44" s="156">
        <v>2127</v>
      </c>
      <c r="Z44" s="156">
        <v>3074</v>
      </c>
      <c r="AA44" s="182">
        <f t="shared" si="4"/>
        <v>3439</v>
      </c>
      <c r="AB44" s="182">
        <f t="shared" si="4"/>
        <v>2812</v>
      </c>
      <c r="AC44" s="194"/>
      <c r="AD44" s="336" t="s">
        <v>263</v>
      </c>
      <c r="AE44" s="337">
        <f>SUM(R56,AA56,S56)/3</f>
        <v>2749.6666666666665</v>
      </c>
      <c r="AF44" s="337">
        <f>SUM(P56,U56,Z56,AA56,N56)/5</f>
        <v>2934.8</v>
      </c>
      <c r="AG44" s="337">
        <v>6700</v>
      </c>
      <c r="AH44" s="338">
        <v>0.19</v>
      </c>
      <c r="AI44" s="339">
        <v>1.1999999999999999E-3</v>
      </c>
      <c r="AJ44" s="200">
        <f t="shared" si="3"/>
        <v>3459.3333333333335</v>
      </c>
      <c r="AK44" s="155"/>
      <c r="AL44" s="352"/>
      <c r="AM44" s="49"/>
      <c r="AN44" s="241"/>
      <c r="AO44" s="242"/>
      <c r="AP44" s="155"/>
      <c r="AQ44" s="155"/>
      <c r="AR44" s="155"/>
      <c r="AS44" s="155"/>
      <c r="AT44" s="155"/>
      <c r="AU44" s="155"/>
      <c r="AV44" s="155"/>
      <c r="AW44" s="155"/>
      <c r="AX44" s="155"/>
      <c r="AY44" s="232"/>
      <c r="AZ44" s="232"/>
      <c r="BA44" s="232"/>
      <c r="BB44" s="233"/>
      <c r="BC44" s="232"/>
      <c r="BD44" s="68"/>
      <c r="BE44" s="229"/>
      <c r="BF44" s="229"/>
      <c r="BG44" s="229"/>
      <c r="BH44" s="229"/>
      <c r="BI44" s="229"/>
      <c r="BJ44" s="68"/>
    </row>
    <row r="45" spans="6:62" ht="15" thickBot="1" x14ac:dyDescent="0.35">
      <c r="F45" s="28" t="s">
        <v>65</v>
      </c>
      <c r="G45" s="44" t="s">
        <v>6</v>
      </c>
      <c r="H45" s="143">
        <v>105</v>
      </c>
      <c r="I45" s="140">
        <v>72</v>
      </c>
      <c r="J45" s="140">
        <v>82</v>
      </c>
      <c r="K45" s="140">
        <v>645</v>
      </c>
      <c r="L45" s="140">
        <v>1529</v>
      </c>
      <c r="M45" s="214">
        <v>2181</v>
      </c>
      <c r="N45" s="140">
        <v>1790</v>
      </c>
      <c r="O45" s="140">
        <v>1919</v>
      </c>
      <c r="P45" s="140">
        <v>507</v>
      </c>
      <c r="Q45" s="140">
        <v>864</v>
      </c>
      <c r="R45" s="214">
        <v>795</v>
      </c>
      <c r="S45" s="140">
        <v>294</v>
      </c>
      <c r="T45" s="140">
        <v>801</v>
      </c>
      <c r="U45" s="140">
        <v>237</v>
      </c>
      <c r="V45" s="140">
        <v>308</v>
      </c>
      <c r="W45" s="140">
        <v>459</v>
      </c>
      <c r="X45" s="140">
        <v>1149</v>
      </c>
      <c r="Y45" s="156">
        <v>1680</v>
      </c>
      <c r="Z45" s="156">
        <v>894</v>
      </c>
      <c r="AA45" s="182">
        <f t="shared" si="4"/>
        <v>756</v>
      </c>
      <c r="AB45" s="182">
        <f t="shared" si="4"/>
        <v>753</v>
      </c>
      <c r="AC45" s="194"/>
      <c r="AD45" s="157" t="s">
        <v>6</v>
      </c>
      <c r="AE45" s="210">
        <f>SUM(X45,Y45,Z45)/3</f>
        <v>1241</v>
      </c>
      <c r="AF45" s="210">
        <f>SUM(M45,O45,Y45,X45,N45)/5</f>
        <v>1743.8</v>
      </c>
      <c r="AG45" s="210" t="s">
        <v>218</v>
      </c>
      <c r="AH45" s="220">
        <v>0.11</v>
      </c>
      <c r="AI45" s="225">
        <v>0.02</v>
      </c>
      <c r="AJ45" s="200">
        <f t="shared" si="3"/>
        <v>638.66666666666663</v>
      </c>
      <c r="AK45" s="155"/>
      <c r="AL45" s="352"/>
      <c r="AM45" s="49"/>
      <c r="AN45" s="241"/>
      <c r="AO45" s="242"/>
      <c r="AP45" s="155"/>
      <c r="AQ45" s="155"/>
      <c r="AR45" s="155"/>
      <c r="AS45" s="155"/>
      <c r="AT45" s="155"/>
      <c r="AU45" s="155"/>
      <c r="AV45" s="155"/>
      <c r="AW45" s="155"/>
      <c r="AX45" s="155"/>
      <c r="AY45" s="232"/>
      <c r="AZ45" s="232"/>
      <c r="BA45" s="232"/>
      <c r="BB45" s="233"/>
      <c r="BC45" s="232"/>
      <c r="BD45" s="68"/>
      <c r="BE45" s="229"/>
      <c r="BF45" s="229"/>
      <c r="BG45" s="229"/>
      <c r="BH45" s="229"/>
      <c r="BI45" s="229"/>
      <c r="BJ45" s="68"/>
    </row>
    <row r="46" spans="6:62" ht="15" thickBot="1" x14ac:dyDescent="0.35">
      <c r="F46" s="28" t="s">
        <v>44</v>
      </c>
      <c r="G46" s="44" t="s">
        <v>7</v>
      </c>
      <c r="H46" s="143">
        <v>404</v>
      </c>
      <c r="I46" s="140">
        <v>189</v>
      </c>
      <c r="J46" s="140">
        <v>1084</v>
      </c>
      <c r="K46" s="140">
        <v>980</v>
      </c>
      <c r="L46" s="140">
        <v>2450</v>
      </c>
      <c r="M46" s="214">
        <v>2742</v>
      </c>
      <c r="N46" s="140">
        <v>6476</v>
      </c>
      <c r="O46" s="140">
        <v>5035</v>
      </c>
      <c r="P46" s="140">
        <v>6637</v>
      </c>
      <c r="Q46" s="140">
        <v>10112</v>
      </c>
      <c r="R46" s="214">
        <v>7279</v>
      </c>
      <c r="S46" s="140">
        <v>6505</v>
      </c>
      <c r="T46" s="140">
        <v>8126</v>
      </c>
      <c r="U46" s="140">
        <v>8999</v>
      </c>
      <c r="V46" s="140">
        <v>14159</v>
      </c>
      <c r="W46" s="140">
        <v>10870</v>
      </c>
      <c r="X46" s="140">
        <v>3768</v>
      </c>
      <c r="Y46" s="156">
        <v>5758</v>
      </c>
      <c r="Z46" s="156">
        <v>7362</v>
      </c>
      <c r="AA46" s="182">
        <f t="shared" si="4"/>
        <v>4498</v>
      </c>
      <c r="AB46" s="182">
        <f t="shared" si="4"/>
        <v>3793</v>
      </c>
      <c r="AC46" s="194"/>
      <c r="AD46" s="157" t="s">
        <v>7</v>
      </c>
      <c r="AE46" s="210">
        <f>SUM(V46,W46,U46)/3</f>
        <v>11342.666666666666</v>
      </c>
      <c r="AF46" s="210">
        <f>SUM(Q46,V46,W46,U46,T46)/5</f>
        <v>10453.200000000001</v>
      </c>
      <c r="AG46" s="210">
        <v>14500</v>
      </c>
      <c r="AH46" s="220">
        <v>0.08</v>
      </c>
      <c r="AI46" s="225">
        <v>7.4899999999999994E-2</v>
      </c>
      <c r="AJ46" s="200">
        <f t="shared" si="3"/>
        <v>9599</v>
      </c>
      <c r="AK46" s="155"/>
      <c r="AL46" s="352"/>
      <c r="AM46" s="49"/>
      <c r="AN46" s="241"/>
      <c r="AO46" s="242"/>
      <c r="AP46" s="155"/>
      <c r="AQ46" s="155"/>
      <c r="AR46" s="155"/>
      <c r="AS46" s="155"/>
      <c r="AT46" s="155"/>
      <c r="AU46" s="155"/>
      <c r="AV46" s="155"/>
      <c r="AW46" s="155"/>
      <c r="AX46" s="155"/>
      <c r="AY46" s="232"/>
      <c r="AZ46" s="232"/>
      <c r="BA46" s="232"/>
      <c r="BB46" s="233"/>
      <c r="BC46" s="232"/>
      <c r="BD46" s="68"/>
      <c r="BE46" s="229"/>
      <c r="BF46" s="229"/>
      <c r="BG46" s="229"/>
      <c r="BH46" s="229"/>
      <c r="BI46" s="229"/>
      <c r="BJ46" s="68"/>
    </row>
    <row r="47" spans="6:62" ht="15" thickBot="1" x14ac:dyDescent="0.35">
      <c r="F47" s="28" t="s">
        <v>45</v>
      </c>
      <c r="G47" s="44" t="s">
        <v>8</v>
      </c>
      <c r="H47" s="143">
        <v>0</v>
      </c>
      <c r="I47" s="140">
        <v>0</v>
      </c>
      <c r="J47" s="140">
        <v>0</v>
      </c>
      <c r="K47" s="140">
        <v>0</v>
      </c>
      <c r="L47" s="140">
        <v>0</v>
      </c>
      <c r="M47" s="214">
        <v>0</v>
      </c>
      <c r="N47" s="140">
        <v>0</v>
      </c>
      <c r="O47" s="140">
        <v>0</v>
      </c>
      <c r="P47" s="140">
        <v>144</v>
      </c>
      <c r="Q47" s="140">
        <v>0</v>
      </c>
      <c r="R47" s="214">
        <v>0</v>
      </c>
      <c r="S47" s="140">
        <v>108</v>
      </c>
      <c r="T47" s="140">
        <v>254</v>
      </c>
      <c r="U47" s="140">
        <v>0</v>
      </c>
      <c r="V47" s="140">
        <v>8</v>
      </c>
      <c r="W47" s="140">
        <v>1446</v>
      </c>
      <c r="X47" s="140">
        <v>1962</v>
      </c>
      <c r="Y47" s="156">
        <v>867</v>
      </c>
      <c r="Z47" s="156">
        <v>536</v>
      </c>
      <c r="AA47" s="182">
        <f t="shared" si="4"/>
        <v>1970</v>
      </c>
      <c r="AB47" s="182">
        <f t="shared" si="4"/>
        <v>1066</v>
      </c>
      <c r="AC47" s="194"/>
      <c r="AD47" s="157" t="s">
        <v>8</v>
      </c>
      <c r="AE47" s="210">
        <f>SUM(W47,X47,AA47)/3</f>
        <v>1792.6666666666667</v>
      </c>
      <c r="AF47" s="210">
        <f>SUM(X47,W47,AA47,Z47,Y47)/5</f>
        <v>1356.2</v>
      </c>
      <c r="AG47" s="210">
        <v>2500</v>
      </c>
      <c r="AH47" s="220">
        <v>0.02</v>
      </c>
      <c r="AI47" s="225">
        <v>0.1255</v>
      </c>
      <c r="AJ47" s="200">
        <f t="shared" si="3"/>
        <v>1138.6666666666667</v>
      </c>
      <c r="AK47" s="155"/>
      <c r="AL47" s="352"/>
      <c r="AM47" s="49"/>
      <c r="AN47" s="241"/>
      <c r="AO47" s="242"/>
      <c r="AP47" s="155"/>
      <c r="AQ47" s="155"/>
      <c r="AR47" s="155"/>
      <c r="AS47" s="155"/>
      <c r="AT47" s="155"/>
      <c r="AU47" s="155"/>
      <c r="AV47" s="155"/>
      <c r="AW47" s="155"/>
      <c r="AX47" s="155"/>
      <c r="AY47" s="232"/>
      <c r="AZ47" s="232"/>
      <c r="BA47" s="232"/>
      <c r="BB47" s="233"/>
      <c r="BC47" s="232"/>
      <c r="BD47" s="68"/>
      <c r="BE47" s="229"/>
      <c r="BF47" s="229"/>
      <c r="BG47" s="229"/>
      <c r="BH47" s="229"/>
      <c r="BI47" s="229"/>
      <c r="BJ47" s="68"/>
    </row>
    <row r="48" spans="6:62" ht="15" thickBot="1" x14ac:dyDescent="0.35">
      <c r="F48" s="28" t="s">
        <v>46</v>
      </c>
      <c r="G48" s="44" t="s">
        <v>9</v>
      </c>
      <c r="H48" s="143">
        <v>858</v>
      </c>
      <c r="I48" s="140">
        <v>1074</v>
      </c>
      <c r="J48" s="140">
        <v>845</v>
      </c>
      <c r="K48" s="140">
        <v>318</v>
      </c>
      <c r="L48" s="140">
        <v>206</v>
      </c>
      <c r="M48" s="214">
        <v>256</v>
      </c>
      <c r="N48" s="140">
        <v>405</v>
      </c>
      <c r="O48" s="140">
        <v>354</v>
      </c>
      <c r="P48" s="140">
        <v>220</v>
      </c>
      <c r="Q48" s="140">
        <v>124</v>
      </c>
      <c r="R48" s="214">
        <v>57</v>
      </c>
      <c r="S48" s="140">
        <v>36</v>
      </c>
      <c r="T48" s="140">
        <v>760</v>
      </c>
      <c r="U48" s="140">
        <v>1439</v>
      </c>
      <c r="V48" s="140">
        <v>264</v>
      </c>
      <c r="W48" s="140">
        <v>710</v>
      </c>
      <c r="X48" s="140">
        <v>1189</v>
      </c>
      <c r="Y48" s="156">
        <v>627</v>
      </c>
      <c r="Z48" s="156">
        <v>719</v>
      </c>
      <c r="AA48" s="182">
        <f t="shared" si="4"/>
        <v>1213</v>
      </c>
      <c r="AB48" s="182">
        <f t="shared" si="4"/>
        <v>829</v>
      </c>
      <c r="AC48" s="194"/>
      <c r="AD48" s="157" t="s">
        <v>9</v>
      </c>
      <c r="AE48" s="210">
        <f>SUM(U48,X48,AA48)/3</f>
        <v>1280.3333333333333</v>
      </c>
      <c r="AF48" s="210">
        <f>SUM(AA48,U48,X48,T48,Z48)/5</f>
        <v>1064</v>
      </c>
      <c r="AG48" s="210">
        <v>2500</v>
      </c>
      <c r="AH48" s="220">
        <v>0.04</v>
      </c>
      <c r="AI48" s="225">
        <v>4.4499999999999998E-2</v>
      </c>
      <c r="AJ48" s="200">
        <f t="shared" si="3"/>
        <v>721</v>
      </c>
      <c r="AK48" s="155"/>
      <c r="AL48" s="352"/>
      <c r="AM48" s="49"/>
      <c r="AN48" s="241"/>
      <c r="AO48" s="242"/>
      <c r="AP48" s="155"/>
      <c r="AQ48" s="155"/>
      <c r="AR48" s="155"/>
      <c r="AS48" s="155"/>
      <c r="AT48" s="155"/>
      <c r="AU48" s="155"/>
      <c r="AV48" s="155"/>
      <c r="AW48" s="155"/>
      <c r="AX48" s="155"/>
      <c r="AY48" s="232"/>
      <c r="AZ48" s="232"/>
      <c r="BA48" s="232"/>
      <c r="BB48" s="233"/>
      <c r="BC48" s="232"/>
      <c r="BD48" s="68"/>
      <c r="BE48" s="229"/>
      <c r="BF48" s="229"/>
      <c r="BG48" s="229"/>
      <c r="BH48" s="229"/>
      <c r="BI48" s="229"/>
      <c r="BJ48" s="68"/>
    </row>
    <row r="49" spans="6:62" ht="15" thickBot="1" x14ac:dyDescent="0.35">
      <c r="F49" s="28" t="s">
        <v>47</v>
      </c>
      <c r="G49" s="44" t="s">
        <v>10</v>
      </c>
      <c r="H49" s="143">
        <v>240</v>
      </c>
      <c r="I49" s="140">
        <v>103</v>
      </c>
      <c r="J49" s="140">
        <v>186</v>
      </c>
      <c r="K49" s="140">
        <v>52</v>
      </c>
      <c r="L49" s="140">
        <v>224</v>
      </c>
      <c r="M49" s="214">
        <v>296</v>
      </c>
      <c r="N49" s="140">
        <v>8</v>
      </c>
      <c r="O49" s="140">
        <v>459</v>
      </c>
      <c r="P49" s="140">
        <v>159</v>
      </c>
      <c r="Q49" s="140">
        <v>351</v>
      </c>
      <c r="R49" s="214">
        <v>674</v>
      </c>
      <c r="S49" s="140">
        <v>459</v>
      </c>
      <c r="T49" s="140">
        <v>918</v>
      </c>
      <c r="U49" s="140">
        <v>1478</v>
      </c>
      <c r="V49" s="140">
        <v>489</v>
      </c>
      <c r="W49" s="140">
        <v>427</v>
      </c>
      <c r="X49" s="140">
        <v>1545</v>
      </c>
      <c r="Y49" s="156">
        <v>1418</v>
      </c>
      <c r="Z49" s="156">
        <v>940</v>
      </c>
      <c r="AA49" s="182">
        <f t="shared" si="4"/>
        <v>1448</v>
      </c>
      <c r="AB49" s="182">
        <f t="shared" si="4"/>
        <v>665</v>
      </c>
      <c r="AC49" s="194"/>
      <c r="AD49" s="157" t="s">
        <v>10</v>
      </c>
      <c r="AE49" s="210">
        <f>SUM(U49,X49,AA49)/3</f>
        <v>1490.3333333333333</v>
      </c>
      <c r="AF49" s="210">
        <f>SUM(U49,X49,Y49,AA49,T49)/5</f>
        <v>1361.4</v>
      </c>
      <c r="AG49" s="210">
        <v>2500</v>
      </c>
      <c r="AH49" s="220">
        <v>0.04</v>
      </c>
      <c r="AI49" s="225">
        <v>0.1053</v>
      </c>
      <c r="AJ49" s="200">
        <f t="shared" si="3"/>
        <v>820.33333333333337</v>
      </c>
      <c r="AK49" s="155"/>
      <c r="AL49" s="352"/>
      <c r="AM49" s="49"/>
      <c r="AN49" s="241"/>
      <c r="AO49" s="242"/>
      <c r="AP49" s="155"/>
      <c r="AQ49" s="155"/>
      <c r="AR49" s="155"/>
      <c r="AS49" s="155"/>
      <c r="AT49" s="155"/>
      <c r="AU49" s="155"/>
      <c r="AV49" s="155"/>
      <c r="AW49" s="155"/>
      <c r="AX49" s="155"/>
      <c r="AY49" s="232"/>
      <c r="AZ49" s="232"/>
      <c r="BA49" s="232"/>
      <c r="BB49" s="233"/>
      <c r="BC49" s="232"/>
      <c r="BD49" s="68"/>
      <c r="BE49" s="229"/>
      <c r="BF49" s="229"/>
      <c r="BG49" s="229"/>
      <c r="BH49" s="229"/>
      <c r="BI49" s="229"/>
      <c r="BJ49" s="68"/>
    </row>
    <row r="50" spans="6:62" ht="15" thickBot="1" x14ac:dyDescent="0.35">
      <c r="F50" s="28" t="s">
        <v>48</v>
      </c>
      <c r="G50" s="44" t="s">
        <v>11</v>
      </c>
      <c r="H50" s="143">
        <v>2901</v>
      </c>
      <c r="I50" s="140">
        <v>2875</v>
      </c>
      <c r="J50" s="140">
        <v>2680</v>
      </c>
      <c r="K50" s="140">
        <v>2946</v>
      </c>
      <c r="L50" s="140">
        <v>4100</v>
      </c>
      <c r="M50" s="214">
        <v>6674</v>
      </c>
      <c r="N50" s="140">
        <v>8335</v>
      </c>
      <c r="O50" s="140">
        <v>5065</v>
      </c>
      <c r="P50" s="140">
        <v>5474</v>
      </c>
      <c r="Q50" s="140">
        <v>5493</v>
      </c>
      <c r="R50" s="214">
        <v>2935</v>
      </c>
      <c r="S50" s="140">
        <v>6149</v>
      </c>
      <c r="T50" s="140">
        <v>4323</v>
      </c>
      <c r="U50" s="140">
        <v>6899</v>
      </c>
      <c r="V50" s="140">
        <v>5475</v>
      </c>
      <c r="W50" s="140">
        <v>4490</v>
      </c>
      <c r="X50" s="140">
        <v>6816</v>
      </c>
      <c r="Y50" s="156">
        <v>8492</v>
      </c>
      <c r="Z50" s="156">
        <v>4396</v>
      </c>
      <c r="AA50" s="182">
        <f t="shared" si="4"/>
        <v>3195</v>
      </c>
      <c r="AB50" s="182">
        <f t="shared" si="4"/>
        <v>5180</v>
      </c>
      <c r="AC50" s="194"/>
      <c r="AD50" s="157" t="s">
        <v>11</v>
      </c>
      <c r="AE50" s="210">
        <f>SUM(U50,X50,Y50)/3</f>
        <v>7402.333333333333</v>
      </c>
      <c r="AF50" s="210">
        <f>SUM(N50,Y50,X50,M50,U50)/5</f>
        <v>7443.2</v>
      </c>
      <c r="AG50" s="210">
        <v>8376</v>
      </c>
      <c r="AH50" s="220">
        <v>0.04</v>
      </c>
      <c r="AI50" s="225">
        <v>2.1399999999999999E-2</v>
      </c>
      <c r="AJ50" s="200">
        <f t="shared" si="3"/>
        <v>5593.666666666667</v>
      </c>
      <c r="AK50" s="155"/>
      <c r="AL50" s="352"/>
      <c r="AM50" s="49"/>
      <c r="AN50" s="241"/>
      <c r="AO50" s="242"/>
      <c r="AP50" s="155"/>
      <c r="AQ50" s="155"/>
      <c r="AR50" s="155"/>
      <c r="AS50" s="155"/>
      <c r="AT50" s="155"/>
      <c r="AU50" s="155"/>
      <c r="AV50" s="155"/>
      <c r="AW50" s="155"/>
      <c r="AX50" s="155"/>
      <c r="AY50" s="232"/>
      <c r="AZ50" s="232"/>
      <c r="BA50" s="232"/>
      <c r="BB50" s="233"/>
      <c r="BC50" s="232"/>
      <c r="BD50" s="68"/>
      <c r="BE50" s="229"/>
      <c r="BF50" s="229"/>
      <c r="BG50" s="229"/>
      <c r="BH50" s="229"/>
      <c r="BI50" s="229"/>
      <c r="BJ50" s="68"/>
    </row>
    <row r="51" spans="6:62" ht="15" thickBot="1" x14ac:dyDescent="0.35">
      <c r="F51" s="28" t="s">
        <v>49</v>
      </c>
      <c r="G51" s="44" t="s">
        <v>12</v>
      </c>
      <c r="H51" s="143">
        <v>4067</v>
      </c>
      <c r="I51" s="140">
        <v>4820</v>
      </c>
      <c r="J51" s="140">
        <v>4205</v>
      </c>
      <c r="K51" s="140">
        <v>2253</v>
      </c>
      <c r="L51" s="140">
        <v>1233</v>
      </c>
      <c r="M51" s="214">
        <v>1263</v>
      </c>
      <c r="N51" s="140">
        <v>2113</v>
      </c>
      <c r="O51" s="140">
        <v>3113</v>
      </c>
      <c r="P51" s="140">
        <v>2342</v>
      </c>
      <c r="Q51" s="140">
        <v>2816</v>
      </c>
      <c r="R51" s="214">
        <v>2529</v>
      </c>
      <c r="S51" s="140">
        <v>1415</v>
      </c>
      <c r="T51" s="140">
        <v>2037</v>
      </c>
      <c r="U51" s="140">
        <v>1640</v>
      </c>
      <c r="V51" s="140">
        <v>800</v>
      </c>
      <c r="W51" s="140">
        <v>840</v>
      </c>
      <c r="X51" s="140">
        <v>946</v>
      </c>
      <c r="Y51" s="156">
        <v>2339</v>
      </c>
      <c r="Z51" s="156">
        <v>1517</v>
      </c>
      <c r="AA51" s="182">
        <f t="shared" si="4"/>
        <v>1442</v>
      </c>
      <c r="AB51" s="182">
        <f t="shared" si="4"/>
        <v>700</v>
      </c>
      <c r="AC51" s="194"/>
      <c r="AD51" s="209" t="s">
        <v>12</v>
      </c>
      <c r="AE51" s="213">
        <f>SUM(R51,Y51,T51)/3</f>
        <v>2301.6666666666665</v>
      </c>
      <c r="AF51" s="213">
        <f>SUM(Q51,Y51,R51,T51,O51)/5</f>
        <v>2566.8000000000002</v>
      </c>
      <c r="AG51" s="213">
        <v>4824</v>
      </c>
      <c r="AH51" s="224">
        <v>0.01</v>
      </c>
      <c r="AI51" s="227">
        <v>3.4000000000000002E-2</v>
      </c>
      <c r="AJ51" s="202">
        <f t="shared" si="3"/>
        <v>862</v>
      </c>
      <c r="AK51" s="155"/>
      <c r="AL51" s="352"/>
      <c r="AM51" s="244"/>
      <c r="AN51" s="245"/>
      <c r="AO51" s="245"/>
      <c r="AP51" s="155"/>
      <c r="AQ51" s="155"/>
      <c r="AR51" s="155"/>
      <c r="AS51" s="155"/>
      <c r="AT51" s="155"/>
      <c r="AU51" s="155"/>
      <c r="AV51" s="155"/>
      <c r="AW51" s="155"/>
      <c r="AX51" s="155"/>
      <c r="AY51" s="232"/>
      <c r="AZ51" s="232"/>
      <c r="BA51" s="232"/>
      <c r="BB51" s="233"/>
      <c r="BC51" s="232"/>
      <c r="BD51" s="68"/>
      <c r="BE51" s="229"/>
      <c r="BF51" s="229"/>
      <c r="BG51" s="229"/>
      <c r="BH51" s="229"/>
      <c r="BI51" s="229"/>
      <c r="BJ51" s="68"/>
    </row>
    <row r="52" spans="6:62" s="59" customFormat="1" ht="15" thickBot="1" x14ac:dyDescent="0.35">
      <c r="F52" s="313" t="s">
        <v>67</v>
      </c>
      <c r="G52" s="53"/>
      <c r="H52" s="325">
        <f>SUM(H35:H51)</f>
        <v>32842</v>
      </c>
      <c r="I52" s="325">
        <f t="shared" ref="I52:AB52" si="5">SUM(I35:I51)</f>
        <v>50976</v>
      </c>
      <c r="J52" s="325">
        <f t="shared" si="5"/>
        <v>59412</v>
      </c>
      <c r="K52" s="325">
        <f t="shared" si="5"/>
        <v>50884</v>
      </c>
      <c r="L52" s="325">
        <f t="shared" si="5"/>
        <v>50069</v>
      </c>
      <c r="M52" s="325">
        <f t="shared" si="5"/>
        <v>52850</v>
      </c>
      <c r="N52" s="325">
        <f t="shared" si="5"/>
        <v>57611</v>
      </c>
      <c r="O52" s="325">
        <f t="shared" si="5"/>
        <v>52156</v>
      </c>
      <c r="P52" s="325">
        <f t="shared" si="5"/>
        <v>55182</v>
      </c>
      <c r="Q52" s="325">
        <f t="shared" si="5"/>
        <v>71890</v>
      </c>
      <c r="R52" s="325">
        <f t="shared" si="5"/>
        <v>76095</v>
      </c>
      <c r="S52" s="325">
        <f t="shared" si="5"/>
        <v>55948</v>
      </c>
      <c r="T52" s="325">
        <f t="shared" si="5"/>
        <v>71595</v>
      </c>
      <c r="U52" s="325">
        <f t="shared" si="5"/>
        <v>69238</v>
      </c>
      <c r="V52" s="325">
        <f t="shared" si="5"/>
        <v>59069</v>
      </c>
      <c r="W52" s="325">
        <f t="shared" si="5"/>
        <v>63329</v>
      </c>
      <c r="X52" s="325">
        <f t="shared" si="5"/>
        <v>54885</v>
      </c>
      <c r="Y52" s="325">
        <f t="shared" si="5"/>
        <v>72736</v>
      </c>
      <c r="Z52" s="325">
        <f t="shared" si="5"/>
        <v>60898</v>
      </c>
      <c r="AA52" s="325">
        <f>SUM(AA35:AA51)</f>
        <v>65983</v>
      </c>
      <c r="AB52" s="325">
        <f t="shared" si="5"/>
        <v>57004</v>
      </c>
      <c r="AC52" s="194"/>
      <c r="AD52" s="150" t="s">
        <v>67</v>
      </c>
      <c r="AE52" s="206"/>
      <c r="AF52" s="206"/>
      <c r="AG52" s="206"/>
      <c r="AH52" s="218"/>
      <c r="AI52" s="218"/>
      <c r="AJ52" s="162">
        <f t="shared" ref="AJ52" si="6">SUM(AJ35:AJ38,AJ40:AJ51)</f>
        <v>39145.333333333328</v>
      </c>
      <c r="AK52" s="204"/>
      <c r="AL52" s="68"/>
      <c r="AM52" s="68"/>
      <c r="AN52" s="68"/>
      <c r="AO52" s="68"/>
      <c r="AP52" s="204"/>
      <c r="AQ52" s="204"/>
      <c r="AR52" s="204"/>
      <c r="AS52" s="204"/>
      <c r="AT52" s="204"/>
      <c r="AU52" s="204"/>
      <c r="AV52" s="204"/>
      <c r="AW52" s="204"/>
      <c r="AX52" s="204"/>
      <c r="AY52" s="204"/>
      <c r="AZ52" s="204"/>
      <c r="BA52" s="204"/>
      <c r="BB52" s="204"/>
      <c r="BC52" s="204"/>
      <c r="BD52" s="229"/>
      <c r="BE52" s="229"/>
      <c r="BF52" s="229"/>
      <c r="BG52" s="229"/>
      <c r="BH52" s="229"/>
      <c r="BI52" s="68"/>
      <c r="BJ52" s="68"/>
    </row>
    <row r="53" spans="6:62" ht="15" thickBot="1" x14ac:dyDescent="0.35">
      <c r="F53" s="317" t="s">
        <v>258</v>
      </c>
      <c r="G53" s="314"/>
      <c r="H53" s="315">
        <f>SUM(H51,H50,H49,H48,H47,H46,H45,H43,H42,H40,H38,H37,H36)</f>
        <v>15040</v>
      </c>
      <c r="I53" s="315">
        <f t="shared" ref="I53:AB53" si="7">SUM(I51,I50,I49,I48,I47,I46,I45,I43,I42,I40,I38,I37,I36)</f>
        <v>20309</v>
      </c>
      <c r="J53" s="315">
        <f t="shared" si="7"/>
        <v>20321</v>
      </c>
      <c r="K53" s="315">
        <f t="shared" si="7"/>
        <v>17121</v>
      </c>
      <c r="L53" s="315">
        <f t="shared" si="7"/>
        <v>20645</v>
      </c>
      <c r="M53" s="315">
        <f t="shared" si="7"/>
        <v>22817</v>
      </c>
      <c r="N53" s="315">
        <f t="shared" si="7"/>
        <v>30172</v>
      </c>
      <c r="O53" s="315">
        <f t="shared" si="7"/>
        <v>25977</v>
      </c>
      <c r="P53" s="315">
        <f t="shared" si="7"/>
        <v>24805</v>
      </c>
      <c r="Q53" s="315">
        <f t="shared" si="7"/>
        <v>33271</v>
      </c>
      <c r="R53" s="315">
        <f t="shared" si="7"/>
        <v>27508</v>
      </c>
      <c r="S53" s="315">
        <f t="shared" si="7"/>
        <v>26301</v>
      </c>
      <c r="T53" s="315">
        <f t="shared" si="7"/>
        <v>34130</v>
      </c>
      <c r="U53" s="315">
        <f t="shared" si="7"/>
        <v>32569</v>
      </c>
      <c r="V53" s="315">
        <f t="shared" si="7"/>
        <v>32342</v>
      </c>
      <c r="W53" s="315">
        <f t="shared" si="7"/>
        <v>33563</v>
      </c>
      <c r="X53" s="315">
        <f t="shared" si="7"/>
        <v>31578</v>
      </c>
      <c r="Y53" s="315">
        <f t="shared" si="7"/>
        <v>31712</v>
      </c>
      <c r="Z53" s="315">
        <f t="shared" si="7"/>
        <v>27255</v>
      </c>
      <c r="AA53" s="315">
        <f t="shared" si="7"/>
        <v>28118</v>
      </c>
      <c r="AB53" s="315">
        <f t="shared" si="7"/>
        <v>23584</v>
      </c>
      <c r="AC53" s="193"/>
      <c r="AD53" s="6"/>
      <c r="AE53" s="197"/>
      <c r="AF53" s="197"/>
      <c r="AG53" s="197"/>
      <c r="AH53" s="219"/>
      <c r="AI53" s="219"/>
      <c r="AJ53" s="203">
        <f t="shared" ref="AJ53" si="8">SUM(AJ36,AJ37,AJ38,AJ42,AJ43,AJ46,AJ47,AJ48,AJ49,AJ50,AJ51)</f>
        <v>28988.666666666668</v>
      </c>
      <c r="AK53" s="199"/>
      <c r="AL53" s="49"/>
      <c r="AM53" s="68"/>
      <c r="AN53" s="68"/>
      <c r="AO53" s="68"/>
      <c r="AP53" s="199"/>
      <c r="AQ53" s="199"/>
      <c r="AR53" s="199"/>
      <c r="AS53" s="199"/>
      <c r="AT53" s="199"/>
      <c r="AU53" s="199"/>
      <c r="AV53" s="199"/>
      <c r="AW53" s="199"/>
      <c r="AX53" s="230"/>
      <c r="AY53" s="234"/>
      <c r="AZ53" s="234"/>
      <c r="BA53" s="234"/>
      <c r="BB53" s="234"/>
      <c r="BC53" s="235"/>
      <c r="BD53" s="68"/>
      <c r="BE53" s="68"/>
      <c r="BF53" s="68"/>
      <c r="BG53" s="68"/>
      <c r="BH53" s="68"/>
      <c r="BI53" s="68"/>
      <c r="BJ53" s="68"/>
    </row>
    <row r="54" spans="6:62" ht="15" thickBot="1" x14ac:dyDescent="0.35">
      <c r="F54" s="318" t="s">
        <v>259</v>
      </c>
      <c r="G54" s="316"/>
      <c r="H54" s="319">
        <f>SUM(H35,H41,H44)</f>
        <v>4974</v>
      </c>
      <c r="I54" s="319">
        <f t="shared" ref="I54:AB54" si="9">SUM(I35,I41,I44)</f>
        <v>8493</v>
      </c>
      <c r="J54" s="319">
        <f t="shared" si="9"/>
        <v>11049</v>
      </c>
      <c r="K54" s="319">
        <f t="shared" si="9"/>
        <v>8104</v>
      </c>
      <c r="L54" s="319">
        <f t="shared" si="9"/>
        <v>5597</v>
      </c>
      <c r="M54" s="319">
        <f t="shared" si="9"/>
        <v>6718</v>
      </c>
      <c r="N54" s="319">
        <f t="shared" si="9"/>
        <v>8272</v>
      </c>
      <c r="O54" s="319">
        <f t="shared" si="9"/>
        <v>9903</v>
      </c>
      <c r="P54" s="319">
        <f t="shared" si="9"/>
        <v>7347</v>
      </c>
      <c r="Q54" s="319">
        <f t="shared" si="9"/>
        <v>8359</v>
      </c>
      <c r="R54" s="319">
        <f t="shared" si="9"/>
        <v>8238</v>
      </c>
      <c r="S54" s="319">
        <f t="shared" si="9"/>
        <v>6737</v>
      </c>
      <c r="T54" s="319">
        <f t="shared" si="9"/>
        <v>7701</v>
      </c>
      <c r="U54" s="319">
        <f t="shared" si="9"/>
        <v>6971</v>
      </c>
      <c r="V54" s="319">
        <f t="shared" si="9"/>
        <v>6743</v>
      </c>
      <c r="W54" s="319">
        <f t="shared" si="9"/>
        <v>6721</v>
      </c>
      <c r="X54" s="319">
        <f t="shared" si="9"/>
        <v>6489</v>
      </c>
      <c r="Y54" s="319">
        <f t="shared" si="9"/>
        <v>5225</v>
      </c>
      <c r="Z54" s="319">
        <f t="shared" si="9"/>
        <v>6243</v>
      </c>
      <c r="AA54" s="319">
        <f t="shared" si="9"/>
        <v>6510</v>
      </c>
      <c r="AB54" s="319">
        <f>SUM(AB35,AB41,AB44)</f>
        <v>5221</v>
      </c>
      <c r="AC54" s="171"/>
      <c r="AD54" s="6"/>
      <c r="AE54" s="207"/>
      <c r="AF54" s="207"/>
      <c r="AG54" s="207"/>
      <c r="AH54" s="207"/>
      <c r="AI54" s="207"/>
      <c r="AJ54" s="160">
        <f t="shared" ref="AJ54" si="10">SUM(AJ37,AJ38,AJ42,AJ48,AJ51)</f>
        <v>10723.333333333332</v>
      </c>
      <c r="AK54" s="205"/>
      <c r="AL54" s="50"/>
      <c r="AM54" s="6"/>
      <c r="AN54" s="6"/>
      <c r="AO54" s="6"/>
      <c r="AP54" s="205"/>
      <c r="AQ54" s="205"/>
      <c r="AR54" s="205"/>
      <c r="AS54" s="205"/>
      <c r="AT54" s="205"/>
      <c r="AU54" s="205"/>
      <c r="AV54" s="205"/>
      <c r="AW54" s="205"/>
      <c r="AX54" s="236"/>
      <c r="AY54" s="237"/>
      <c r="AZ54" s="237"/>
      <c r="BA54" s="237"/>
      <c r="BB54" s="237"/>
      <c r="BC54" s="237"/>
      <c r="BD54" s="68"/>
      <c r="BE54" s="68"/>
      <c r="BF54" s="68"/>
      <c r="BG54" s="68"/>
      <c r="BH54" s="68"/>
      <c r="BI54" s="68"/>
      <c r="BJ54" s="68"/>
    </row>
    <row r="55" spans="6:62" x14ac:dyDescent="0.3">
      <c r="AA55" s="6"/>
      <c r="AB55" s="6"/>
      <c r="AC55" s="6"/>
      <c r="AD55" s="6"/>
      <c r="AE55" s="6"/>
      <c r="AF55" s="6"/>
      <c r="AG55" s="6"/>
      <c r="AH55" s="6"/>
      <c r="AI55" s="6"/>
      <c r="AK55" s="68"/>
      <c r="AL55" s="68"/>
      <c r="AM55" s="68"/>
      <c r="AN55" s="68"/>
      <c r="AO55" s="68"/>
      <c r="AP55" s="68"/>
      <c r="AQ55" s="68"/>
      <c r="AR55" s="68"/>
      <c r="AS55" s="68"/>
      <c r="AT55" s="68"/>
      <c r="AU55" s="68"/>
      <c r="AV55" s="68"/>
      <c r="AW55" s="68"/>
      <c r="AX55" s="68"/>
      <c r="AY55" s="68"/>
      <c r="AZ55" s="68"/>
      <c r="BA55" s="68"/>
      <c r="BB55" s="68"/>
      <c r="BC55" s="68"/>
      <c r="BD55" s="68"/>
      <c r="BE55" s="68"/>
      <c r="BF55" s="68"/>
      <c r="BG55" s="68"/>
      <c r="BH55" s="68"/>
      <c r="BI55" s="68"/>
      <c r="BJ55" s="68"/>
    </row>
    <row r="56" spans="6:62" x14ac:dyDescent="0.3">
      <c r="F56" t="s">
        <v>262</v>
      </c>
      <c r="H56" s="1">
        <f>SUM(H43,H28)</f>
        <v>4670</v>
      </c>
      <c r="I56" s="1">
        <f t="shared" ref="I56:AB56" si="11">SUM(I43,I28)</f>
        <v>5329</v>
      </c>
      <c r="J56" s="1">
        <f t="shared" si="11"/>
        <v>5534</v>
      </c>
      <c r="K56" s="1">
        <f t="shared" si="11"/>
        <v>6657</v>
      </c>
      <c r="L56" s="1">
        <f t="shared" si="11"/>
        <v>4458</v>
      </c>
      <c r="M56" s="1">
        <f t="shared" si="11"/>
        <v>3457</v>
      </c>
      <c r="N56" s="1">
        <f t="shared" si="11"/>
        <v>2539</v>
      </c>
      <c r="O56" s="1">
        <f t="shared" si="11"/>
        <v>2013</v>
      </c>
      <c r="P56" s="1">
        <f t="shared" si="11"/>
        <v>3734</v>
      </c>
      <c r="Q56" s="1">
        <f t="shared" si="11"/>
        <v>2216</v>
      </c>
      <c r="R56" s="360">
        <f t="shared" si="11"/>
        <v>2292</v>
      </c>
      <c r="S56" s="1">
        <f t="shared" si="11"/>
        <v>3205</v>
      </c>
      <c r="T56" s="1">
        <f t="shared" si="11"/>
        <v>2993</v>
      </c>
      <c r="U56" s="1">
        <f t="shared" si="11"/>
        <v>3138</v>
      </c>
      <c r="V56" s="1">
        <f t="shared" si="11"/>
        <v>2248</v>
      </c>
      <c r="W56" s="1">
        <f t="shared" si="11"/>
        <v>2648</v>
      </c>
      <c r="X56" s="1">
        <f t="shared" si="11"/>
        <v>2368</v>
      </c>
      <c r="Y56" s="1">
        <f t="shared" si="11"/>
        <v>2140</v>
      </c>
      <c r="Z56" s="1">
        <f t="shared" si="11"/>
        <v>2511</v>
      </c>
      <c r="AA56" s="1">
        <f t="shared" si="11"/>
        <v>2752</v>
      </c>
      <c r="AB56" s="1">
        <f>SUM(AB43,AB28)</f>
        <v>3030</v>
      </c>
      <c r="AD56" s="6"/>
      <c r="AE56" s="6"/>
      <c r="AF56" s="6"/>
      <c r="AG56" s="6"/>
      <c r="AH56" s="6"/>
      <c r="AI56" s="6"/>
      <c r="AK56" s="68"/>
      <c r="AL56" s="68"/>
      <c r="AM56" s="68"/>
      <c r="AN56" s="68"/>
      <c r="AO56" s="68"/>
      <c r="AP56" s="68"/>
      <c r="AQ56" s="68"/>
      <c r="AR56" s="68"/>
      <c r="AS56" s="68"/>
      <c r="AT56" s="68"/>
      <c r="AU56" s="68"/>
      <c r="AV56" s="68"/>
      <c r="AW56" s="68"/>
      <c r="AX56" s="68"/>
      <c r="AY56" s="68"/>
      <c r="AZ56" s="68"/>
      <c r="BA56" s="68"/>
      <c r="BB56" s="68"/>
      <c r="BC56" s="68"/>
      <c r="BD56" s="231"/>
      <c r="BE56" s="231"/>
      <c r="BF56" s="68"/>
      <c r="BG56" s="68"/>
      <c r="BH56" s="68"/>
      <c r="BI56" s="68"/>
      <c r="BJ56" s="68"/>
    </row>
    <row r="57" spans="6:62" x14ac:dyDescent="0.3">
      <c r="AK57" s="68"/>
      <c r="AL57" s="68"/>
      <c r="AM57" s="68"/>
      <c r="AN57" s="68"/>
      <c r="AO57" s="68"/>
      <c r="AP57" s="68"/>
      <c r="AQ57" s="68"/>
      <c r="AR57" s="68"/>
      <c r="AS57" s="68"/>
      <c r="AT57" s="68"/>
      <c r="AU57" s="68"/>
      <c r="AV57" s="68"/>
      <c r="AW57" s="68"/>
      <c r="AX57" s="68"/>
      <c r="AY57" s="68"/>
      <c r="AZ57" s="68"/>
      <c r="BA57" s="68"/>
      <c r="BB57" s="68"/>
      <c r="BC57" s="68"/>
      <c r="BD57" s="68"/>
      <c r="BE57" s="68"/>
      <c r="BF57" s="68"/>
      <c r="BG57" s="68"/>
      <c r="BH57" s="68"/>
      <c r="BI57" s="68"/>
      <c r="BJ57" s="68"/>
    </row>
    <row r="58" spans="6:62" x14ac:dyDescent="0.3">
      <c r="AK58" s="68"/>
      <c r="AL58" s="68"/>
      <c r="AM58" s="68"/>
      <c r="AN58" s="68"/>
      <c r="AO58" s="68"/>
      <c r="AP58" s="68"/>
      <c r="AQ58" s="68"/>
      <c r="AR58" s="68"/>
      <c r="AS58" s="68"/>
      <c r="AT58" s="68"/>
      <c r="AU58" s="68"/>
      <c r="AV58" s="68"/>
      <c r="AW58" s="68"/>
      <c r="AX58" s="68"/>
      <c r="AY58" s="68"/>
      <c r="AZ58" s="68"/>
      <c r="BA58" s="68"/>
      <c r="BB58" s="68"/>
      <c r="BC58" s="68"/>
      <c r="BD58" s="68"/>
      <c r="BE58" s="68"/>
      <c r="BF58" s="68"/>
      <c r="BG58" s="68"/>
      <c r="BH58" s="68"/>
      <c r="BI58" s="68"/>
      <c r="BJ58" s="68"/>
    </row>
  </sheetData>
  <mergeCells count="17">
    <mergeCell ref="AE33:AE34"/>
    <mergeCell ref="AF33:AF34"/>
    <mergeCell ref="AG33:AG34"/>
    <mergeCell ref="AY33:AY34"/>
    <mergeCell ref="AZ33:AZ34"/>
    <mergeCell ref="BA33:BA34"/>
    <mergeCell ref="BC33:BC34"/>
    <mergeCell ref="BB33:BB34"/>
    <mergeCell ref="AH33:AH34"/>
    <mergeCell ref="AI33:AI34"/>
    <mergeCell ref="AJ33:AJ34"/>
    <mergeCell ref="F4:F5"/>
    <mergeCell ref="F25:F26"/>
    <mergeCell ref="F33:F34"/>
    <mergeCell ref="H4:Z4"/>
    <mergeCell ref="H25:AB25"/>
    <mergeCell ref="H33:AB33"/>
  </mergeCells>
  <pageMargins left="0.7" right="0.7" top="0.75" bottom="0.75" header="0.3" footer="0.3"/>
  <pageSetup scale="76" orientation="portrait" r:id="rId1"/>
  <colBreaks count="1" manualBreakCount="1">
    <brk id="29" max="1048575" man="1"/>
  </colBreaks>
  <ignoredErrors>
    <ignoredError sqref="J51:Z51 AJ35 AJ36:AJ51 J23 M23:Q23 U23:Z23" formulaRange="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12"/>
  <sheetViews>
    <sheetView workbookViewId="0">
      <selection activeCell="A13" sqref="A13"/>
    </sheetView>
  </sheetViews>
  <sheetFormatPr defaultRowHeight="14.4" x14ac:dyDescent="0.3"/>
  <cols>
    <col min="1" max="1" width="19.5546875" customWidth="1"/>
    <col min="2" max="2" width="14.33203125" customWidth="1"/>
    <col min="3" max="3" width="13.33203125" customWidth="1"/>
    <col min="4" max="4" width="13.5546875" customWidth="1"/>
  </cols>
  <sheetData>
    <row r="1" spans="1:4" x14ac:dyDescent="0.3">
      <c r="A1" s="111" t="s">
        <v>208</v>
      </c>
      <c r="B1" s="59"/>
      <c r="C1" s="59"/>
      <c r="D1" s="59"/>
    </row>
    <row r="2" spans="1:4" x14ac:dyDescent="0.3">
      <c r="A2" s="59"/>
      <c r="B2" s="59"/>
      <c r="C2" s="59"/>
      <c r="D2" s="59"/>
    </row>
    <row r="3" spans="1:4" x14ac:dyDescent="0.3">
      <c r="A3" s="151" t="s">
        <v>207</v>
      </c>
      <c r="B3" s="151" t="s">
        <v>206</v>
      </c>
      <c r="C3" s="151" t="s">
        <v>205</v>
      </c>
      <c r="D3" s="151" t="s">
        <v>204</v>
      </c>
    </row>
    <row r="4" spans="1:4" x14ac:dyDescent="0.3">
      <c r="A4" s="59" t="s">
        <v>203</v>
      </c>
      <c r="B4" s="158">
        <v>70856</v>
      </c>
      <c r="C4" s="1">
        <v>98080</v>
      </c>
      <c r="D4" s="1">
        <v>130220</v>
      </c>
    </row>
    <row r="5" spans="1:4" x14ac:dyDescent="0.3">
      <c r="A5" s="59" t="s">
        <v>202</v>
      </c>
      <c r="B5" s="158">
        <v>0.37</v>
      </c>
      <c r="C5" s="59">
        <v>0.52</v>
      </c>
      <c r="D5" s="59">
        <v>0.69</v>
      </c>
    </row>
    <row r="6" spans="1:4" x14ac:dyDescent="0.3">
      <c r="A6" s="59" t="s">
        <v>201</v>
      </c>
      <c r="B6" s="158">
        <v>0.37</v>
      </c>
      <c r="C6" s="59">
        <v>0.52</v>
      </c>
      <c r="D6" s="59">
        <v>0.63</v>
      </c>
    </row>
    <row r="7" spans="1:4" x14ac:dyDescent="0.3">
      <c r="A7" s="59" t="s">
        <v>200</v>
      </c>
      <c r="B7" s="158">
        <v>1.96</v>
      </c>
      <c r="C7" s="59">
        <v>3.3</v>
      </c>
      <c r="D7" s="59">
        <v>6.56</v>
      </c>
    </row>
    <row r="8" spans="1:4" x14ac:dyDescent="0.3">
      <c r="A8" s="59" t="s">
        <v>199</v>
      </c>
      <c r="B8" s="158">
        <v>39872</v>
      </c>
      <c r="C8" s="1">
        <v>68650</v>
      </c>
      <c r="D8" s="1">
        <v>100733</v>
      </c>
    </row>
    <row r="9" spans="1:4" x14ac:dyDescent="0.3">
      <c r="A9" s="59" t="s">
        <v>198</v>
      </c>
      <c r="B9" s="158">
        <v>407792</v>
      </c>
      <c r="C9" s="1">
        <v>462633</v>
      </c>
      <c r="D9" s="1">
        <v>534040</v>
      </c>
    </row>
    <row r="10" spans="1:4" x14ac:dyDescent="0.3">
      <c r="A10" s="59" t="s">
        <v>197</v>
      </c>
      <c r="B10" s="158">
        <v>0.08</v>
      </c>
      <c r="C10" s="59">
        <v>0.2</v>
      </c>
      <c r="D10" s="59">
        <v>0.41</v>
      </c>
    </row>
    <row r="11" spans="1:4" x14ac:dyDescent="0.3">
      <c r="A11" s="59"/>
      <c r="B11" s="59"/>
      <c r="C11" s="59"/>
      <c r="D11" s="59"/>
    </row>
    <row r="12" spans="1:4" x14ac:dyDescent="0.3">
      <c r="A12" s="59" t="s">
        <v>219</v>
      </c>
      <c r="B12" s="59"/>
      <c r="C12" s="59"/>
      <c r="D12" s="59"/>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F23"/>
  <sheetViews>
    <sheetView workbookViewId="0">
      <selection activeCell="H9" sqref="H9"/>
    </sheetView>
  </sheetViews>
  <sheetFormatPr defaultRowHeight="14.4" x14ac:dyDescent="0.3"/>
  <cols>
    <col min="1" max="1" width="20" customWidth="1"/>
    <col min="2" max="2" width="4.5546875" customWidth="1"/>
    <col min="3" max="3" width="10.88671875" customWidth="1"/>
    <col min="6" max="6" width="25.5546875" customWidth="1"/>
  </cols>
  <sheetData>
    <row r="2" spans="1:6" ht="28.8" x14ac:dyDescent="0.3">
      <c r="A2" s="41" t="s">
        <v>68</v>
      </c>
      <c r="B2" s="42" t="s">
        <v>75</v>
      </c>
      <c r="C2" s="43" t="s">
        <v>114</v>
      </c>
      <c r="D2" s="43" t="s">
        <v>71</v>
      </c>
      <c r="F2" s="55"/>
    </row>
    <row r="3" spans="1:6" x14ac:dyDescent="0.3">
      <c r="A3" s="44" t="s">
        <v>36</v>
      </c>
      <c r="B3" s="44" t="s">
        <v>14</v>
      </c>
      <c r="C3" s="45"/>
      <c r="D3" s="79"/>
    </row>
    <row r="4" spans="1:6" x14ac:dyDescent="0.3">
      <c r="A4" s="44" t="s">
        <v>37</v>
      </c>
      <c r="B4" s="44" t="s">
        <v>1</v>
      </c>
      <c r="C4" s="45">
        <v>2526</v>
      </c>
      <c r="D4" s="80">
        <f>C4/$C$20</f>
        <v>3.9519384211020372E-2</v>
      </c>
    </row>
    <row r="5" spans="1:6" x14ac:dyDescent="0.3">
      <c r="A5" s="44" t="s">
        <v>38</v>
      </c>
      <c r="B5" s="44" t="s">
        <v>2</v>
      </c>
      <c r="C5" s="45">
        <v>9698</v>
      </c>
      <c r="D5" s="80">
        <f>C5/$C$20</f>
        <v>0.15172564848712414</v>
      </c>
    </row>
    <row r="6" spans="1:6" x14ac:dyDescent="0.3">
      <c r="A6" s="44" t="s">
        <v>39</v>
      </c>
      <c r="B6" s="44" t="s">
        <v>3</v>
      </c>
      <c r="C6" s="45">
        <v>7294</v>
      </c>
      <c r="D6" s="80">
        <f>C6/$C$20</f>
        <v>0.11411495979223379</v>
      </c>
    </row>
    <row r="7" spans="1:6" x14ac:dyDescent="0.3">
      <c r="A7" s="44" t="s">
        <v>72</v>
      </c>
      <c r="B7" s="44" t="s">
        <v>69</v>
      </c>
      <c r="C7" s="46"/>
      <c r="D7" s="80"/>
    </row>
    <row r="8" spans="1:6" x14ac:dyDescent="0.3">
      <c r="A8" s="44" t="s">
        <v>63</v>
      </c>
      <c r="B8" s="44" t="s">
        <v>13</v>
      </c>
      <c r="C8" s="45"/>
      <c r="D8" s="80"/>
    </row>
    <row r="9" spans="1:6" x14ac:dyDescent="0.3">
      <c r="A9" s="44" t="s">
        <v>40</v>
      </c>
      <c r="B9" s="44" t="s">
        <v>16</v>
      </c>
      <c r="C9" s="45"/>
      <c r="D9" s="80"/>
    </row>
    <row r="10" spans="1:6" x14ac:dyDescent="0.3">
      <c r="A10" s="44" t="s">
        <v>41</v>
      </c>
      <c r="B10" s="44" t="s">
        <v>4</v>
      </c>
      <c r="C10" s="45">
        <v>2500</v>
      </c>
      <c r="D10" s="80">
        <f>C10/$C$20</f>
        <v>3.9112613035451674E-2</v>
      </c>
    </row>
    <row r="11" spans="1:6" x14ac:dyDescent="0.3">
      <c r="A11" s="44" t="s">
        <v>42</v>
      </c>
      <c r="B11" s="44" t="s">
        <v>5</v>
      </c>
      <c r="C11" s="45">
        <v>6700</v>
      </c>
      <c r="D11" s="80">
        <f>C11/$C$20</f>
        <v>0.10482180293501048</v>
      </c>
    </row>
    <row r="12" spans="1:6" x14ac:dyDescent="0.3">
      <c r="A12" s="44" t="s">
        <v>43</v>
      </c>
      <c r="B12" s="44" t="s">
        <v>15</v>
      </c>
      <c r="C12" s="45"/>
      <c r="D12" s="80"/>
    </row>
    <row r="13" spans="1:6" x14ac:dyDescent="0.3">
      <c r="A13" s="44" t="s">
        <v>65</v>
      </c>
      <c r="B13" s="44" t="s">
        <v>6</v>
      </c>
      <c r="C13" s="45"/>
      <c r="D13" s="80"/>
    </row>
    <row r="14" spans="1:6" x14ac:dyDescent="0.3">
      <c r="A14" s="44" t="s">
        <v>44</v>
      </c>
      <c r="B14" s="44" t="s">
        <v>7</v>
      </c>
      <c r="C14" s="45">
        <v>14500</v>
      </c>
      <c r="D14" s="80">
        <f t="shared" ref="D14:D19" si="0">C14/$C$20</f>
        <v>0.22685315560561969</v>
      </c>
    </row>
    <row r="15" spans="1:6" x14ac:dyDescent="0.3">
      <c r="A15" s="44" t="s">
        <v>45</v>
      </c>
      <c r="B15" s="44" t="s">
        <v>8</v>
      </c>
      <c r="C15" s="45">
        <v>2500</v>
      </c>
      <c r="D15" s="80">
        <f t="shared" si="0"/>
        <v>3.9112613035451674E-2</v>
      </c>
    </row>
    <row r="16" spans="1:6" x14ac:dyDescent="0.3">
      <c r="A16" s="44" t="s">
        <v>46</v>
      </c>
      <c r="B16" s="44" t="s">
        <v>9</v>
      </c>
      <c r="C16" s="45">
        <v>2500</v>
      </c>
      <c r="D16" s="80">
        <f t="shared" si="0"/>
        <v>3.9112613035451674E-2</v>
      </c>
    </row>
    <row r="17" spans="1:4" x14ac:dyDescent="0.3">
      <c r="A17" s="44" t="s">
        <v>47</v>
      </c>
      <c r="B17" s="44" t="s">
        <v>10</v>
      </c>
      <c r="C17" s="45">
        <v>2500</v>
      </c>
      <c r="D17" s="80">
        <f t="shared" si="0"/>
        <v>3.9112613035451674E-2</v>
      </c>
    </row>
    <row r="18" spans="1:4" x14ac:dyDescent="0.3">
      <c r="A18" s="44" t="s">
        <v>48</v>
      </c>
      <c r="B18" s="44" t="s">
        <v>11</v>
      </c>
      <c r="C18" s="45">
        <v>8376</v>
      </c>
      <c r="D18" s="80">
        <f t="shared" si="0"/>
        <v>0.13104289871397728</v>
      </c>
    </row>
    <row r="19" spans="1:4" x14ac:dyDescent="0.3">
      <c r="A19" s="44" t="s">
        <v>49</v>
      </c>
      <c r="B19" s="44" t="s">
        <v>12</v>
      </c>
      <c r="C19" s="45">
        <v>4824</v>
      </c>
      <c r="D19" s="80">
        <f t="shared" si="0"/>
        <v>7.5471698113207544E-2</v>
      </c>
    </row>
    <row r="20" spans="1:4" x14ac:dyDescent="0.3">
      <c r="A20" s="47" t="s">
        <v>70</v>
      </c>
      <c r="B20" s="47"/>
      <c r="C20" s="48">
        <v>63918</v>
      </c>
      <c r="D20" s="48"/>
    </row>
    <row r="22" spans="1:4" x14ac:dyDescent="0.3">
      <c r="A22" s="49" t="s">
        <v>73</v>
      </c>
    </row>
    <row r="23" spans="1:4" x14ac:dyDescent="0.3">
      <c r="A23" s="50" t="s">
        <v>74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Q23"/>
  <sheetViews>
    <sheetView workbookViewId="0">
      <selection activeCell="A8" sqref="A8"/>
    </sheetView>
  </sheetViews>
  <sheetFormatPr defaultRowHeight="14.4" x14ac:dyDescent="0.3"/>
  <cols>
    <col min="1" max="1" width="8.109375" customWidth="1"/>
    <col min="2" max="2" width="8.5546875" customWidth="1"/>
    <col min="3" max="3" width="11.109375" style="1" customWidth="1"/>
    <col min="4" max="4" width="10.33203125" customWidth="1"/>
    <col min="17" max="17" width="10.33203125" customWidth="1"/>
  </cols>
  <sheetData>
    <row r="1" spans="1:17" ht="14.4" customHeight="1" x14ac:dyDescent="0.3">
      <c r="A1" s="13"/>
      <c r="B1" s="17" t="s">
        <v>29</v>
      </c>
      <c r="C1" s="18" t="s">
        <v>24</v>
      </c>
      <c r="N1" s="2" t="s">
        <v>32</v>
      </c>
      <c r="O1" s="3"/>
      <c r="P1" s="3"/>
      <c r="Q1" s="4"/>
    </row>
    <row r="2" spans="1:17" ht="14.4" customHeight="1" thickBot="1" x14ac:dyDescent="0.35">
      <c r="A2" s="19" t="s">
        <v>21</v>
      </c>
      <c r="B2" s="19" t="s">
        <v>22</v>
      </c>
      <c r="C2" s="20" t="s">
        <v>23</v>
      </c>
      <c r="D2" s="222"/>
      <c r="N2" s="5" t="str">
        <f>B2</f>
        <v>Group</v>
      </c>
      <c r="O2" s="6" t="str">
        <f>B2</f>
        <v>Group</v>
      </c>
      <c r="P2" s="6" t="str">
        <f>B2</f>
        <v>Group</v>
      </c>
      <c r="Q2" s="7" t="s">
        <v>22</v>
      </c>
    </row>
    <row r="3" spans="1:17" ht="14.4" customHeight="1" thickBot="1" x14ac:dyDescent="0.35">
      <c r="A3" t="s">
        <v>14</v>
      </c>
      <c r="B3">
        <f>Compilation!C8</f>
        <v>0</v>
      </c>
      <c r="C3" s="1">
        <v>434500</v>
      </c>
      <c r="N3" s="8" t="s">
        <v>20</v>
      </c>
      <c r="O3" s="9" t="s">
        <v>19</v>
      </c>
      <c r="P3" s="9" t="s">
        <v>25</v>
      </c>
      <c r="Q3" s="10" t="s">
        <v>26</v>
      </c>
    </row>
    <row r="4" spans="1:17" ht="14.4" customHeight="1" x14ac:dyDescent="0.3">
      <c r="A4" t="s">
        <v>1</v>
      </c>
      <c r="B4" s="59" t="str">
        <f>Compilation!C9</f>
        <v>CMA</v>
      </c>
      <c r="C4" s="1">
        <v>3460100</v>
      </c>
      <c r="D4" s="221"/>
      <c r="F4" t="s">
        <v>17</v>
      </c>
    </row>
    <row r="5" spans="1:17" ht="14.4" customHeight="1" x14ac:dyDescent="0.3">
      <c r="A5" t="s">
        <v>2</v>
      </c>
      <c r="B5" s="59">
        <f>Compilation!C10</f>
        <v>0</v>
      </c>
      <c r="C5" s="1">
        <v>1947800</v>
      </c>
      <c r="D5" s="221"/>
      <c r="F5" t="s">
        <v>18</v>
      </c>
    </row>
    <row r="6" spans="1:17" ht="14.4" customHeight="1" x14ac:dyDescent="0.3">
      <c r="A6" t="s">
        <v>3</v>
      </c>
      <c r="B6" s="59" t="str">
        <f>Compilation!C11</f>
        <v>CMA</v>
      </c>
      <c r="C6" s="1">
        <v>1229700</v>
      </c>
      <c r="D6" s="221"/>
      <c r="F6" t="s">
        <v>30</v>
      </c>
    </row>
    <row r="7" spans="1:17" ht="14.4" customHeight="1" x14ac:dyDescent="0.3">
      <c r="A7" t="s">
        <v>92</v>
      </c>
      <c r="B7" s="59">
        <f>Compilation!C12</f>
        <v>0</v>
      </c>
      <c r="C7" s="1">
        <v>16187036</v>
      </c>
      <c r="D7" s="221"/>
      <c r="F7" s="50" t="s">
        <v>91</v>
      </c>
    </row>
    <row r="8" spans="1:17" ht="14.4" customHeight="1" x14ac:dyDescent="0.3">
      <c r="A8" t="s">
        <v>13</v>
      </c>
      <c r="B8" s="59">
        <f>Compilation!C13</f>
        <v>0</v>
      </c>
      <c r="C8" s="1">
        <v>2432100</v>
      </c>
      <c r="D8" s="221"/>
      <c r="F8" t="str">
        <f>IF($B3="CMA",C3/DSUM(EEZAREA,$C$2,$N$2:$N$3),"")</f>
        <v/>
      </c>
    </row>
    <row r="9" spans="1:17" ht="14.4" customHeight="1" x14ac:dyDescent="0.3">
      <c r="A9" t="s">
        <v>16</v>
      </c>
      <c r="B9" s="59">
        <f>Compilation!C14</f>
        <v>0</v>
      </c>
      <c r="C9" s="1">
        <v>1111900</v>
      </c>
      <c r="D9" s="221"/>
    </row>
    <row r="10" spans="1:17" ht="14.4" customHeight="1" x14ac:dyDescent="0.3">
      <c r="A10" t="s">
        <v>4</v>
      </c>
      <c r="B10" s="59" t="str">
        <f>Compilation!C15</f>
        <v>CMA</v>
      </c>
      <c r="C10" s="1">
        <v>297000</v>
      </c>
      <c r="D10" s="221"/>
    </row>
    <row r="11" spans="1:17" ht="14.4" customHeight="1" x14ac:dyDescent="0.3">
      <c r="A11" t="s">
        <v>5</v>
      </c>
      <c r="B11" s="59" t="str">
        <f>Compilation!C16</f>
        <v>CMA</v>
      </c>
      <c r="C11" s="1">
        <v>3624800</v>
      </c>
      <c r="D11" s="221"/>
    </row>
    <row r="12" spans="1:17" ht="14.4" customHeight="1" x14ac:dyDescent="0.3">
      <c r="A12" t="s">
        <v>15</v>
      </c>
      <c r="B12" s="59">
        <f>Compilation!C17</f>
        <v>0</v>
      </c>
      <c r="C12" s="1">
        <v>4743000</v>
      </c>
      <c r="D12" s="221"/>
    </row>
    <row r="13" spans="1:17" ht="14.4" customHeight="1" x14ac:dyDescent="0.3">
      <c r="A13" t="s">
        <v>6</v>
      </c>
      <c r="B13" s="59">
        <f>Compilation!C18</f>
        <v>0</v>
      </c>
      <c r="C13" s="1">
        <v>2117100</v>
      </c>
      <c r="D13" s="221"/>
    </row>
    <row r="14" spans="1:17" ht="14.4" customHeight="1" x14ac:dyDescent="0.3">
      <c r="A14" t="s">
        <v>7</v>
      </c>
      <c r="B14" s="59" t="str">
        <f>Compilation!C19</f>
        <v>CMA</v>
      </c>
      <c r="C14" s="1">
        <v>1553400</v>
      </c>
      <c r="D14" s="221"/>
    </row>
    <row r="15" spans="1:17" ht="14.4" customHeight="1" x14ac:dyDescent="0.3">
      <c r="A15" t="s">
        <v>8</v>
      </c>
      <c r="B15" s="59" t="str">
        <f>Compilation!C20</f>
        <v>CMA</v>
      </c>
      <c r="C15" s="1">
        <v>319000</v>
      </c>
      <c r="D15" s="221"/>
    </row>
    <row r="16" spans="1:17" ht="14.4" customHeight="1" x14ac:dyDescent="0.3">
      <c r="A16" t="s">
        <v>9</v>
      </c>
      <c r="B16" s="59" t="str">
        <f>Compilation!C21</f>
        <v>CMA</v>
      </c>
      <c r="C16" s="1">
        <v>676400</v>
      </c>
      <c r="D16" s="221"/>
    </row>
    <row r="17" spans="1:4" ht="14.4" customHeight="1" x14ac:dyDescent="0.3">
      <c r="A17" t="s">
        <v>10</v>
      </c>
      <c r="B17" s="59" t="str">
        <f>Compilation!C22</f>
        <v>CMA</v>
      </c>
      <c r="C17" s="1">
        <v>719200</v>
      </c>
      <c r="D17" s="221"/>
    </row>
    <row r="18" spans="1:4" ht="14.4" customHeight="1" x14ac:dyDescent="0.3">
      <c r="A18" t="s">
        <v>11</v>
      </c>
      <c r="B18" s="59" t="str">
        <f>Compilation!C23</f>
        <v>CMA</v>
      </c>
      <c r="C18" s="1">
        <v>816100</v>
      </c>
      <c r="D18" s="221"/>
    </row>
    <row r="19" spans="1:4" ht="14.4" customHeight="1" x14ac:dyDescent="0.3">
      <c r="A19" t="s">
        <v>12</v>
      </c>
      <c r="B19" s="59" t="str">
        <f>Compilation!C24</f>
        <v>CMA</v>
      </c>
      <c r="C19" s="1">
        <v>120000</v>
      </c>
      <c r="D19" s="221"/>
    </row>
    <row r="20" spans="1:4" ht="15" thickBot="1" x14ac:dyDescent="0.35">
      <c r="A20" s="19" t="s">
        <v>27</v>
      </c>
      <c r="B20" s="13"/>
      <c r="C20" s="14">
        <f>SUM(C3:C19)</f>
        <v>41789136</v>
      </c>
      <c r="D20" s="223"/>
    </row>
    <row r="21" spans="1:4" x14ac:dyDescent="0.3">
      <c r="A21" s="19" t="s">
        <v>28</v>
      </c>
      <c r="B21" s="13"/>
      <c r="C21" s="14">
        <f>C20</f>
        <v>41789136</v>
      </c>
      <c r="D21" s="1"/>
    </row>
    <row r="22" spans="1:4" x14ac:dyDescent="0.3">
      <c r="D22" s="1"/>
    </row>
    <row r="23" spans="1:4" x14ac:dyDescent="0.3">
      <c r="C23" s="1" t="e">
        <f>PERCENTRANK(C5,D22)</f>
        <v>#N/A</v>
      </c>
    </row>
  </sheetData>
  <sortState xmlns:xlrd2="http://schemas.microsoft.com/office/spreadsheetml/2017/richdata2" ref="A3:F18">
    <sortCondition ref="A3:A18"/>
  </sortState>
  <pageMargins left="0.7" right="0.7" top="0.75" bottom="0.75" header="0.3" footer="0.3"/>
  <pageSetup orientation="portrait" horizontalDpi="4294967295" verticalDpi="4294967295"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T23"/>
  <sheetViews>
    <sheetView workbookViewId="0"/>
  </sheetViews>
  <sheetFormatPr defaultColWidth="8.88671875" defaultRowHeight="14.4" x14ac:dyDescent="0.3"/>
  <cols>
    <col min="1" max="7" width="8.88671875" style="59"/>
    <col min="8" max="8" width="12" style="59" customWidth="1"/>
    <col min="9" max="19" width="8.88671875" style="59"/>
    <col min="20" max="20" width="15.44140625" style="59" customWidth="1"/>
    <col min="21" max="16384" width="8.88671875" style="59"/>
  </cols>
  <sheetData>
    <row r="1" spans="1:20" x14ac:dyDescent="0.3">
      <c r="A1" s="59" t="s">
        <v>289</v>
      </c>
    </row>
    <row r="2" spans="1:20" x14ac:dyDescent="0.3">
      <c r="P2" s="425" t="s">
        <v>288</v>
      </c>
      <c r="Q2" s="425"/>
      <c r="T2" s="6"/>
    </row>
    <row r="3" spans="1:20" ht="86.4" customHeight="1" x14ac:dyDescent="0.3">
      <c r="B3" s="108" t="s">
        <v>287</v>
      </c>
      <c r="C3" s="108" t="s">
        <v>286</v>
      </c>
      <c r="D3" s="108" t="s">
        <v>285</v>
      </c>
      <c r="E3" s="108" t="s">
        <v>284</v>
      </c>
      <c r="F3" s="108" t="s">
        <v>105</v>
      </c>
      <c r="G3" s="108" t="s">
        <v>133</v>
      </c>
      <c r="H3" s="108" t="s">
        <v>283</v>
      </c>
      <c r="I3" s="108" t="s">
        <v>282</v>
      </c>
      <c r="J3" s="108" t="s">
        <v>281</v>
      </c>
      <c r="P3" s="108" t="s">
        <v>280</v>
      </c>
      <c r="Q3" s="108" t="s">
        <v>279</v>
      </c>
      <c r="T3" s="388" t="s">
        <v>293</v>
      </c>
    </row>
    <row r="4" spans="1:20" x14ac:dyDescent="0.3">
      <c r="A4" s="88" t="s">
        <v>123</v>
      </c>
      <c r="B4" s="119" t="s">
        <v>124</v>
      </c>
      <c r="C4" s="119" t="s">
        <v>125</v>
      </c>
      <c r="D4" s="119" t="s">
        <v>126</v>
      </c>
      <c r="E4" s="119" t="s">
        <v>128</v>
      </c>
      <c r="F4" s="119" t="s">
        <v>132</v>
      </c>
      <c r="G4" s="119" t="s">
        <v>138</v>
      </c>
      <c r="H4" s="119" t="s">
        <v>143</v>
      </c>
      <c r="I4" s="119" t="s">
        <v>278</v>
      </c>
      <c r="J4" s="119" t="s">
        <v>277</v>
      </c>
      <c r="P4" s="119"/>
      <c r="Q4" s="119"/>
      <c r="S4" s="368" t="s">
        <v>1</v>
      </c>
      <c r="T4" s="387">
        <v>3.5</v>
      </c>
    </row>
    <row r="5" spans="1:20" x14ac:dyDescent="0.3">
      <c r="A5" s="88"/>
      <c r="B5" s="116">
        <v>4667</v>
      </c>
      <c r="C5" s="385">
        <v>1741.5</v>
      </c>
      <c r="D5" s="385">
        <v>4014.6666666666665</v>
      </c>
      <c r="E5" s="385">
        <v>4119</v>
      </c>
      <c r="F5" s="385"/>
      <c r="G5" s="385">
        <v>2088.9668490914978</v>
      </c>
      <c r="H5" s="385">
        <v>434500</v>
      </c>
      <c r="I5" s="385">
        <v>999.17399999999975</v>
      </c>
      <c r="J5" s="391"/>
      <c r="P5" s="11"/>
      <c r="Q5" s="11"/>
      <c r="S5" s="368" t="s">
        <v>2</v>
      </c>
      <c r="T5" s="387">
        <v>18</v>
      </c>
    </row>
    <row r="6" spans="1:20" x14ac:dyDescent="0.3">
      <c r="A6" s="88" t="s">
        <v>20</v>
      </c>
      <c r="B6" s="116">
        <v>2526</v>
      </c>
      <c r="C6" s="385">
        <v>667</v>
      </c>
      <c r="D6" s="385">
        <v>1954.6666666666667</v>
      </c>
      <c r="E6" s="385">
        <v>1572.4</v>
      </c>
      <c r="F6" s="385">
        <v>2526</v>
      </c>
      <c r="G6" s="385">
        <v>13569.260289306716</v>
      </c>
      <c r="H6" s="385">
        <v>3460100</v>
      </c>
      <c r="I6" s="385">
        <v>4858</v>
      </c>
      <c r="J6" s="391">
        <f>P6+Q6</f>
        <v>1E-3</v>
      </c>
      <c r="K6" s="59" t="s">
        <v>1</v>
      </c>
      <c r="P6" s="11">
        <v>0</v>
      </c>
      <c r="Q6" s="11">
        <v>1E-3</v>
      </c>
      <c r="R6" s="386"/>
      <c r="S6" s="368" t="s">
        <v>3</v>
      </c>
      <c r="T6" s="387">
        <v>6.25</v>
      </c>
    </row>
    <row r="7" spans="1:20" x14ac:dyDescent="0.3">
      <c r="A7" s="88"/>
      <c r="B7" s="116">
        <v>10235</v>
      </c>
      <c r="C7" s="385">
        <v>5375.5</v>
      </c>
      <c r="D7" s="385">
        <v>7234.666666666667</v>
      </c>
      <c r="E7" s="385">
        <v>6181.6</v>
      </c>
      <c r="F7" s="385">
        <v>9698</v>
      </c>
      <c r="G7" s="385">
        <v>9078.945433025694</v>
      </c>
      <c r="H7" s="385">
        <v>1947800</v>
      </c>
      <c r="I7" s="385">
        <v>8533.01</v>
      </c>
      <c r="J7" s="391">
        <f>P7+Q7</f>
        <v>0.01</v>
      </c>
      <c r="K7" s="59" t="s">
        <v>292</v>
      </c>
      <c r="P7" s="11"/>
      <c r="Q7" s="11">
        <v>0.01</v>
      </c>
      <c r="R7" s="386"/>
      <c r="S7" s="368" t="s">
        <v>13</v>
      </c>
      <c r="T7" s="387" t="s">
        <v>24</v>
      </c>
    </row>
    <row r="8" spans="1:20" x14ac:dyDescent="0.3">
      <c r="A8" s="88" t="s">
        <v>20</v>
      </c>
      <c r="B8" s="116">
        <v>5744</v>
      </c>
      <c r="C8" s="385">
        <v>4183</v>
      </c>
      <c r="D8" s="385">
        <v>5608.666666666667</v>
      </c>
      <c r="E8" s="385">
        <v>6199.4</v>
      </c>
      <c r="F8" s="385">
        <v>7294</v>
      </c>
      <c r="G8" s="385">
        <v>6631.7598374790514</v>
      </c>
      <c r="H8" s="385">
        <v>1229700</v>
      </c>
      <c r="I8" s="385">
        <v>14722.89</v>
      </c>
      <c r="J8" s="391">
        <f>P8+Q8</f>
        <v>1.6E-2</v>
      </c>
      <c r="K8" s="59" t="s">
        <v>3</v>
      </c>
      <c r="P8" s="11">
        <v>0</v>
      </c>
      <c r="Q8" s="11">
        <v>1.6E-2</v>
      </c>
      <c r="R8" s="386"/>
      <c r="S8" s="368" t="s">
        <v>4</v>
      </c>
      <c r="T8" s="387">
        <v>3.5</v>
      </c>
    </row>
    <row r="9" spans="1:20" x14ac:dyDescent="0.3">
      <c r="A9" s="88"/>
      <c r="B9" s="116">
        <v>37317</v>
      </c>
      <c r="C9" s="385">
        <v>25285</v>
      </c>
      <c r="D9" s="385">
        <v>32731.666666666668</v>
      </c>
      <c r="E9" s="385">
        <v>31386.400000000001</v>
      </c>
      <c r="F9" s="385"/>
      <c r="G9" s="385">
        <v>51501.694097991473</v>
      </c>
      <c r="H9" s="385">
        <v>16187036</v>
      </c>
      <c r="I9" s="385">
        <v>45865.053795131287</v>
      </c>
      <c r="J9" s="391"/>
      <c r="P9" s="11"/>
      <c r="Q9" s="11">
        <v>0</v>
      </c>
      <c r="S9" s="368" t="s">
        <v>270</v>
      </c>
      <c r="T9" s="387">
        <v>3.5</v>
      </c>
    </row>
    <row r="10" spans="1:20" x14ac:dyDescent="0.3">
      <c r="A10" s="88"/>
      <c r="B10" s="116">
        <v>2772</v>
      </c>
      <c r="C10" s="385">
        <v>2049</v>
      </c>
      <c r="D10" s="385">
        <v>1789.3333333333333</v>
      </c>
      <c r="E10" s="385">
        <v>1546.6</v>
      </c>
      <c r="F10" s="385"/>
      <c r="G10" s="385">
        <v>7850</v>
      </c>
      <c r="H10" s="385">
        <v>2432100</v>
      </c>
      <c r="I10" s="385">
        <v>23035.245681720644</v>
      </c>
      <c r="J10" s="391">
        <f t="shared" ref="J10" si="0">P10+Q10</f>
        <v>0.16</v>
      </c>
      <c r="K10" s="59" t="s">
        <v>291</v>
      </c>
      <c r="P10" s="11"/>
      <c r="Q10" s="11">
        <v>0.16</v>
      </c>
      <c r="S10" s="368" t="s">
        <v>6</v>
      </c>
      <c r="T10" s="387" t="s">
        <v>24</v>
      </c>
    </row>
    <row r="11" spans="1:20" x14ac:dyDescent="0.3">
      <c r="A11" s="88"/>
      <c r="B11" s="116">
        <v>1923</v>
      </c>
      <c r="C11" s="385">
        <v>1668</v>
      </c>
      <c r="D11" s="385">
        <v>1789</v>
      </c>
      <c r="E11" s="385">
        <v>1738.2</v>
      </c>
      <c r="F11" s="385"/>
      <c r="G11" s="385">
        <v>8812</v>
      </c>
      <c r="H11" s="385">
        <v>1111900</v>
      </c>
      <c r="I11" s="385">
        <v>193.28399999999999</v>
      </c>
      <c r="J11" s="391"/>
      <c r="P11" s="11"/>
      <c r="Q11" s="11"/>
      <c r="S11" s="368" t="s">
        <v>7</v>
      </c>
      <c r="T11" s="168">
        <v>19</v>
      </c>
    </row>
    <row r="12" spans="1:20" x14ac:dyDescent="0.3">
      <c r="A12" s="88" t="s">
        <v>20</v>
      </c>
      <c r="B12" s="116">
        <v>362</v>
      </c>
      <c r="C12" s="385">
        <v>285</v>
      </c>
      <c r="D12" s="385">
        <v>319</v>
      </c>
      <c r="E12" s="385">
        <v>282.8</v>
      </c>
      <c r="F12" s="385">
        <v>2500</v>
      </c>
      <c r="G12" s="385">
        <v>1644.1788572774856</v>
      </c>
      <c r="H12" s="385">
        <v>297000</v>
      </c>
      <c r="I12" s="385">
        <v>265.84199999999998</v>
      </c>
      <c r="J12" s="391">
        <f>P12+Q12</f>
        <v>4.7152151176049636E-2</v>
      </c>
      <c r="K12" s="59" t="s">
        <v>4</v>
      </c>
      <c r="P12" s="11">
        <v>4.1521511760496373E-3</v>
      </c>
      <c r="Q12" s="11">
        <v>4.2999999999999997E-2</v>
      </c>
      <c r="S12" s="368" t="s">
        <v>8</v>
      </c>
      <c r="T12" s="389">
        <v>7.5</v>
      </c>
    </row>
    <row r="13" spans="1:20" x14ac:dyDescent="0.3">
      <c r="A13" s="88" t="s">
        <v>20</v>
      </c>
      <c r="B13" s="116">
        <v>3734</v>
      </c>
      <c r="C13" s="385">
        <v>2893</v>
      </c>
      <c r="D13" s="385">
        <v>3359</v>
      </c>
      <c r="E13" s="385">
        <v>5142.3999999999996</v>
      </c>
      <c r="F13" s="385">
        <v>6700</v>
      </c>
      <c r="G13" s="385">
        <v>8213.6772401192011</v>
      </c>
      <c r="H13" s="385">
        <v>3624800</v>
      </c>
      <c r="I13" s="385">
        <v>334.79835727363354</v>
      </c>
      <c r="J13" s="391">
        <f>P13+Q13</f>
        <v>1.1666666666666668E-3</v>
      </c>
      <c r="K13" s="59" t="s">
        <v>5</v>
      </c>
      <c r="P13" s="11">
        <v>0</v>
      </c>
      <c r="Q13" s="11">
        <v>1.1666666666666668E-3</v>
      </c>
      <c r="S13" s="368" t="s">
        <v>9</v>
      </c>
      <c r="T13" s="389">
        <v>7</v>
      </c>
    </row>
    <row r="14" spans="1:20" x14ac:dyDescent="0.3">
      <c r="A14" s="88"/>
      <c r="B14" s="116">
        <v>3924</v>
      </c>
      <c r="C14" s="385">
        <v>3619</v>
      </c>
      <c r="D14" s="385">
        <v>3752.6666666666665</v>
      </c>
      <c r="E14" s="385">
        <v>4059.2</v>
      </c>
      <c r="F14" s="385"/>
      <c r="G14" s="385">
        <v>26584.461165805846</v>
      </c>
      <c r="H14" s="385">
        <v>4743000</v>
      </c>
      <c r="I14" s="385">
        <v>1445.296</v>
      </c>
      <c r="J14" s="391"/>
      <c r="P14" s="11"/>
      <c r="Q14" s="11"/>
      <c r="S14" s="368" t="s">
        <v>10</v>
      </c>
      <c r="T14" s="389">
        <v>16</v>
      </c>
    </row>
    <row r="15" spans="1:20" x14ac:dyDescent="0.3">
      <c r="A15" s="88" t="s">
        <v>20</v>
      </c>
      <c r="B15" s="116">
        <v>1919</v>
      </c>
      <c r="C15" s="385">
        <v>331</v>
      </c>
      <c r="D15" s="385">
        <v>1524.3333333333333</v>
      </c>
      <c r="E15" s="385">
        <v>1656.6</v>
      </c>
      <c r="F15" s="385">
        <v>2500</v>
      </c>
      <c r="G15" s="385">
        <v>5062.7204771601382</v>
      </c>
      <c r="H15" s="385">
        <v>2117100</v>
      </c>
      <c r="I15" s="385">
        <v>1305.8114349238606</v>
      </c>
      <c r="J15" s="391">
        <f t="shared" ref="J15:J21" si="1">P15+Q15</f>
        <v>0.02</v>
      </c>
      <c r="K15" s="59" t="s">
        <v>6</v>
      </c>
      <c r="P15" s="11"/>
      <c r="Q15" s="11">
        <v>0.02</v>
      </c>
      <c r="S15" s="368" t="s">
        <v>11</v>
      </c>
      <c r="T15" s="389">
        <v>8</v>
      </c>
    </row>
    <row r="16" spans="1:20" x14ac:dyDescent="0.3">
      <c r="A16" s="88" t="s">
        <v>20</v>
      </c>
      <c r="B16" s="116">
        <v>14188</v>
      </c>
      <c r="C16" s="385">
        <v>12511.5</v>
      </c>
      <c r="D16" s="385">
        <v>11711.666666666666</v>
      </c>
      <c r="E16" s="385">
        <v>10618.2</v>
      </c>
      <c r="F16" s="385">
        <v>14500</v>
      </c>
      <c r="G16" s="385">
        <v>6299.7631735259702</v>
      </c>
      <c r="H16" s="385">
        <v>1553400</v>
      </c>
      <c r="I16" s="385">
        <v>27509.164000000001</v>
      </c>
      <c r="J16" s="391">
        <f t="shared" si="1"/>
        <v>7.4892301473224551E-2</v>
      </c>
      <c r="K16" s="59" t="s">
        <v>7</v>
      </c>
      <c r="P16" s="11">
        <v>2.892301473224545E-3</v>
      </c>
      <c r="Q16" s="11">
        <v>7.2000000000000008E-2</v>
      </c>
      <c r="S16" s="368" t="s">
        <v>12</v>
      </c>
      <c r="T16" s="389">
        <v>7.75</v>
      </c>
    </row>
    <row r="17" spans="1:19" x14ac:dyDescent="0.3">
      <c r="A17" s="88" t="s">
        <v>20</v>
      </c>
      <c r="B17" s="116">
        <v>2568</v>
      </c>
      <c r="C17" s="385">
        <v>1288</v>
      </c>
      <c r="D17" s="385">
        <v>981</v>
      </c>
      <c r="E17" s="385">
        <v>611.79999999999995</v>
      </c>
      <c r="F17" s="385">
        <v>2500</v>
      </c>
      <c r="G17" s="385">
        <v>988.14075668473788</v>
      </c>
      <c r="H17" s="385">
        <v>319000</v>
      </c>
      <c r="I17" s="385">
        <v>1252.404</v>
      </c>
      <c r="J17" s="391">
        <f t="shared" si="1"/>
        <v>0.12547600240687051</v>
      </c>
      <c r="K17" s="59" t="s">
        <v>8</v>
      </c>
      <c r="P17" s="11">
        <v>5.8121546961325966E-2</v>
      </c>
      <c r="Q17" s="11">
        <v>6.7354455445544553E-2</v>
      </c>
      <c r="S17" s="368" t="s">
        <v>27</v>
      </c>
    </row>
    <row r="18" spans="1:19" x14ac:dyDescent="0.3">
      <c r="A18" s="88" t="s">
        <v>20</v>
      </c>
      <c r="B18" s="116">
        <v>1439</v>
      </c>
      <c r="C18" s="385">
        <v>1076.5</v>
      </c>
      <c r="D18" s="385">
        <v>971</v>
      </c>
      <c r="E18" s="385">
        <v>966.4</v>
      </c>
      <c r="F18" s="385">
        <v>2500</v>
      </c>
      <c r="G18" s="385">
        <v>3390.9085925908666</v>
      </c>
      <c r="H18" s="385">
        <v>676400</v>
      </c>
      <c r="I18" s="385">
        <v>2080.2120000000004</v>
      </c>
      <c r="J18" s="391">
        <f t="shared" si="1"/>
        <v>4.4458976392751232E-2</v>
      </c>
      <c r="K18" s="59" t="s">
        <v>9</v>
      </c>
      <c r="P18" s="11">
        <v>4.589763927512272E-4</v>
      </c>
      <c r="Q18" s="11">
        <v>4.4000000000000004E-2</v>
      </c>
    </row>
    <row r="19" spans="1:19" x14ac:dyDescent="0.3">
      <c r="A19" s="88" t="s">
        <v>20</v>
      </c>
      <c r="B19" s="116">
        <v>1499</v>
      </c>
      <c r="C19" s="385">
        <v>996</v>
      </c>
      <c r="D19" s="385">
        <v>1030</v>
      </c>
      <c r="E19" s="385">
        <v>808.4</v>
      </c>
      <c r="F19" s="385">
        <v>2500</v>
      </c>
      <c r="G19" s="385">
        <v>2472.1489440186215</v>
      </c>
      <c r="H19" s="385">
        <v>719200</v>
      </c>
      <c r="I19" s="385">
        <v>3445.0540000000001</v>
      </c>
      <c r="J19" s="391">
        <f t="shared" si="1"/>
        <v>0.1053</v>
      </c>
      <c r="K19" s="59" t="s">
        <v>290</v>
      </c>
      <c r="P19" s="11">
        <v>5.8299999999999998E-2</v>
      </c>
      <c r="Q19" s="11">
        <v>4.7E-2</v>
      </c>
    </row>
    <row r="20" spans="1:19" x14ac:dyDescent="0.3">
      <c r="A20" s="88" t="s">
        <v>20</v>
      </c>
      <c r="B20" s="116">
        <v>8335</v>
      </c>
      <c r="C20" s="385">
        <v>6227.5</v>
      </c>
      <c r="D20" s="385">
        <v>7154.666666666667</v>
      </c>
      <c r="E20" s="385">
        <v>6726.2</v>
      </c>
      <c r="F20" s="385">
        <v>8376</v>
      </c>
      <c r="G20" s="385">
        <v>5237.7608932561625</v>
      </c>
      <c r="H20" s="385">
        <v>816100</v>
      </c>
      <c r="I20" s="385">
        <v>13038.884</v>
      </c>
      <c r="J20" s="391">
        <f t="shared" si="1"/>
        <v>2.1361164041857481E-2</v>
      </c>
      <c r="K20" s="59" t="s">
        <v>11</v>
      </c>
      <c r="P20" s="11">
        <v>6.3611640418574826E-3</v>
      </c>
      <c r="Q20" s="11">
        <v>1.4999999999999999E-2</v>
      </c>
    </row>
    <row r="21" spans="1:19" x14ac:dyDescent="0.3">
      <c r="A21" s="88" t="s">
        <v>20</v>
      </c>
      <c r="B21" s="116">
        <v>3113</v>
      </c>
      <c r="C21" s="385">
        <v>1240</v>
      </c>
      <c r="D21" s="385">
        <v>2819.3333333333335</v>
      </c>
      <c r="E21" s="385">
        <v>3496.6</v>
      </c>
      <c r="F21" s="385">
        <v>4824</v>
      </c>
      <c r="G21" s="385">
        <v>681.94135807257385</v>
      </c>
      <c r="H21" s="385">
        <v>120000</v>
      </c>
      <c r="I21" s="385">
        <v>465.96199999999999</v>
      </c>
      <c r="J21" s="391">
        <f t="shared" si="1"/>
        <v>3.4000000000000002E-2</v>
      </c>
      <c r="K21" s="59" t="s">
        <v>12</v>
      </c>
      <c r="P21" s="11">
        <v>0</v>
      </c>
      <c r="Q21" s="11">
        <v>3.4000000000000002E-2</v>
      </c>
    </row>
    <row r="22" spans="1:19" x14ac:dyDescent="0.3">
      <c r="A22" s="366" t="s">
        <v>27</v>
      </c>
      <c r="B22" s="133">
        <f t="shared" ref="B22:I22" si="2">SUM(B16:B21)+B13+B12+B8+B6+B15</f>
        <v>45427</v>
      </c>
      <c r="C22" s="133">
        <f t="shared" si="2"/>
        <v>31698.5</v>
      </c>
      <c r="D22" s="133">
        <f t="shared" si="2"/>
        <v>37433.333333333328</v>
      </c>
      <c r="E22" s="133">
        <f t="shared" si="2"/>
        <v>38081.199999999997</v>
      </c>
      <c r="F22" s="133">
        <f t="shared" si="2"/>
        <v>56720</v>
      </c>
      <c r="G22" s="133">
        <f t="shared" si="2"/>
        <v>54192.260419491526</v>
      </c>
      <c r="H22" s="133">
        <f t="shared" si="2"/>
        <v>14932800</v>
      </c>
      <c r="I22" s="133">
        <f t="shared" si="2"/>
        <v>69279.021792197498</v>
      </c>
      <c r="J22" s="392">
        <f>SUM(J6:J8,J10,J12:J13,J15:J21)</f>
        <v>0.66080726215742025</v>
      </c>
      <c r="K22" s="260"/>
      <c r="Q22" s="260">
        <f>SUM(Q5:Q21)</f>
        <v>0.53052112211221125</v>
      </c>
    </row>
    <row r="23" spans="1:19" x14ac:dyDescent="0.3">
      <c r="A23" s="88" t="s">
        <v>27</v>
      </c>
      <c r="B23" s="133">
        <v>106265</v>
      </c>
      <c r="C23" s="133">
        <v>71436.5</v>
      </c>
      <c r="D23" s="133">
        <f>SUM(D5:D21)</f>
        <v>88745.333333333343</v>
      </c>
      <c r="E23" s="133">
        <v>87112.2</v>
      </c>
      <c r="F23" s="133">
        <v>63918</v>
      </c>
      <c r="G23" s="384">
        <f>SUM(G5:G21)</f>
        <v>160108.327965406</v>
      </c>
      <c r="H23" s="384">
        <f>SUM(H5:H21)</f>
        <v>41789136</v>
      </c>
      <c r="I23" s="384">
        <f>SUM(I5:I21)</f>
        <v>149350.08526904942</v>
      </c>
    </row>
  </sheetData>
  <mergeCells count="1">
    <mergeCell ref="P2:Q2"/>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H64"/>
  <sheetViews>
    <sheetView topLeftCell="A15" zoomScaleNormal="100" workbookViewId="0">
      <selection activeCell="N35" sqref="N35"/>
    </sheetView>
  </sheetViews>
  <sheetFormatPr defaultRowHeight="14.4" x14ac:dyDescent="0.3"/>
  <cols>
    <col min="1" max="1" width="12.6640625" customWidth="1"/>
    <col min="2" max="2" width="8.5546875" customWidth="1"/>
    <col min="3" max="3" width="11" customWidth="1"/>
    <col min="4" max="4" width="12.88671875" customWidth="1"/>
    <col min="5" max="5" width="15.5546875" customWidth="1"/>
    <col min="6" max="6" width="10.44140625" customWidth="1"/>
    <col min="7" max="7" width="10" customWidth="1"/>
    <col min="8" max="8" width="11.44140625" customWidth="1"/>
    <col min="9" max="9" width="9.21875" customWidth="1"/>
    <col min="10" max="10" width="11.109375" customWidth="1"/>
    <col min="11" max="11" width="11.5546875" customWidth="1"/>
    <col min="16" max="16" width="11.77734375" customWidth="1"/>
    <col min="20" max="20" width="10" customWidth="1"/>
    <col min="24" max="24" width="13" style="59" customWidth="1"/>
    <col min="25" max="25" width="12.88671875" style="59" customWidth="1"/>
    <col min="26" max="26" width="11.33203125" customWidth="1"/>
    <col min="27" max="27" width="10.33203125" bestFit="1" customWidth="1"/>
    <col min="28" max="28" width="13.44140625" customWidth="1"/>
    <col min="29" max="29" width="13.44140625" style="59" customWidth="1"/>
    <col min="30" max="30" width="4.21875" style="59" customWidth="1"/>
  </cols>
  <sheetData>
    <row r="1" spans="1:25" s="59" customFormat="1" ht="15" thickBot="1" x14ac:dyDescent="0.35">
      <c r="A1" s="287">
        <v>2013</v>
      </c>
    </row>
    <row r="2" spans="1:25" x14ac:dyDescent="0.3">
      <c r="A2" s="13"/>
      <c r="B2" s="17" t="s">
        <v>29</v>
      </c>
      <c r="C2" s="18"/>
      <c r="D2" s="18"/>
      <c r="E2" s="18"/>
      <c r="F2" s="21" t="s">
        <v>51</v>
      </c>
      <c r="G2" s="21" t="s">
        <v>52</v>
      </c>
      <c r="H2" s="21" t="s">
        <v>53</v>
      </c>
      <c r="K2" s="26" t="s">
        <v>60</v>
      </c>
      <c r="T2" s="2" t="s">
        <v>32</v>
      </c>
      <c r="U2" s="3"/>
      <c r="V2" s="3"/>
      <c r="W2" s="4"/>
      <c r="X2" s="6"/>
      <c r="Y2" s="6"/>
    </row>
    <row r="3" spans="1:25" x14ac:dyDescent="0.3">
      <c r="A3" s="19" t="s">
        <v>21</v>
      </c>
      <c r="B3" s="19" t="s">
        <v>22</v>
      </c>
      <c r="C3" s="20" t="s">
        <v>7</v>
      </c>
      <c r="D3" s="20" t="s">
        <v>33</v>
      </c>
      <c r="E3" s="20" t="s">
        <v>34</v>
      </c>
      <c r="F3" s="12" t="s">
        <v>0</v>
      </c>
      <c r="G3" s="12" t="s">
        <v>0</v>
      </c>
      <c r="H3" s="12" t="s">
        <v>0</v>
      </c>
      <c r="K3" t="s">
        <v>30</v>
      </c>
      <c r="T3" s="5" t="str">
        <f>B3</f>
        <v>Group</v>
      </c>
      <c r="U3" s="6" t="str">
        <f>B3</f>
        <v>Group</v>
      </c>
      <c r="V3" s="6" t="str">
        <f>B3</f>
        <v>Group</v>
      </c>
      <c r="W3" s="7" t="s">
        <v>22</v>
      </c>
      <c r="X3" s="6"/>
      <c r="Y3" s="6"/>
    </row>
    <row r="4" spans="1:25" ht="15" thickBot="1" x14ac:dyDescent="0.35">
      <c r="A4" t="s">
        <v>14</v>
      </c>
      <c r="B4" s="27">
        <f>Compilation!C8</f>
        <v>0</v>
      </c>
      <c r="C4" s="1">
        <v>2088.9668490914978</v>
      </c>
      <c r="D4" s="1">
        <v>7012.2054225835464</v>
      </c>
      <c r="E4" s="1">
        <v>5279</v>
      </c>
      <c r="F4" s="72" t="str">
        <f t="shared" ref="F4:F20" si="0">IF($B4="CMA",$C4/F$22,"")</f>
        <v/>
      </c>
      <c r="G4" s="11" t="str">
        <f t="shared" ref="G4:G20" si="1">IF($B4="CMA",$D4/G$22,"")</f>
        <v/>
      </c>
      <c r="H4" s="11" t="str">
        <f t="shared" ref="H4:H20" si="2">IF($B4="CMA",$E4/H$22,"")</f>
        <v/>
      </c>
      <c r="T4" s="8" t="s">
        <v>20</v>
      </c>
      <c r="U4" s="9" t="s">
        <v>19</v>
      </c>
      <c r="V4" s="9" t="s">
        <v>25</v>
      </c>
      <c r="W4" s="10" t="s">
        <v>26</v>
      </c>
      <c r="X4" s="6"/>
      <c r="Y4" s="6"/>
    </row>
    <row r="5" spans="1:25" x14ac:dyDescent="0.3">
      <c r="A5" t="s">
        <v>1</v>
      </c>
      <c r="B5" s="27" t="str">
        <f>Compilation!C9</f>
        <v>CMA</v>
      </c>
      <c r="C5" s="1">
        <v>13569.2602893067</v>
      </c>
      <c r="D5" s="1">
        <v>35912</v>
      </c>
      <c r="E5" s="1">
        <v>33673</v>
      </c>
      <c r="F5" s="72">
        <f t="shared" si="0"/>
        <v>0.27619351423266736</v>
      </c>
      <c r="G5" s="11">
        <f t="shared" si="1"/>
        <v>0.25317776446120765</v>
      </c>
      <c r="H5" s="11">
        <f t="shared" si="2"/>
        <v>0.27938138342446089</v>
      </c>
      <c r="K5" s="31" t="s">
        <v>54</v>
      </c>
      <c r="L5" s="32"/>
      <c r="M5" s="32"/>
      <c r="N5" s="32"/>
      <c r="O5" s="33"/>
    </row>
    <row r="6" spans="1:25" x14ac:dyDescent="0.3">
      <c r="A6" t="s">
        <v>2</v>
      </c>
      <c r="B6" s="27">
        <f>Compilation!C10</f>
        <v>0</v>
      </c>
      <c r="C6" s="1">
        <v>9078.945433025694</v>
      </c>
      <c r="D6" s="1">
        <v>30090</v>
      </c>
      <c r="E6" s="1">
        <v>22879</v>
      </c>
      <c r="F6" s="72" t="str">
        <f t="shared" si="0"/>
        <v/>
      </c>
      <c r="G6" s="11" t="str">
        <f t="shared" si="1"/>
        <v/>
      </c>
      <c r="H6" s="11" t="str">
        <f t="shared" si="2"/>
        <v/>
      </c>
      <c r="K6" s="34" t="s">
        <v>55</v>
      </c>
      <c r="L6" s="6"/>
      <c r="M6" s="6"/>
      <c r="N6" s="6"/>
      <c r="O6" s="35"/>
    </row>
    <row r="7" spans="1:25" x14ac:dyDescent="0.3">
      <c r="A7" t="s">
        <v>3</v>
      </c>
      <c r="B7" s="27" t="str">
        <f>Compilation!C11</f>
        <v>CMA</v>
      </c>
      <c r="C7" s="1">
        <v>6631.7598374790514</v>
      </c>
      <c r="D7" s="1">
        <v>22261</v>
      </c>
      <c r="E7" s="1">
        <v>16759</v>
      </c>
      <c r="F7" s="72">
        <f t="shared" si="0"/>
        <v>0.13498518091688752</v>
      </c>
      <c r="G7" s="11">
        <f t="shared" si="1"/>
        <v>0.15693891219288661</v>
      </c>
      <c r="H7" s="11">
        <f t="shared" si="2"/>
        <v>0.13904768226206576</v>
      </c>
      <c r="K7" s="34" t="s">
        <v>56</v>
      </c>
      <c r="L7" s="6"/>
      <c r="M7" s="6"/>
      <c r="N7" s="6"/>
      <c r="O7" s="35"/>
    </row>
    <row r="8" spans="1:25" x14ac:dyDescent="0.3">
      <c r="A8" t="s">
        <v>69</v>
      </c>
      <c r="B8" s="27">
        <f>Compilation!C12</f>
        <v>0</v>
      </c>
      <c r="C8" s="1">
        <v>51501.694097991473</v>
      </c>
      <c r="D8" s="1">
        <v>121636.02509081693</v>
      </c>
      <c r="E8" s="1">
        <v>111395.99900205742</v>
      </c>
      <c r="F8" s="72" t="str">
        <f t="shared" si="0"/>
        <v/>
      </c>
      <c r="G8" s="11" t="str">
        <f t="shared" si="1"/>
        <v/>
      </c>
      <c r="H8" s="11" t="str">
        <f t="shared" si="2"/>
        <v/>
      </c>
      <c r="K8" s="34" t="s">
        <v>57</v>
      </c>
      <c r="L8" s="6"/>
      <c r="M8" s="6"/>
      <c r="N8" s="6"/>
      <c r="O8" s="35"/>
    </row>
    <row r="9" spans="1:25" x14ac:dyDescent="0.3">
      <c r="A9" t="s">
        <v>13</v>
      </c>
      <c r="B9" s="27">
        <f>Compilation!C13</f>
        <v>0</v>
      </c>
      <c r="C9" s="1">
        <v>7850</v>
      </c>
      <c r="D9" s="1">
        <v>23558</v>
      </c>
      <c r="E9" s="1">
        <v>19234</v>
      </c>
      <c r="F9" s="72" t="str">
        <f t="shared" si="0"/>
        <v/>
      </c>
      <c r="G9" s="11" t="str">
        <f t="shared" si="1"/>
        <v/>
      </c>
      <c r="H9" s="11" t="str">
        <f t="shared" si="2"/>
        <v/>
      </c>
      <c r="K9" s="34" t="s">
        <v>58</v>
      </c>
      <c r="L9" s="6"/>
      <c r="M9" s="6"/>
      <c r="N9" s="6"/>
      <c r="O9" s="35"/>
    </row>
    <row r="10" spans="1:25" x14ac:dyDescent="0.3">
      <c r="A10" t="s">
        <v>16</v>
      </c>
      <c r="B10" s="27">
        <f>Compilation!C14</f>
        <v>0</v>
      </c>
      <c r="C10" s="1">
        <v>8812</v>
      </c>
      <c r="D10" s="1">
        <v>22723</v>
      </c>
      <c r="E10" s="1">
        <v>19712</v>
      </c>
      <c r="F10" s="72" t="str">
        <f t="shared" si="0"/>
        <v/>
      </c>
      <c r="G10" s="11" t="str">
        <f t="shared" si="1"/>
        <v/>
      </c>
      <c r="H10" s="11" t="str">
        <f t="shared" si="2"/>
        <v/>
      </c>
      <c r="K10" s="34" t="s">
        <v>115</v>
      </c>
      <c r="L10" s="6"/>
      <c r="M10" s="6"/>
      <c r="N10" s="6"/>
      <c r="O10" s="35"/>
    </row>
    <row r="11" spans="1:25" x14ac:dyDescent="0.3">
      <c r="A11" t="s">
        <v>4</v>
      </c>
      <c r="B11" s="27" t="str">
        <f>Compilation!C15</f>
        <v>CMA</v>
      </c>
      <c r="C11" s="1">
        <v>1644.1788572774856</v>
      </c>
      <c r="D11" s="1">
        <v>5519</v>
      </c>
      <c r="E11" s="1">
        <v>4155</v>
      </c>
      <c r="F11" s="72">
        <f t="shared" si="0"/>
        <v>3.3466196899206366E-2</v>
      </c>
      <c r="G11" s="11">
        <f t="shared" si="1"/>
        <v>3.8908667912157635E-2</v>
      </c>
      <c r="H11" s="11">
        <f t="shared" si="2"/>
        <v>3.4473603424958719E-2</v>
      </c>
      <c r="K11" s="36" t="s">
        <v>59</v>
      </c>
      <c r="L11" s="37"/>
      <c r="M11" s="37"/>
      <c r="N11" s="37"/>
      <c r="O11" s="38"/>
    </row>
    <row r="12" spans="1:25" x14ac:dyDescent="0.3">
      <c r="A12" t="s">
        <v>5</v>
      </c>
      <c r="B12" s="27" t="str">
        <f>Compilation!C16</f>
        <v>CMA</v>
      </c>
      <c r="C12" s="1">
        <v>8213.6772401192011</v>
      </c>
      <c r="D12" s="1">
        <v>21982</v>
      </c>
      <c r="E12" s="1">
        <v>18682</v>
      </c>
      <c r="F12" s="72">
        <f t="shared" si="0"/>
        <v>0.16718408618848207</v>
      </c>
      <c r="G12" s="11">
        <f t="shared" si="1"/>
        <v>0.15497197645317071</v>
      </c>
      <c r="H12" s="11">
        <f t="shared" si="2"/>
        <v>0.15500261352228131</v>
      </c>
    </row>
    <row r="13" spans="1:25" x14ac:dyDescent="0.3">
      <c r="A13" t="s">
        <v>15</v>
      </c>
      <c r="B13" s="27">
        <f>Compilation!C17</f>
        <v>0</v>
      </c>
      <c r="C13" s="1">
        <v>26584.461165805846</v>
      </c>
      <c r="D13" s="1">
        <v>65872</v>
      </c>
      <c r="E13" s="1">
        <v>55533</v>
      </c>
      <c r="F13" s="72" t="str">
        <f t="shared" si="0"/>
        <v/>
      </c>
      <c r="G13" s="11" t="str">
        <f t="shared" si="1"/>
        <v/>
      </c>
      <c r="H13" s="11" t="str">
        <f t="shared" si="2"/>
        <v/>
      </c>
    </row>
    <row r="14" spans="1:25" x14ac:dyDescent="0.3">
      <c r="A14" t="s">
        <v>6</v>
      </c>
      <c r="B14" s="27">
        <f>Compilation!C18</f>
        <v>0</v>
      </c>
      <c r="C14" s="1">
        <v>5062.7204771601382</v>
      </c>
      <c r="D14" s="1">
        <v>12561</v>
      </c>
      <c r="E14" s="1">
        <v>15112</v>
      </c>
      <c r="F14" s="72" t="str">
        <f t="shared" si="0"/>
        <v/>
      </c>
      <c r="G14" s="11" t="str">
        <f t="shared" si="1"/>
        <v/>
      </c>
      <c r="H14" s="11" t="str">
        <f t="shared" si="2"/>
        <v/>
      </c>
    </row>
    <row r="15" spans="1:25" x14ac:dyDescent="0.3">
      <c r="A15" t="s">
        <v>7</v>
      </c>
      <c r="B15" s="27" t="str">
        <f>Compilation!C19</f>
        <v>CMA</v>
      </c>
      <c r="C15" s="1">
        <v>6299.7631735259702</v>
      </c>
      <c r="D15" s="1">
        <v>16751</v>
      </c>
      <c r="E15" s="1">
        <v>16155</v>
      </c>
      <c r="F15" s="72">
        <f t="shared" si="0"/>
        <v>0.12822760361527261</v>
      </c>
      <c r="G15" s="11">
        <f t="shared" si="1"/>
        <v>0.1180936938207198</v>
      </c>
      <c r="H15" s="11">
        <f t="shared" si="2"/>
        <v>0.13403635699884672</v>
      </c>
    </row>
    <row r="16" spans="1:25" x14ac:dyDescent="0.3">
      <c r="A16" t="s">
        <v>8</v>
      </c>
      <c r="B16" s="27" t="str">
        <f>Compilation!C20</f>
        <v>CMA</v>
      </c>
      <c r="C16" s="1">
        <v>988.14075668473788</v>
      </c>
      <c r="D16" s="1">
        <v>3073</v>
      </c>
      <c r="E16" s="1">
        <v>2456</v>
      </c>
      <c r="F16" s="72">
        <f t="shared" si="0"/>
        <v>2.0112965801117311E-2</v>
      </c>
      <c r="G16" s="11">
        <f t="shared" si="1"/>
        <v>2.1664492932426241E-2</v>
      </c>
      <c r="H16" s="11">
        <f t="shared" si="2"/>
        <v>2.0377176898122414E-2</v>
      </c>
    </row>
    <row r="17" spans="1:34" x14ac:dyDescent="0.3">
      <c r="A17" t="s">
        <v>9</v>
      </c>
      <c r="B17" s="27" t="str">
        <f>Compilation!C21</f>
        <v>CMA</v>
      </c>
      <c r="C17" s="1">
        <v>3390.9085925908666</v>
      </c>
      <c r="D17" s="1">
        <v>11348</v>
      </c>
      <c r="E17" s="1">
        <v>8550</v>
      </c>
      <c r="F17" s="72">
        <f t="shared" si="0"/>
        <v>6.901975057310003E-2</v>
      </c>
      <c r="G17" s="11">
        <f t="shared" si="1"/>
        <v>8.0002819979555148E-2</v>
      </c>
      <c r="H17" s="11">
        <f t="shared" si="2"/>
        <v>7.0938461921395204E-2</v>
      </c>
    </row>
    <row r="18" spans="1:34" x14ac:dyDescent="0.3">
      <c r="A18" t="s">
        <v>10</v>
      </c>
      <c r="B18" s="27" t="str">
        <f>Compilation!C22</f>
        <v>CMA</v>
      </c>
      <c r="C18" s="1">
        <v>2472.1489440186215</v>
      </c>
      <c r="D18" s="1">
        <v>7757</v>
      </c>
      <c r="E18" s="1">
        <v>6157</v>
      </c>
      <c r="F18" s="72">
        <f t="shared" si="0"/>
        <v>5.0318992339851924E-2</v>
      </c>
      <c r="G18" s="11">
        <f t="shared" si="1"/>
        <v>5.4686453523211956E-2</v>
      </c>
      <c r="H18" s="11">
        <f t="shared" si="2"/>
        <v>5.1083989479535706E-2</v>
      </c>
    </row>
    <row r="19" spans="1:34" x14ac:dyDescent="0.3">
      <c r="A19" t="s">
        <v>31</v>
      </c>
      <c r="B19" s="27" t="str">
        <f>Compilation!C23</f>
        <v>CMA</v>
      </c>
      <c r="C19" s="1">
        <v>5237.7608932561625</v>
      </c>
      <c r="D19" s="1">
        <v>14953</v>
      </c>
      <c r="E19" s="1">
        <v>12217</v>
      </c>
      <c r="F19" s="72">
        <f t="shared" si="0"/>
        <v>0.1066112342880533</v>
      </c>
      <c r="G19" s="11">
        <f t="shared" si="1"/>
        <v>0.10541788572032852</v>
      </c>
      <c r="H19" s="11">
        <f t="shared" si="2"/>
        <v>0.10136318003434915</v>
      </c>
    </row>
    <row r="20" spans="1:34" x14ac:dyDescent="0.3">
      <c r="A20" t="s">
        <v>12</v>
      </c>
      <c r="B20" s="27" t="str">
        <f>Compilation!C24</f>
        <v>CMA</v>
      </c>
      <c r="C20" s="1">
        <v>681.94135807257385</v>
      </c>
      <c r="D20" s="1">
        <v>2289</v>
      </c>
      <c r="E20" s="1">
        <v>1723</v>
      </c>
      <c r="F20" s="72">
        <f t="shared" si="0"/>
        <v>1.3880475145361462E-2</v>
      </c>
      <c r="G20" s="11">
        <f t="shared" si="1"/>
        <v>1.613733300433572E-2</v>
      </c>
      <c r="H20" s="11">
        <f t="shared" si="2"/>
        <v>1.4295552033984086E-2</v>
      </c>
    </row>
    <row r="21" spans="1:34" x14ac:dyDescent="0.3">
      <c r="A21" s="19" t="s">
        <v>27</v>
      </c>
      <c r="B21" s="13"/>
      <c r="C21" s="14">
        <f t="shared" ref="C21:H21" si="3">SUM(C4:C20)</f>
        <v>160108.327965406</v>
      </c>
      <c r="D21" s="14">
        <f t="shared" si="3"/>
        <v>425297.23051340046</v>
      </c>
      <c r="E21" s="14">
        <f t="shared" si="3"/>
        <v>369671.99900205742</v>
      </c>
      <c r="F21" s="24">
        <f t="shared" si="3"/>
        <v>1</v>
      </c>
      <c r="G21" s="24">
        <f t="shared" si="3"/>
        <v>1</v>
      </c>
      <c r="H21" s="24">
        <f t="shared" si="3"/>
        <v>1</v>
      </c>
    </row>
    <row r="22" spans="1:34" x14ac:dyDescent="0.3">
      <c r="A22" s="19" t="s">
        <v>50</v>
      </c>
      <c r="B22" s="13"/>
      <c r="C22" s="14"/>
      <c r="D22" s="14"/>
      <c r="E22" s="23"/>
      <c r="F22" s="16">
        <f>DSUM(BIOMASS,$C$3,$T$3:$T$4)</f>
        <v>49129.539942331372</v>
      </c>
      <c r="G22" s="16">
        <f>DSUM(BIOMASS,$D$3,$T$3:$T$4)</f>
        <v>141845</v>
      </c>
      <c r="H22" s="16">
        <f>DSUM(BIOMASS,$E$3,$T$3:$T$4)</f>
        <v>120527</v>
      </c>
      <c r="I22" s="1">
        <f>SUM(C5,C7,C11,C12,C15,C16,C17,C18,C19,C20)</f>
        <v>49129.539942331372</v>
      </c>
      <c r="J22" s="1">
        <f>SUM(D5,D7,D11,D12,D15,D16,D17,D18,D19,D20)</f>
        <v>141845</v>
      </c>
      <c r="K22">
        <f>SUM(F5,G5)/2</f>
        <v>0.26468563934693751</v>
      </c>
    </row>
    <row r="24" spans="1:34" x14ac:dyDescent="0.3">
      <c r="C24" s="1"/>
      <c r="D24" s="1"/>
      <c r="E24" s="1"/>
      <c r="H24" s="25"/>
    </row>
    <row r="25" spans="1:34" ht="15" thickBot="1" x14ac:dyDescent="0.35"/>
    <row r="26" spans="1:34" ht="15" thickBot="1" x14ac:dyDescent="0.35">
      <c r="A26" s="287">
        <v>2021</v>
      </c>
    </row>
    <row r="27" spans="1:34" x14ac:dyDescent="0.3">
      <c r="A27" s="59"/>
      <c r="B27" s="112"/>
      <c r="C27" s="112"/>
      <c r="D27" s="112"/>
      <c r="E27" s="112"/>
      <c r="F27" s="112"/>
      <c r="G27" s="112"/>
      <c r="H27" s="112"/>
      <c r="I27" s="112"/>
      <c r="J27" s="112"/>
      <c r="K27" s="112"/>
      <c r="L27" s="112"/>
      <c r="M27" s="112"/>
      <c r="N27" s="112"/>
      <c r="O27" s="112"/>
      <c r="P27" s="112"/>
      <c r="Q27" s="112"/>
      <c r="R27" s="112"/>
      <c r="S27" s="112"/>
      <c r="T27" s="112"/>
      <c r="U27" s="59"/>
    </row>
    <row r="28" spans="1:34" x14ac:dyDescent="0.3">
      <c r="A28" s="59"/>
      <c r="B28" s="288"/>
      <c r="C28" s="289"/>
      <c r="D28" s="289"/>
      <c r="E28" s="290"/>
      <c r="F28" s="112"/>
      <c r="G28" s="288"/>
      <c r="H28" s="291" t="s">
        <v>226</v>
      </c>
      <c r="I28" s="289"/>
      <c r="J28" s="290"/>
      <c r="K28" s="112"/>
      <c r="L28" s="288"/>
      <c r="M28" s="291" t="s">
        <v>227</v>
      </c>
      <c r="N28" s="289"/>
      <c r="O28" s="290"/>
      <c r="P28" s="112"/>
      <c r="Q28" s="288"/>
      <c r="R28" s="291" t="s">
        <v>228</v>
      </c>
      <c r="S28" s="289"/>
      <c r="T28" s="290"/>
      <c r="U28" s="59"/>
    </row>
    <row r="29" spans="1:34" ht="15" thickBot="1" x14ac:dyDescent="0.35">
      <c r="A29" s="59"/>
      <c r="B29" s="292"/>
      <c r="C29" s="168" t="s">
        <v>229</v>
      </c>
      <c r="D29" s="168" t="s">
        <v>230</v>
      </c>
      <c r="E29" s="293"/>
      <c r="F29" s="112"/>
      <c r="G29" s="292"/>
      <c r="H29" s="168" t="s">
        <v>7</v>
      </c>
      <c r="I29" s="294" t="s">
        <v>231</v>
      </c>
      <c r="J29" s="293"/>
      <c r="K29" s="112"/>
      <c r="L29" s="292"/>
      <c r="M29" s="168" t="s">
        <v>232</v>
      </c>
      <c r="N29" s="294" t="s">
        <v>231</v>
      </c>
      <c r="O29" s="293"/>
      <c r="P29" s="112"/>
      <c r="Q29" s="292"/>
      <c r="R29" s="168" t="s">
        <v>233</v>
      </c>
      <c r="S29" s="294" t="s">
        <v>231</v>
      </c>
      <c r="T29" s="293"/>
      <c r="U29" s="59"/>
    </row>
    <row r="30" spans="1:34" ht="15" thickBot="1" x14ac:dyDescent="0.35">
      <c r="A30" s="59"/>
      <c r="B30" s="295" t="s">
        <v>234</v>
      </c>
      <c r="C30" s="296" t="s">
        <v>235</v>
      </c>
      <c r="D30" s="296" t="s">
        <v>236</v>
      </c>
      <c r="E30" s="297" t="s">
        <v>237</v>
      </c>
      <c r="F30" s="112"/>
      <c r="G30" s="295" t="s">
        <v>234</v>
      </c>
      <c r="H30" s="296" t="s">
        <v>235</v>
      </c>
      <c r="I30" s="296" t="s">
        <v>236</v>
      </c>
      <c r="J30" s="296" t="s">
        <v>237</v>
      </c>
      <c r="K30" s="311" t="s">
        <v>256</v>
      </c>
      <c r="L30" s="296" t="s">
        <v>234</v>
      </c>
      <c r="M30" s="296" t="s">
        <v>235</v>
      </c>
      <c r="N30" s="296" t="s">
        <v>236</v>
      </c>
      <c r="O30" s="296" t="s">
        <v>237</v>
      </c>
      <c r="P30" s="311" t="s">
        <v>257</v>
      </c>
      <c r="Q30" s="296" t="s">
        <v>234</v>
      </c>
      <c r="R30" s="296" t="s">
        <v>235</v>
      </c>
      <c r="S30" s="296" t="s">
        <v>236</v>
      </c>
      <c r="T30" s="297" t="s">
        <v>237</v>
      </c>
      <c r="U30" s="298" t="s">
        <v>238</v>
      </c>
      <c r="Z30" s="6"/>
      <c r="AA30" s="369"/>
      <c r="AB30" s="369"/>
      <c r="AC30" s="369"/>
      <c r="AD30" s="369"/>
      <c r="AE30" s="6"/>
      <c r="AF30" s="6"/>
      <c r="AG30" s="6"/>
      <c r="AH30" s="6"/>
    </row>
    <row r="31" spans="1:34" ht="15" thickBot="1" x14ac:dyDescent="0.35">
      <c r="A31" s="25" t="s">
        <v>36</v>
      </c>
      <c r="B31" s="288">
        <v>0</v>
      </c>
      <c r="C31" s="289">
        <v>405829.68322989502</v>
      </c>
      <c r="D31" s="289">
        <v>0</v>
      </c>
      <c r="E31" s="290">
        <v>0</v>
      </c>
      <c r="F31" s="112"/>
      <c r="G31" s="288">
        <v>0</v>
      </c>
      <c r="H31" s="289">
        <v>1980.9483085782481</v>
      </c>
      <c r="I31" s="289">
        <v>0</v>
      </c>
      <c r="J31" s="290">
        <v>0</v>
      </c>
      <c r="K31" s="112"/>
      <c r="L31" s="288">
        <v>0</v>
      </c>
      <c r="M31" s="289">
        <v>4634.7014598176193</v>
      </c>
      <c r="N31" s="289">
        <v>0</v>
      </c>
      <c r="O31" s="290">
        <v>0</v>
      </c>
      <c r="P31" s="112"/>
      <c r="Q31" s="288">
        <v>0</v>
      </c>
      <c r="R31" s="289">
        <v>0</v>
      </c>
      <c r="S31" s="289">
        <v>2528.6226302702303</v>
      </c>
      <c r="T31" s="290">
        <v>0</v>
      </c>
      <c r="U31" s="59">
        <f>SUM(Q31:T31)</f>
        <v>2528.6226302702303</v>
      </c>
      <c r="W31" s="375"/>
      <c r="X31" s="376" t="s">
        <v>256</v>
      </c>
      <c r="Y31" s="376" t="s">
        <v>272</v>
      </c>
      <c r="Z31" s="377" t="s">
        <v>273</v>
      </c>
      <c r="AA31" s="379" t="s">
        <v>274</v>
      </c>
      <c r="AB31" s="382" t="s">
        <v>275</v>
      </c>
      <c r="AC31" s="383" t="s">
        <v>276</v>
      </c>
      <c r="AD31" s="367"/>
      <c r="AE31" s="370"/>
      <c r="AF31" s="370"/>
      <c r="AG31" s="371"/>
      <c r="AH31" s="6"/>
    </row>
    <row r="32" spans="1:34" x14ac:dyDescent="0.3">
      <c r="A32" s="299" t="s">
        <v>37</v>
      </c>
      <c r="B32" s="300">
        <v>14425.681990290601</v>
      </c>
      <c r="C32" s="301">
        <v>1526161.77279626</v>
      </c>
      <c r="D32" s="301">
        <v>1966002.16628214</v>
      </c>
      <c r="E32" s="302">
        <v>0</v>
      </c>
      <c r="F32" s="303"/>
      <c r="G32" s="300">
        <v>21.276008074370427</v>
      </c>
      <c r="H32" s="301">
        <v>7449.5476978822117</v>
      </c>
      <c r="I32" s="301">
        <v>6891.3953677523632</v>
      </c>
      <c r="J32" s="302">
        <v>0</v>
      </c>
      <c r="K32" s="303">
        <f t="shared" ref="K32:K64" si="4">SUM(G32:J32)</f>
        <v>14362.219073708944</v>
      </c>
      <c r="L32" s="300">
        <v>47.939603949358869</v>
      </c>
      <c r="M32" s="301">
        <v>17429.2430755731</v>
      </c>
      <c r="N32" s="301">
        <v>13919.922945170521</v>
      </c>
      <c r="O32" s="302">
        <v>0</v>
      </c>
      <c r="P32" s="303">
        <f>SUM(L32:O32)</f>
        <v>31397.10562469298</v>
      </c>
      <c r="Q32" s="300">
        <v>29.913209547291036</v>
      </c>
      <c r="R32" s="301">
        <v>25223.399250527291</v>
      </c>
      <c r="S32" s="301">
        <v>9509.1299518370979</v>
      </c>
      <c r="T32" s="302">
        <v>0</v>
      </c>
      <c r="U32" s="304">
        <f t="shared" ref="U32:U64" si="5">SUM(Q32:T32)</f>
        <v>34762.442411911681</v>
      </c>
      <c r="W32" s="253" t="s">
        <v>1</v>
      </c>
      <c r="X32" s="367">
        <v>14362.219073708944</v>
      </c>
      <c r="Y32" s="367">
        <v>31397.10562469298</v>
      </c>
      <c r="Z32" s="373">
        <f>SUM(X32:Y32)</f>
        <v>45759.324698401921</v>
      </c>
      <c r="AA32" s="380">
        <f>X32/$X$45%</f>
        <v>22.674953444259295</v>
      </c>
      <c r="AB32" s="378">
        <f>Y32/$Y$45%</f>
        <v>22.585392096385775</v>
      </c>
      <c r="AC32" s="378">
        <f>Z32/$Z$45%</f>
        <v>22.613425931853371</v>
      </c>
      <c r="AD32" s="367"/>
      <c r="AE32" s="370"/>
      <c r="AF32" s="370"/>
      <c r="AG32" s="371"/>
      <c r="AH32" s="6"/>
    </row>
    <row r="33" spans="1:34" x14ac:dyDescent="0.3">
      <c r="A33" s="25" t="s">
        <v>239</v>
      </c>
      <c r="B33" s="292">
        <v>0</v>
      </c>
      <c r="C33" s="168">
        <v>0</v>
      </c>
      <c r="D33" s="168">
        <v>0</v>
      </c>
      <c r="E33" s="293">
        <v>1932576.5869986999</v>
      </c>
      <c r="F33" s="112"/>
      <c r="G33" s="292">
        <v>0</v>
      </c>
      <c r="H33" s="168">
        <v>0</v>
      </c>
      <c r="I33" s="168">
        <v>0</v>
      </c>
      <c r="J33" s="293">
        <v>5678.332560035723</v>
      </c>
      <c r="K33" s="112"/>
      <c r="L33" s="292">
        <v>0</v>
      </c>
      <c r="M33" s="168">
        <v>0</v>
      </c>
      <c r="N33" s="168">
        <v>0</v>
      </c>
      <c r="O33" s="293">
        <v>12137.160397371365</v>
      </c>
      <c r="P33" s="312"/>
      <c r="Q33" s="292">
        <v>0</v>
      </c>
      <c r="R33" s="168">
        <v>0</v>
      </c>
      <c r="S33" s="168">
        <v>0</v>
      </c>
      <c r="T33" s="293">
        <v>9046.0355947473417</v>
      </c>
      <c r="U33" s="59">
        <f t="shared" si="5"/>
        <v>9046.0355947473417</v>
      </c>
      <c r="W33" s="253" t="s">
        <v>2</v>
      </c>
      <c r="X33" s="367">
        <v>8070.9477889622094</v>
      </c>
      <c r="Y33" s="367">
        <v>18817.94439336377</v>
      </c>
      <c r="Z33" s="373">
        <f t="shared" ref="Z33:Z44" si="6">SUM(X33:Y33)</f>
        <v>26888.892182325981</v>
      </c>
      <c r="AA33" s="380">
        <f t="shared" ref="AA33:AA44" si="7">X33/$X$45%</f>
        <v>12.742346041829657</v>
      </c>
      <c r="AB33" s="378">
        <f t="shared" ref="AB33:AB44" si="8">Y33/$Y$45%</f>
        <v>13.536618873487676</v>
      </c>
      <c r="AC33" s="378">
        <f t="shared" ref="AC33:AC44" si="9">Z33/$Z$45%</f>
        <v>13.288001424021342</v>
      </c>
      <c r="AD33" s="367"/>
      <c r="AE33" s="370"/>
      <c r="AF33" s="370"/>
      <c r="AG33" s="371"/>
      <c r="AH33" s="6"/>
    </row>
    <row r="34" spans="1:34" x14ac:dyDescent="0.3">
      <c r="A34" s="299" t="s">
        <v>38</v>
      </c>
      <c r="B34" s="300">
        <v>450140.699779952</v>
      </c>
      <c r="C34" s="301">
        <v>1512470.5737077401</v>
      </c>
      <c r="D34" s="301">
        <v>6941.2073909351202</v>
      </c>
      <c r="E34" s="302">
        <v>0</v>
      </c>
      <c r="F34" s="303"/>
      <c r="G34" s="300">
        <v>663.89909118799892</v>
      </c>
      <c r="H34" s="301">
        <v>7382.7177965774135</v>
      </c>
      <c r="I34" s="301">
        <v>24.330901196796564</v>
      </c>
      <c r="J34" s="302">
        <v>0</v>
      </c>
      <c r="K34" s="303">
        <f t="shared" si="4"/>
        <v>8070.9477889622094</v>
      </c>
      <c r="L34" s="300">
        <v>1495.9131140879558</v>
      </c>
      <c r="M34" s="301">
        <v>17272.885315102754</v>
      </c>
      <c r="N34" s="301">
        <v>49.145964173062332</v>
      </c>
      <c r="O34" s="302">
        <v>0</v>
      </c>
      <c r="P34" s="303">
        <f t="shared" ref="P34:P64" si="10">SUM(L34:O34)</f>
        <v>18817.94439336377</v>
      </c>
      <c r="Q34" s="300">
        <v>933.41535515234784</v>
      </c>
      <c r="R34" s="301">
        <v>89.054248415889916</v>
      </c>
      <c r="S34" s="301">
        <v>9423.8235356695186</v>
      </c>
      <c r="T34" s="302">
        <v>0</v>
      </c>
      <c r="U34" s="304">
        <f t="shared" si="5"/>
        <v>10446.293139237756</v>
      </c>
      <c r="W34" s="253" t="s">
        <v>3</v>
      </c>
      <c r="X34" s="367">
        <v>6252.8125438928273</v>
      </c>
      <c r="Y34" s="367">
        <v>14627.689045379067</v>
      </c>
      <c r="Z34" s="373">
        <f t="shared" si="6"/>
        <v>20880.501589271895</v>
      </c>
      <c r="AA34" s="380">
        <f t="shared" si="7"/>
        <v>9.8718890584250154</v>
      </c>
      <c r="AB34" s="378">
        <f t="shared" si="8"/>
        <v>10.522374148210158</v>
      </c>
      <c r="AC34" s="378">
        <f t="shared" si="9"/>
        <v>10.318764081879836</v>
      </c>
      <c r="AD34" s="367"/>
      <c r="AE34" s="370"/>
      <c r="AF34" s="370"/>
      <c r="AG34" s="371"/>
      <c r="AH34" s="6"/>
    </row>
    <row r="35" spans="1:34" x14ac:dyDescent="0.3">
      <c r="A35" s="25" t="s">
        <v>240</v>
      </c>
      <c r="B35" s="292">
        <v>0</v>
      </c>
      <c r="C35" s="168">
        <v>0</v>
      </c>
      <c r="D35" s="168">
        <v>0</v>
      </c>
      <c r="E35" s="293">
        <v>729763.35120520496</v>
      </c>
      <c r="F35" s="112"/>
      <c r="G35" s="292">
        <v>0</v>
      </c>
      <c r="H35" s="168">
        <v>0</v>
      </c>
      <c r="I35" s="168">
        <v>0</v>
      </c>
      <c r="J35" s="293">
        <v>2144.2042846564236</v>
      </c>
      <c r="K35" s="112"/>
      <c r="L35" s="292">
        <v>0</v>
      </c>
      <c r="M35" s="168">
        <v>0</v>
      </c>
      <c r="N35" s="168">
        <v>0</v>
      </c>
      <c r="O35" s="293">
        <v>4583.1326454472783</v>
      </c>
      <c r="P35" s="312"/>
      <c r="Q35" s="292">
        <v>0</v>
      </c>
      <c r="R35" s="168">
        <v>0</v>
      </c>
      <c r="S35" s="168">
        <v>0</v>
      </c>
      <c r="T35" s="293">
        <v>3415.8880404302604</v>
      </c>
      <c r="U35" s="59">
        <f t="shared" si="5"/>
        <v>3415.8880404302604</v>
      </c>
      <c r="W35" s="253" t="s">
        <v>13</v>
      </c>
      <c r="X35" s="367">
        <f>SUM(K40,K54)</f>
        <v>1949.3133959176166</v>
      </c>
      <c r="Y35" s="367">
        <v>1973.7856282722332</v>
      </c>
      <c r="Z35" s="373">
        <f t="shared" si="6"/>
        <v>3923.0990241898498</v>
      </c>
      <c r="AA35" s="380">
        <f t="shared" si="7"/>
        <v>3.0775599699363481</v>
      </c>
      <c r="AB35" s="378">
        <f t="shared" si="8"/>
        <v>1.4198354097225943</v>
      </c>
      <c r="AC35" s="378">
        <f t="shared" si="9"/>
        <v>1.9387241789855705</v>
      </c>
      <c r="AD35" s="367"/>
      <c r="AE35" s="370"/>
      <c r="AF35" s="370"/>
      <c r="AG35" s="371"/>
      <c r="AH35" s="6"/>
    </row>
    <row r="36" spans="1:34" x14ac:dyDescent="0.3">
      <c r="A36" s="25" t="s">
        <v>241</v>
      </c>
      <c r="B36" s="292">
        <v>0</v>
      </c>
      <c r="C36" s="168">
        <v>0</v>
      </c>
      <c r="D36" s="168">
        <v>0</v>
      </c>
      <c r="E36" s="293">
        <v>162680.83660167901</v>
      </c>
      <c r="F36" s="112"/>
      <c r="G36" s="292">
        <v>0</v>
      </c>
      <c r="H36" s="168">
        <v>0</v>
      </c>
      <c r="I36" s="168">
        <v>0</v>
      </c>
      <c r="J36" s="293">
        <v>477.99186722207071</v>
      </c>
      <c r="K36" s="112"/>
      <c r="L36" s="292">
        <v>0</v>
      </c>
      <c r="M36" s="168">
        <v>0</v>
      </c>
      <c r="N36" s="168">
        <v>0</v>
      </c>
      <c r="O36" s="293">
        <v>1021.6844293242328</v>
      </c>
      <c r="P36" s="312"/>
      <c r="Q36" s="292">
        <v>0</v>
      </c>
      <c r="R36" s="168">
        <v>0</v>
      </c>
      <c r="S36" s="168">
        <v>0</v>
      </c>
      <c r="T36" s="293">
        <v>761.47907843977964</v>
      </c>
      <c r="U36" s="59">
        <f t="shared" si="5"/>
        <v>761.47907843977964</v>
      </c>
      <c r="W36" s="253" t="s">
        <v>4</v>
      </c>
      <c r="X36" s="367">
        <v>1552.9168402014129</v>
      </c>
      <c r="Y36" s="367">
        <v>3633.2628746998716</v>
      </c>
      <c r="Z36" s="373">
        <f t="shared" si="6"/>
        <v>5186.1797149012846</v>
      </c>
      <c r="AA36" s="380">
        <f t="shared" si="7"/>
        <v>2.4517323453749511</v>
      </c>
      <c r="AB36" s="378">
        <f t="shared" si="8"/>
        <v>2.6135742445571606</v>
      </c>
      <c r="AC36" s="378">
        <f t="shared" si="9"/>
        <v>2.5629156816708085</v>
      </c>
      <c r="AD36" s="367"/>
      <c r="AE36" s="370"/>
      <c r="AF36" s="370"/>
      <c r="AG36" s="371"/>
      <c r="AH36" s="6"/>
    </row>
    <row r="37" spans="1:34" x14ac:dyDescent="0.3">
      <c r="A37" s="299" t="s">
        <v>39</v>
      </c>
      <c r="B37" s="300">
        <v>3970.1033612064598</v>
      </c>
      <c r="C37" s="301">
        <v>1279072.9734259699</v>
      </c>
      <c r="D37" s="301">
        <v>1000.45881599277</v>
      </c>
      <c r="E37" s="302">
        <v>0</v>
      </c>
      <c r="F37" s="303"/>
      <c r="G37" s="300">
        <v>5.8553870261361709</v>
      </c>
      <c r="H37" s="301">
        <v>6243.4502648762327</v>
      </c>
      <c r="I37" s="301">
        <v>3.5068919904588522</v>
      </c>
      <c r="J37" s="302">
        <v>0</v>
      </c>
      <c r="K37" s="303">
        <f t="shared" si="4"/>
        <v>6252.8125438928273</v>
      </c>
      <c r="L37" s="300">
        <v>13.193496356176231</v>
      </c>
      <c r="M37" s="301">
        <v>14607.411981228675</v>
      </c>
      <c r="N37" s="301">
        <v>7.0835677942164255</v>
      </c>
      <c r="O37" s="302">
        <v>0</v>
      </c>
      <c r="P37" s="303">
        <f t="shared" si="10"/>
        <v>14627.689045379067</v>
      </c>
      <c r="Q37" s="300">
        <v>8.2324380814789428</v>
      </c>
      <c r="R37" s="301">
        <v>12.835678709966384</v>
      </c>
      <c r="S37" s="301">
        <v>7969.5818221846857</v>
      </c>
      <c r="T37" s="302">
        <v>0</v>
      </c>
      <c r="U37" s="304">
        <f t="shared" si="5"/>
        <v>7990.6499389761311</v>
      </c>
      <c r="W37" s="340" t="s">
        <v>270</v>
      </c>
      <c r="X37" s="367">
        <v>12101.005476003347</v>
      </c>
      <c r="Y37" s="367">
        <v>24442.80944513443</v>
      </c>
      <c r="Z37" s="373">
        <f t="shared" si="6"/>
        <v>36543.814921137775</v>
      </c>
      <c r="AA37" s="380">
        <f t="shared" si="7"/>
        <v>19.104967998948887</v>
      </c>
      <c r="AB37" s="378">
        <f t="shared" si="8"/>
        <v>17.582844796414285</v>
      </c>
      <c r="AC37" s="378">
        <f t="shared" si="9"/>
        <v>18.059288624409426</v>
      </c>
      <c r="AD37" s="367"/>
      <c r="AE37" s="370"/>
      <c r="AF37" s="370"/>
      <c r="AG37" s="371"/>
      <c r="AH37" s="6"/>
    </row>
    <row r="38" spans="1:34" x14ac:dyDescent="0.3">
      <c r="A38" s="25" t="s">
        <v>43</v>
      </c>
      <c r="B38" s="292">
        <v>437377.72565170802</v>
      </c>
      <c r="C38" s="168">
        <v>3637042.2987135998</v>
      </c>
      <c r="D38" s="168">
        <v>679399.97475978802</v>
      </c>
      <c r="E38" s="293">
        <v>12860.0521588756</v>
      </c>
      <c r="F38" s="112"/>
      <c r="G38" s="292">
        <v>645.07536134366524</v>
      </c>
      <c r="H38" s="168">
        <v>17753.24252411292</v>
      </c>
      <c r="I38" s="168">
        <v>2381.4896642584686</v>
      </c>
      <c r="J38" s="293">
        <v>37.785645023728179</v>
      </c>
      <c r="K38" s="112"/>
      <c r="L38" s="292">
        <v>1453.4990413712728</v>
      </c>
      <c r="M38" s="168">
        <v>41536.156540125223</v>
      </c>
      <c r="N38" s="168">
        <v>4810.3687065062213</v>
      </c>
      <c r="O38" s="293">
        <v>80.764983297885749</v>
      </c>
      <c r="P38" s="312"/>
      <c r="Q38" s="292">
        <v>906.94994992562931</v>
      </c>
      <c r="R38" s="168">
        <v>8716.5604942192149</v>
      </c>
      <c r="S38" s="168">
        <v>22661.495311488841</v>
      </c>
      <c r="T38" s="293">
        <v>60.1955391378103</v>
      </c>
      <c r="U38" s="59">
        <f t="shared" si="5"/>
        <v>32345.201294771494</v>
      </c>
      <c r="W38" s="253" t="s">
        <v>6</v>
      </c>
      <c r="X38" s="367">
        <v>4947.2551019375442</v>
      </c>
      <c r="Y38" s="367">
        <v>11371.859044559842</v>
      </c>
      <c r="Z38" s="373">
        <f t="shared" si="6"/>
        <v>16319.114146497386</v>
      </c>
      <c r="AA38" s="380">
        <f t="shared" si="7"/>
        <v>7.8106856981912536</v>
      </c>
      <c r="AB38" s="378">
        <f t="shared" si="8"/>
        <v>8.1803048489991639</v>
      </c>
      <c r="AC38" s="378">
        <f t="shared" si="9"/>
        <v>8.0646093765052225</v>
      </c>
      <c r="AD38" s="367"/>
      <c r="AE38" s="370"/>
      <c r="AF38" s="370"/>
      <c r="AG38" s="371"/>
      <c r="AH38" s="6"/>
    </row>
    <row r="39" spans="1:34" x14ac:dyDescent="0.3">
      <c r="A39" s="25" t="s">
        <v>242</v>
      </c>
      <c r="B39" s="292">
        <v>0</v>
      </c>
      <c r="C39" s="168">
        <v>0</v>
      </c>
      <c r="D39" s="168">
        <v>0</v>
      </c>
      <c r="E39" s="293">
        <v>426060.01974229998</v>
      </c>
      <c r="F39" s="112"/>
      <c r="G39" s="292">
        <v>0</v>
      </c>
      <c r="H39" s="168">
        <v>0</v>
      </c>
      <c r="I39" s="168">
        <v>0</v>
      </c>
      <c r="J39" s="293">
        <v>1251.8574937251853</v>
      </c>
      <c r="K39" s="112"/>
      <c r="L39" s="292">
        <v>0</v>
      </c>
      <c r="M39" s="168">
        <v>0</v>
      </c>
      <c r="N39" s="168">
        <v>0</v>
      </c>
      <c r="O39" s="293">
        <v>2675.7846665990805</v>
      </c>
      <c r="P39" s="312"/>
      <c r="Q39" s="292">
        <v>0</v>
      </c>
      <c r="R39" s="168">
        <v>0</v>
      </c>
      <c r="S39" s="168">
        <v>0</v>
      </c>
      <c r="T39" s="293">
        <v>1994.3085981772756</v>
      </c>
      <c r="U39" s="59">
        <f t="shared" si="5"/>
        <v>1994.3085981772756</v>
      </c>
      <c r="W39" s="253" t="s">
        <v>7</v>
      </c>
      <c r="X39" s="367">
        <v>5068.450419331054</v>
      </c>
      <c r="Y39" s="367">
        <v>11754.791339223602</v>
      </c>
      <c r="Z39" s="373">
        <f t="shared" si="6"/>
        <v>16823.241758554657</v>
      </c>
      <c r="AA39" s="380">
        <f t="shared" si="7"/>
        <v>8.0020278693039781</v>
      </c>
      <c r="AB39" s="378">
        <f t="shared" si="8"/>
        <v>8.4557657823964085</v>
      </c>
      <c r="AC39" s="378">
        <f t="shared" si="9"/>
        <v>8.3137400726113508</v>
      </c>
      <c r="AD39" s="367"/>
      <c r="AE39" s="370"/>
      <c r="AF39" s="370"/>
      <c r="AG39" s="371"/>
      <c r="AH39" s="6"/>
    </row>
    <row r="40" spans="1:34" x14ac:dyDescent="0.3">
      <c r="A40" s="299" t="s">
        <v>243</v>
      </c>
      <c r="B40" s="300">
        <v>593939.070096176</v>
      </c>
      <c r="C40" s="301">
        <v>0</v>
      </c>
      <c r="D40" s="301">
        <v>0</v>
      </c>
      <c r="E40" s="302">
        <v>0</v>
      </c>
      <c r="F40" s="303"/>
      <c r="G40" s="300">
        <v>875.98301831106301</v>
      </c>
      <c r="H40" s="301">
        <v>0</v>
      </c>
      <c r="I40" s="301">
        <v>0</v>
      </c>
      <c r="J40" s="302">
        <v>0</v>
      </c>
      <c r="K40" s="303">
        <f t="shared" si="4"/>
        <v>875.98301831106301</v>
      </c>
      <c r="L40" s="300">
        <v>1973.7856282722332</v>
      </c>
      <c r="M40" s="301">
        <v>0</v>
      </c>
      <c r="N40" s="301">
        <v>0</v>
      </c>
      <c r="O40" s="302">
        <v>0</v>
      </c>
      <c r="P40" s="303">
        <f t="shared" si="10"/>
        <v>1973.7856282722332</v>
      </c>
      <c r="Q40" s="300">
        <v>1231.5968058957737</v>
      </c>
      <c r="R40" s="301">
        <v>0</v>
      </c>
      <c r="S40" s="301">
        <v>0</v>
      </c>
      <c r="T40" s="302">
        <v>0</v>
      </c>
      <c r="U40" s="304">
        <f t="shared" si="5"/>
        <v>1231.5968058957737</v>
      </c>
      <c r="W40" s="253" t="s">
        <v>8</v>
      </c>
      <c r="X40" s="367">
        <v>589.58132194883137</v>
      </c>
      <c r="Y40" s="367">
        <v>1342.9239076601109</v>
      </c>
      <c r="Z40" s="373">
        <f t="shared" si="6"/>
        <v>1932.5052296089423</v>
      </c>
      <c r="AA40" s="380">
        <f t="shared" si="7"/>
        <v>0.93082614588904322</v>
      </c>
      <c r="AB40" s="378">
        <f t="shared" si="8"/>
        <v>0.96602735846644638</v>
      </c>
      <c r="AC40" s="378">
        <f t="shared" si="9"/>
        <v>0.95500893338592663</v>
      </c>
      <c r="AD40" s="367"/>
      <c r="AE40" s="370"/>
      <c r="AF40" s="370"/>
      <c r="AG40" s="371"/>
      <c r="AH40" s="6"/>
    </row>
    <row r="41" spans="1:34" x14ac:dyDescent="0.3">
      <c r="A41" s="25" t="s">
        <v>244</v>
      </c>
      <c r="B41" s="292">
        <v>151014.53675524899</v>
      </c>
      <c r="C41" s="168">
        <v>0</v>
      </c>
      <c r="D41" s="168">
        <v>0</v>
      </c>
      <c r="E41" s="293">
        <v>0</v>
      </c>
      <c r="F41" s="112"/>
      <c r="G41" s="292">
        <v>222.72683575823527</v>
      </c>
      <c r="H41" s="168">
        <v>0</v>
      </c>
      <c r="I41" s="168">
        <v>0</v>
      </c>
      <c r="J41" s="293">
        <v>0</v>
      </c>
      <c r="K41" s="112"/>
      <c r="L41" s="292">
        <v>501.85336731498933</v>
      </c>
      <c r="M41" s="168">
        <v>0</v>
      </c>
      <c r="N41" s="168">
        <v>0</v>
      </c>
      <c r="O41" s="293">
        <v>0</v>
      </c>
      <c r="P41" s="312"/>
      <c r="Q41" s="292">
        <v>313.14495118409633</v>
      </c>
      <c r="R41" s="168">
        <v>0</v>
      </c>
      <c r="S41" s="168">
        <v>0</v>
      </c>
      <c r="T41" s="293">
        <v>0</v>
      </c>
      <c r="U41" s="59">
        <f t="shared" si="5"/>
        <v>313.14495118409633</v>
      </c>
      <c r="W41" s="253" t="s">
        <v>9</v>
      </c>
      <c r="X41" s="367">
        <v>3219.5255257258273</v>
      </c>
      <c r="Y41" s="367">
        <v>7506.7608383801507</v>
      </c>
      <c r="Z41" s="373">
        <f t="shared" si="6"/>
        <v>10726.286364105978</v>
      </c>
      <c r="AA41" s="380">
        <f t="shared" si="7"/>
        <v>5.0829604418215535</v>
      </c>
      <c r="AB41" s="378">
        <f t="shared" si="8"/>
        <v>5.3999607140623871</v>
      </c>
      <c r="AC41" s="378">
        <f t="shared" si="9"/>
        <v>5.3007356165601438</v>
      </c>
      <c r="AD41" s="367"/>
      <c r="AE41" s="370"/>
      <c r="AF41" s="370"/>
      <c r="AG41" s="371"/>
      <c r="AH41" s="6"/>
    </row>
    <row r="42" spans="1:34" x14ac:dyDescent="0.3">
      <c r="A42" s="25" t="s">
        <v>245</v>
      </c>
      <c r="B42" s="292">
        <v>49430.746561090396</v>
      </c>
      <c r="C42" s="168">
        <v>417.47584413028699</v>
      </c>
      <c r="D42" s="168">
        <v>0</v>
      </c>
      <c r="E42" s="293">
        <v>0</v>
      </c>
      <c r="F42" s="112"/>
      <c r="G42" s="292">
        <v>72.903933669393993</v>
      </c>
      <c r="H42" s="168">
        <v>2.0377959066973648</v>
      </c>
      <c r="I42" s="168">
        <v>0</v>
      </c>
      <c r="J42" s="293">
        <v>0</v>
      </c>
      <c r="K42" s="112"/>
      <c r="L42" s="292">
        <v>164.26886539262119</v>
      </c>
      <c r="M42" s="168">
        <v>4.7677042468408173</v>
      </c>
      <c r="N42" s="168">
        <v>0</v>
      </c>
      <c r="O42" s="293">
        <v>0</v>
      </c>
      <c r="P42" s="312"/>
      <c r="Q42" s="292">
        <v>102.49999140117924</v>
      </c>
      <c r="R42" s="168">
        <v>0</v>
      </c>
      <c r="S42" s="168">
        <v>2.601186928115879</v>
      </c>
      <c r="T42" s="293">
        <v>0</v>
      </c>
      <c r="U42" s="59">
        <f t="shared" si="5"/>
        <v>105.10117832929512</v>
      </c>
      <c r="W42" s="253" t="s">
        <v>10</v>
      </c>
      <c r="X42" s="367">
        <v>1545.5645318252782</v>
      </c>
      <c r="Y42" s="367">
        <v>3536.3424017855377</v>
      </c>
      <c r="Z42" s="373">
        <f t="shared" si="6"/>
        <v>5081.9069336108159</v>
      </c>
      <c r="AA42" s="380">
        <f t="shared" si="7"/>
        <v>2.4401245813322849</v>
      </c>
      <c r="AB42" s="378">
        <f t="shared" si="8"/>
        <v>2.5438548599392425</v>
      </c>
      <c r="AC42" s="378">
        <f t="shared" si="9"/>
        <v>2.5113859698151022</v>
      </c>
      <c r="AD42" s="367"/>
      <c r="AE42" s="370"/>
      <c r="AF42" s="370"/>
      <c r="AG42" s="371"/>
      <c r="AH42" s="6"/>
    </row>
    <row r="43" spans="1:34" x14ac:dyDescent="0.3">
      <c r="A43" s="25" t="s">
        <v>246</v>
      </c>
      <c r="B43" s="292">
        <v>0</v>
      </c>
      <c r="C43" s="168">
        <v>0</v>
      </c>
      <c r="D43" s="168">
        <v>0</v>
      </c>
      <c r="E43" s="293">
        <v>450960.41783254</v>
      </c>
      <c r="F43" s="112"/>
      <c r="G43" s="292">
        <v>0</v>
      </c>
      <c r="H43" s="168">
        <v>0</v>
      </c>
      <c r="I43" s="168">
        <v>0</v>
      </c>
      <c r="J43" s="293">
        <v>1325.0203076518742</v>
      </c>
      <c r="K43" s="112"/>
      <c r="L43" s="292">
        <v>0</v>
      </c>
      <c r="M43" s="168">
        <v>0</v>
      </c>
      <c r="N43" s="168">
        <v>0</v>
      </c>
      <c r="O43" s="293">
        <v>2832.1666323192549</v>
      </c>
      <c r="P43" s="312"/>
      <c r="Q43" s="292">
        <v>0</v>
      </c>
      <c r="R43" s="168">
        <v>0</v>
      </c>
      <c r="S43" s="168">
        <v>0</v>
      </c>
      <c r="T43" s="293">
        <v>2110.8627823493525</v>
      </c>
      <c r="U43" s="59">
        <f t="shared" si="5"/>
        <v>2110.8627823493525</v>
      </c>
      <c r="W43" s="253" t="s">
        <v>11</v>
      </c>
      <c r="X43" s="367">
        <v>3043.0785532184341</v>
      </c>
      <c r="Y43" s="367">
        <v>7119.7014843176885</v>
      </c>
      <c r="Z43" s="373">
        <f t="shared" si="6"/>
        <v>10162.780037536122</v>
      </c>
      <c r="AA43" s="380">
        <f t="shared" si="7"/>
        <v>4.8043874116754237</v>
      </c>
      <c r="AB43" s="378">
        <f t="shared" si="8"/>
        <v>5.1215309957128312</v>
      </c>
      <c r="AC43" s="378">
        <f t="shared" si="9"/>
        <v>5.0222610398043548</v>
      </c>
      <c r="AD43" s="367"/>
      <c r="AE43" s="370"/>
      <c r="AF43" s="370"/>
      <c r="AG43" s="371"/>
      <c r="AH43" s="6"/>
    </row>
    <row r="44" spans="1:34" x14ac:dyDescent="0.3">
      <c r="A44" s="25" t="s">
        <v>247</v>
      </c>
      <c r="B44" s="292">
        <v>227568.156464428</v>
      </c>
      <c r="C44" s="168">
        <v>0</v>
      </c>
      <c r="D44" s="168">
        <v>0</v>
      </c>
      <c r="E44" s="293">
        <v>0</v>
      </c>
      <c r="F44" s="112"/>
      <c r="G44" s="292">
        <v>335.63348600541468</v>
      </c>
      <c r="H44" s="168">
        <v>0</v>
      </c>
      <c r="I44" s="168">
        <v>0</v>
      </c>
      <c r="J44" s="293">
        <v>0</v>
      </c>
      <c r="K44" s="112"/>
      <c r="L44" s="292">
        <v>756.25729859657349</v>
      </c>
      <c r="M44" s="168">
        <v>0</v>
      </c>
      <c r="N44" s="168">
        <v>0</v>
      </c>
      <c r="O44" s="293">
        <v>0</v>
      </c>
      <c r="P44" s="312"/>
      <c r="Q44" s="292">
        <v>471.88714926565615</v>
      </c>
      <c r="R44" s="168">
        <v>0</v>
      </c>
      <c r="S44" s="168">
        <v>0</v>
      </c>
      <c r="T44" s="293">
        <v>0</v>
      </c>
      <c r="U44" s="59">
        <f t="shared" si="5"/>
        <v>471.88714926565615</v>
      </c>
      <c r="W44" s="255" t="s">
        <v>12</v>
      </c>
      <c r="X44" s="367">
        <v>636.90412155866284</v>
      </c>
      <c r="Y44" s="367">
        <v>1490.124931160057</v>
      </c>
      <c r="Z44" s="373">
        <f t="shared" si="6"/>
        <v>2127.0290527187199</v>
      </c>
      <c r="AA44" s="380">
        <f t="shared" si="7"/>
        <v>1.005538993012314</v>
      </c>
      <c r="AB44" s="378">
        <f t="shared" si="8"/>
        <v>1.0719158716458548</v>
      </c>
      <c r="AC44" s="378">
        <f t="shared" si="9"/>
        <v>1.0511390684975475</v>
      </c>
      <c r="AD44" s="367"/>
      <c r="AE44" s="370"/>
      <c r="AF44" s="370"/>
      <c r="AG44" s="370"/>
      <c r="AH44" s="6"/>
    </row>
    <row r="45" spans="1:34" ht="15" thickBot="1" x14ac:dyDescent="0.35">
      <c r="A45" s="25" t="s">
        <v>248</v>
      </c>
      <c r="B45" s="292">
        <v>823361.89440091897</v>
      </c>
      <c r="C45" s="168">
        <v>292451.83921025402</v>
      </c>
      <c r="D45" s="168">
        <v>0</v>
      </c>
      <c r="E45" s="293">
        <v>0</v>
      </c>
      <c r="F45" s="112"/>
      <c r="G45" s="292">
        <v>1214.3518985926287</v>
      </c>
      <c r="H45" s="168">
        <v>1427.5248956985968</v>
      </c>
      <c r="I45" s="168">
        <v>0</v>
      </c>
      <c r="J45" s="293">
        <v>0</v>
      </c>
      <c r="K45" s="112"/>
      <c r="L45" s="292">
        <v>2736.2063818640127</v>
      </c>
      <c r="M45" s="168">
        <v>3339.8911467653484</v>
      </c>
      <c r="N45" s="168">
        <v>0</v>
      </c>
      <c r="O45" s="293">
        <v>0</v>
      </c>
      <c r="P45" s="312"/>
      <c r="Q45" s="292">
        <v>1707.3298092281771</v>
      </c>
      <c r="R45" s="168">
        <v>0</v>
      </c>
      <c r="S45" s="168">
        <v>1822.1938154097163</v>
      </c>
      <c r="T45" s="293">
        <v>0</v>
      </c>
      <c r="U45" s="59">
        <f t="shared" si="5"/>
        <v>3529.5236246378936</v>
      </c>
      <c r="W45" s="256" t="s">
        <v>67</v>
      </c>
      <c r="X45" s="374">
        <f t="shared" ref="X45:AC45" si="11">SUM(X32:X44)</f>
        <v>63339.574694231989</v>
      </c>
      <c r="Y45" s="374">
        <f t="shared" si="11"/>
        <v>139015.10095862937</v>
      </c>
      <c r="Z45" s="374">
        <f t="shared" si="11"/>
        <v>202354.67565286133</v>
      </c>
      <c r="AA45" s="381">
        <f t="shared" si="11"/>
        <v>99.999999999999986</v>
      </c>
      <c r="AB45" s="378">
        <f t="shared" si="11"/>
        <v>100</v>
      </c>
      <c r="AC45" s="378">
        <f t="shared" si="11"/>
        <v>100</v>
      </c>
      <c r="AD45" s="372"/>
      <c r="AE45" s="6"/>
      <c r="AF45" s="6"/>
      <c r="AG45" s="6"/>
      <c r="AH45" s="6"/>
    </row>
    <row r="46" spans="1:34" ht="15" thickTop="1" x14ac:dyDescent="0.3">
      <c r="A46" s="299" t="s">
        <v>249</v>
      </c>
      <c r="B46" s="300">
        <v>61302.765678105898</v>
      </c>
      <c r="C46" s="301">
        <v>0</v>
      </c>
      <c r="D46" s="301">
        <v>0</v>
      </c>
      <c r="E46" s="302">
        <v>0</v>
      </c>
      <c r="F46" s="303"/>
      <c r="G46" s="300">
        <v>90.413620543311666</v>
      </c>
      <c r="H46" s="301">
        <v>0</v>
      </c>
      <c r="I46" s="301">
        <v>0</v>
      </c>
      <c r="J46" s="302">
        <v>0</v>
      </c>
      <c r="K46" s="303">
        <f t="shared" si="4"/>
        <v>90.413620543311666</v>
      </c>
      <c r="L46" s="300">
        <v>203.72210544962562</v>
      </c>
      <c r="M46" s="301">
        <v>0</v>
      </c>
      <c r="N46" s="301">
        <v>0</v>
      </c>
      <c r="O46" s="302">
        <v>0</v>
      </c>
      <c r="P46" s="303">
        <f t="shared" si="10"/>
        <v>203.72210544962562</v>
      </c>
      <c r="Q46" s="300">
        <v>127.11790519102675</v>
      </c>
      <c r="R46" s="301">
        <v>0</v>
      </c>
      <c r="S46" s="301">
        <v>0</v>
      </c>
      <c r="T46" s="302">
        <v>0</v>
      </c>
      <c r="U46" s="304">
        <f t="shared" si="5"/>
        <v>127.11790519102675</v>
      </c>
      <c r="AA46" s="6"/>
      <c r="AB46" s="6"/>
      <c r="AC46" s="6"/>
      <c r="AD46" s="6"/>
      <c r="AE46" s="6"/>
      <c r="AF46" s="6"/>
      <c r="AG46" s="6"/>
      <c r="AH46" s="6"/>
    </row>
    <row r="47" spans="1:34" x14ac:dyDescent="0.3">
      <c r="A47" s="299" t="s">
        <v>250</v>
      </c>
      <c r="B47" s="300">
        <v>186221.63393676301</v>
      </c>
      <c r="C47" s="301">
        <v>0</v>
      </c>
      <c r="D47" s="301">
        <v>0</v>
      </c>
      <c r="E47" s="302">
        <v>0</v>
      </c>
      <c r="F47" s="303"/>
      <c r="G47" s="300">
        <v>274.65273322451839</v>
      </c>
      <c r="H47" s="301">
        <v>0</v>
      </c>
      <c r="I47" s="301">
        <v>0</v>
      </c>
      <c r="J47" s="302">
        <v>0</v>
      </c>
      <c r="K47" s="303">
        <f t="shared" si="4"/>
        <v>274.65273322451839</v>
      </c>
      <c r="L47" s="300">
        <v>618.85402601690566</v>
      </c>
      <c r="M47" s="301">
        <v>0</v>
      </c>
      <c r="N47" s="301">
        <v>0</v>
      </c>
      <c r="O47" s="302">
        <v>0</v>
      </c>
      <c r="P47" s="303">
        <f t="shared" si="10"/>
        <v>618.85402601690566</v>
      </c>
      <c r="Q47" s="300">
        <v>386.15066947535701</v>
      </c>
      <c r="R47" s="301">
        <v>0</v>
      </c>
      <c r="S47" s="301">
        <v>0</v>
      </c>
      <c r="T47" s="302">
        <v>0</v>
      </c>
      <c r="U47" s="304">
        <f t="shared" si="5"/>
        <v>386.15066947535701</v>
      </c>
    </row>
    <row r="48" spans="1:34" x14ac:dyDescent="0.3">
      <c r="A48" s="299" t="s">
        <v>40</v>
      </c>
      <c r="B48" s="300">
        <v>0</v>
      </c>
      <c r="C48" s="301">
        <v>1270760.599217023</v>
      </c>
      <c r="D48" s="301">
        <v>92418.827281224512</v>
      </c>
      <c r="E48" s="302">
        <v>0</v>
      </c>
      <c r="F48" s="303"/>
      <c r="G48" s="300">
        <v>0</v>
      </c>
      <c r="H48" s="301">
        <v>6202.8756487012124</v>
      </c>
      <c r="I48" s="301">
        <v>323.95420978775047</v>
      </c>
      <c r="J48" s="302">
        <v>0</v>
      </c>
      <c r="K48" s="303">
        <f t="shared" si="4"/>
        <v>6526.8298584889626</v>
      </c>
      <c r="L48" s="300">
        <v>0</v>
      </c>
      <c r="M48" s="301">
        <v>14512.482077200602</v>
      </c>
      <c r="N48" s="301">
        <v>654.35480006131831</v>
      </c>
      <c r="O48" s="302">
        <v>0</v>
      </c>
      <c r="P48" s="303">
        <f t="shared" si="10"/>
        <v>15166.836877261921</v>
      </c>
      <c r="Q48" s="300">
        <v>0</v>
      </c>
      <c r="R48" s="301">
        <v>1185.7143490274832</v>
      </c>
      <c r="S48" s="301">
        <v>7917.7895102750826</v>
      </c>
      <c r="T48" s="302">
        <v>0</v>
      </c>
      <c r="U48" s="304">
        <f t="shared" si="5"/>
        <v>9103.5038593025656</v>
      </c>
    </row>
    <row r="49" spans="1:21" x14ac:dyDescent="0.3">
      <c r="A49" s="299" t="s">
        <v>42</v>
      </c>
      <c r="B49" s="300">
        <v>0</v>
      </c>
      <c r="C49" s="301">
        <v>0</v>
      </c>
      <c r="D49" s="301">
        <v>3452218.5581370802</v>
      </c>
      <c r="E49" s="302">
        <v>0</v>
      </c>
      <c r="F49" s="303"/>
      <c r="G49" s="300">
        <v>0</v>
      </c>
      <c r="H49" s="301">
        <v>0</v>
      </c>
      <c r="I49" s="301">
        <v>12101.005476003347</v>
      </c>
      <c r="J49" s="302">
        <v>0</v>
      </c>
      <c r="K49" s="303">
        <f t="shared" si="4"/>
        <v>12101.005476003347</v>
      </c>
      <c r="L49" s="300">
        <v>0</v>
      </c>
      <c r="M49" s="301">
        <v>0</v>
      </c>
      <c r="N49" s="301">
        <v>24442.80944513443</v>
      </c>
      <c r="O49" s="302">
        <v>0</v>
      </c>
      <c r="P49" s="303">
        <f t="shared" si="10"/>
        <v>24442.80944513443</v>
      </c>
      <c r="Q49" s="300">
        <v>0</v>
      </c>
      <c r="R49" s="301">
        <v>44291.246716497721</v>
      </c>
      <c r="S49" s="301">
        <v>0</v>
      </c>
      <c r="T49" s="302">
        <v>0</v>
      </c>
      <c r="U49" s="304">
        <f t="shared" si="5"/>
        <v>44291.246716497721</v>
      </c>
    </row>
    <row r="50" spans="1:21" x14ac:dyDescent="0.3">
      <c r="A50" s="299" t="s">
        <v>41</v>
      </c>
      <c r="B50" s="300">
        <v>0</v>
      </c>
      <c r="C50" s="301">
        <v>318140.43133393303</v>
      </c>
      <c r="D50" s="301">
        <v>0</v>
      </c>
      <c r="E50" s="302">
        <v>0</v>
      </c>
      <c r="F50" s="303"/>
      <c r="G50" s="300">
        <v>0</v>
      </c>
      <c r="H50" s="301">
        <v>1552.9168402014129</v>
      </c>
      <c r="I50" s="301">
        <v>0</v>
      </c>
      <c r="J50" s="302">
        <v>0</v>
      </c>
      <c r="K50" s="303">
        <f t="shared" si="4"/>
        <v>1552.9168402014129</v>
      </c>
      <c r="L50" s="300">
        <v>0</v>
      </c>
      <c r="M50" s="301">
        <v>3633.2628746998716</v>
      </c>
      <c r="N50" s="301">
        <v>0</v>
      </c>
      <c r="O50" s="302">
        <v>0</v>
      </c>
      <c r="P50" s="303">
        <f t="shared" si="10"/>
        <v>3633.2628746998716</v>
      </c>
      <c r="Q50" s="300">
        <v>0</v>
      </c>
      <c r="R50" s="301">
        <v>0</v>
      </c>
      <c r="S50" s="301">
        <v>1982.2529684680685</v>
      </c>
      <c r="T50" s="302">
        <v>0</v>
      </c>
      <c r="U50" s="304">
        <f t="shared" si="5"/>
        <v>1982.2529684680685</v>
      </c>
    </row>
    <row r="51" spans="1:21" x14ac:dyDescent="0.3">
      <c r="A51" s="25" t="s">
        <v>251</v>
      </c>
      <c r="B51" s="292">
        <v>0</v>
      </c>
      <c r="C51" s="168">
        <v>0</v>
      </c>
      <c r="D51" s="168">
        <v>430600.05861422198</v>
      </c>
      <c r="E51" s="293">
        <v>0</v>
      </c>
      <c r="F51" s="112"/>
      <c r="G51" s="292">
        <v>0</v>
      </c>
      <c r="H51" s="168">
        <v>0</v>
      </c>
      <c r="I51" s="168">
        <v>1509.3753710859801</v>
      </c>
      <c r="J51" s="293">
        <v>0</v>
      </c>
      <c r="K51" s="112"/>
      <c r="L51" s="292">
        <v>0</v>
      </c>
      <c r="M51" s="168">
        <v>0</v>
      </c>
      <c r="N51" s="168">
        <v>3048.7858756691198</v>
      </c>
      <c r="O51" s="293">
        <v>0</v>
      </c>
      <c r="P51" s="312"/>
      <c r="Q51" s="292">
        <v>0</v>
      </c>
      <c r="R51" s="168">
        <v>5524.5092716588033</v>
      </c>
      <c r="S51" s="168">
        <v>0</v>
      </c>
      <c r="T51" s="293">
        <v>0</v>
      </c>
      <c r="U51" s="59">
        <f t="shared" si="5"/>
        <v>5524.5092716588033</v>
      </c>
    </row>
    <row r="52" spans="1:21" x14ac:dyDescent="0.3">
      <c r="A52" s="299" t="s">
        <v>65</v>
      </c>
      <c r="B52" s="300">
        <v>1592203.8028628901</v>
      </c>
      <c r="C52" s="301">
        <v>532439.74024956604</v>
      </c>
      <c r="D52" s="301">
        <v>0</v>
      </c>
      <c r="E52" s="302">
        <v>0</v>
      </c>
      <c r="F52" s="303"/>
      <c r="G52" s="300">
        <v>2348.2938961606578</v>
      </c>
      <c r="H52" s="301">
        <v>2598.9612057768859</v>
      </c>
      <c r="I52" s="301">
        <v>0</v>
      </c>
      <c r="J52" s="302">
        <v>0</v>
      </c>
      <c r="K52" s="303">
        <f t="shared" si="4"/>
        <v>4947.2551019375442</v>
      </c>
      <c r="L52" s="300">
        <v>5291.2312753937522</v>
      </c>
      <c r="M52" s="301">
        <v>6080.6277691660907</v>
      </c>
      <c r="N52" s="301">
        <v>0</v>
      </c>
      <c r="O52" s="302">
        <v>0</v>
      </c>
      <c r="P52" s="303">
        <f t="shared" si="10"/>
        <v>11371.859044559842</v>
      </c>
      <c r="Q52" s="300">
        <v>3301.6065395790583</v>
      </c>
      <c r="R52" s="301">
        <v>0</v>
      </c>
      <c r="S52" s="301">
        <v>3317.498034483544</v>
      </c>
      <c r="T52" s="302">
        <v>0</v>
      </c>
      <c r="U52" s="304">
        <f t="shared" si="5"/>
        <v>6619.1045740626023</v>
      </c>
    </row>
    <row r="53" spans="1:21" x14ac:dyDescent="0.3">
      <c r="A53" s="25" t="s">
        <v>252</v>
      </c>
      <c r="B53" s="292">
        <v>0</v>
      </c>
      <c r="C53" s="168">
        <v>0</v>
      </c>
      <c r="D53" s="168">
        <v>0</v>
      </c>
      <c r="E53" s="293">
        <v>870795.22255231685</v>
      </c>
      <c r="F53" s="112"/>
      <c r="G53" s="292">
        <v>0</v>
      </c>
      <c r="H53" s="168">
        <v>0</v>
      </c>
      <c r="I53" s="168">
        <v>0</v>
      </c>
      <c r="J53" s="293">
        <v>2558.5867585312421</v>
      </c>
      <c r="K53" s="112"/>
      <c r="L53" s="292">
        <v>0</v>
      </c>
      <c r="M53" s="168">
        <v>0</v>
      </c>
      <c r="N53" s="168">
        <v>0</v>
      </c>
      <c r="O53" s="293">
        <v>5468.8550821138933</v>
      </c>
      <c r="P53" s="312"/>
      <c r="Q53" s="292">
        <v>0</v>
      </c>
      <c r="R53" s="168">
        <v>0</v>
      </c>
      <c r="S53" s="168">
        <v>0</v>
      </c>
      <c r="T53" s="293">
        <v>4076.0322938495224</v>
      </c>
      <c r="U53" s="59">
        <f t="shared" si="5"/>
        <v>4076.0322938495224</v>
      </c>
    </row>
    <row r="54" spans="1:21" x14ac:dyDescent="0.3">
      <c r="A54" s="299" t="s">
        <v>253</v>
      </c>
      <c r="B54" s="300">
        <v>727745.66750247101</v>
      </c>
      <c r="C54" s="301">
        <v>0</v>
      </c>
      <c r="D54" s="301">
        <v>0</v>
      </c>
      <c r="E54" s="302">
        <v>0</v>
      </c>
      <c r="F54" s="303"/>
      <c r="G54" s="300">
        <v>1073.3303776065536</v>
      </c>
      <c r="H54" s="301">
        <v>0</v>
      </c>
      <c r="I54" s="301">
        <v>0</v>
      </c>
      <c r="J54" s="302">
        <v>0</v>
      </c>
      <c r="K54" s="303">
        <f t="shared" si="4"/>
        <v>1073.3303776065536</v>
      </c>
      <c r="L54" s="300">
        <v>2418.4533597380005</v>
      </c>
      <c r="M54" s="301">
        <v>0</v>
      </c>
      <c r="N54" s="301">
        <v>0</v>
      </c>
      <c r="O54" s="302">
        <v>0</v>
      </c>
      <c r="P54" s="303">
        <f t="shared" si="10"/>
        <v>2418.4533597380005</v>
      </c>
      <c r="Q54" s="300">
        <v>1509.0592364220051</v>
      </c>
      <c r="R54" s="301">
        <v>0</v>
      </c>
      <c r="S54" s="301">
        <v>0</v>
      </c>
      <c r="T54" s="302">
        <v>0</v>
      </c>
      <c r="U54" s="304">
        <f t="shared" si="5"/>
        <v>1509.0592364220051</v>
      </c>
    </row>
    <row r="55" spans="1:21" x14ac:dyDescent="0.3">
      <c r="A55" s="25" t="s">
        <v>254</v>
      </c>
      <c r="B55" s="292">
        <v>0</v>
      </c>
      <c r="C55" s="168">
        <v>122500.90664700299</v>
      </c>
      <c r="D55" s="168">
        <v>104247.708051469</v>
      </c>
      <c r="E55" s="293">
        <v>615551.47367487894</v>
      </c>
      <c r="F55" s="112"/>
      <c r="G55" s="292">
        <v>0</v>
      </c>
      <c r="H55" s="168">
        <v>597.95518625042405</v>
      </c>
      <c r="I55" s="168">
        <v>365.41779286198164</v>
      </c>
      <c r="J55" s="293">
        <v>1808.6248166621244</v>
      </c>
      <c r="K55" s="112"/>
      <c r="L55" s="292">
        <v>0</v>
      </c>
      <c r="M55" s="168">
        <v>1398.9985314707105</v>
      </c>
      <c r="N55" s="168">
        <v>738.1070520544032</v>
      </c>
      <c r="O55" s="293">
        <v>3865.8478112026041</v>
      </c>
      <c r="P55" s="312"/>
      <c r="Q55" s="292">
        <v>0</v>
      </c>
      <c r="R55" s="168">
        <v>1337.476431222434</v>
      </c>
      <c r="S55" s="168">
        <v>763.27232229772653</v>
      </c>
      <c r="T55" s="293">
        <v>2881.2832457572781</v>
      </c>
      <c r="U55" s="59">
        <f t="shared" si="5"/>
        <v>4982.0319992774384</v>
      </c>
    </row>
    <row r="56" spans="1:21" x14ac:dyDescent="0.3">
      <c r="A56" s="299" t="s">
        <v>49</v>
      </c>
      <c r="B56" s="300">
        <v>0</v>
      </c>
      <c r="C56" s="301">
        <v>130480.23352284099</v>
      </c>
      <c r="D56" s="301">
        <v>0</v>
      </c>
      <c r="E56" s="302">
        <v>0</v>
      </c>
      <c r="F56" s="303"/>
      <c r="G56" s="300">
        <v>0</v>
      </c>
      <c r="H56" s="301">
        <v>636.90412155866284</v>
      </c>
      <c r="I56" s="301">
        <v>0</v>
      </c>
      <c r="J56" s="302">
        <v>0</v>
      </c>
      <c r="K56" s="303">
        <f t="shared" si="4"/>
        <v>636.90412155866284</v>
      </c>
      <c r="L56" s="300">
        <v>0</v>
      </c>
      <c r="M56" s="301">
        <v>1490.124931160057</v>
      </c>
      <c r="N56" s="301">
        <v>0</v>
      </c>
      <c r="O56" s="302">
        <v>0</v>
      </c>
      <c r="P56" s="303">
        <f t="shared" si="10"/>
        <v>1490.124931160057</v>
      </c>
      <c r="Q56" s="300">
        <v>0</v>
      </c>
      <c r="R56" s="301">
        <v>0</v>
      </c>
      <c r="S56" s="301">
        <v>812.98950008518193</v>
      </c>
      <c r="T56" s="302">
        <v>0</v>
      </c>
      <c r="U56" s="304">
        <f t="shared" si="5"/>
        <v>812.98950008518193</v>
      </c>
    </row>
    <row r="57" spans="1:21" x14ac:dyDescent="0.3">
      <c r="A57" s="299" t="s">
        <v>44</v>
      </c>
      <c r="B57" s="300">
        <v>812451.43254069705</v>
      </c>
      <c r="C57" s="301">
        <v>792871.77224329405</v>
      </c>
      <c r="D57" s="301">
        <v>0</v>
      </c>
      <c r="E57" s="302">
        <v>0</v>
      </c>
      <c r="F57" s="303"/>
      <c r="G57" s="300">
        <v>1198.2603838351683</v>
      </c>
      <c r="H57" s="301">
        <v>3870.1900354958857</v>
      </c>
      <c r="I57" s="301">
        <v>0</v>
      </c>
      <c r="J57" s="302">
        <v>0</v>
      </c>
      <c r="K57" s="303">
        <f t="shared" si="4"/>
        <v>5068.450419331054</v>
      </c>
      <c r="L57" s="300">
        <v>2699.9486007181604</v>
      </c>
      <c r="M57" s="301">
        <v>9054.842738505442</v>
      </c>
      <c r="N57" s="301">
        <v>0</v>
      </c>
      <c r="O57" s="302">
        <v>0</v>
      </c>
      <c r="P57" s="303">
        <f t="shared" si="10"/>
        <v>11754.791339223602</v>
      </c>
      <c r="Q57" s="300">
        <v>1684.7057882562599</v>
      </c>
      <c r="R57" s="301">
        <v>0</v>
      </c>
      <c r="S57" s="301">
        <v>4940.184488824425</v>
      </c>
      <c r="T57" s="302">
        <v>0</v>
      </c>
      <c r="U57" s="304">
        <f t="shared" si="5"/>
        <v>6624.8902770806853</v>
      </c>
    </row>
    <row r="58" spans="1:21" x14ac:dyDescent="0.3">
      <c r="A58" s="299" t="s">
        <v>45</v>
      </c>
      <c r="B58" s="300">
        <v>286252.80160009</v>
      </c>
      <c r="C58" s="301">
        <v>34293.729101745703</v>
      </c>
      <c r="D58" s="301">
        <v>0</v>
      </c>
      <c r="E58" s="302">
        <v>0</v>
      </c>
      <c r="F58" s="303"/>
      <c r="G58" s="300">
        <v>422.18571865467715</v>
      </c>
      <c r="H58" s="301">
        <v>167.39560329415426</v>
      </c>
      <c r="I58" s="301">
        <v>0</v>
      </c>
      <c r="J58" s="302">
        <v>0</v>
      </c>
      <c r="K58" s="303">
        <f t="shared" si="4"/>
        <v>589.58132194883137</v>
      </c>
      <c r="L58" s="300">
        <v>951.27883363428236</v>
      </c>
      <c r="M58" s="301">
        <v>391.64507402582859</v>
      </c>
      <c r="N58" s="301">
        <v>0</v>
      </c>
      <c r="O58" s="302">
        <v>0</v>
      </c>
      <c r="P58" s="303">
        <f t="shared" si="10"/>
        <v>1342.9239076601109</v>
      </c>
      <c r="Q58" s="300">
        <v>593.57609876093807</v>
      </c>
      <c r="R58" s="301">
        <v>0</v>
      </c>
      <c r="S58" s="301">
        <v>213.67559610938565</v>
      </c>
      <c r="T58" s="302">
        <v>0</v>
      </c>
      <c r="U58" s="304">
        <f t="shared" si="5"/>
        <v>807.25169487032372</v>
      </c>
    </row>
    <row r="59" spans="1:21" x14ac:dyDescent="0.3">
      <c r="A59" s="299" t="s">
        <v>46</v>
      </c>
      <c r="B59" s="300">
        <v>0</v>
      </c>
      <c r="C59" s="301">
        <v>643065.58357794699</v>
      </c>
      <c r="D59" s="301">
        <v>22986.4581555767</v>
      </c>
      <c r="E59" s="302">
        <v>0</v>
      </c>
      <c r="F59" s="303"/>
      <c r="G59" s="300">
        <v>0</v>
      </c>
      <c r="H59" s="301">
        <v>3138.9514683971224</v>
      </c>
      <c r="I59" s="301">
        <v>80.574057328704711</v>
      </c>
      <c r="J59" s="302">
        <v>0</v>
      </c>
      <c r="K59" s="303">
        <f t="shared" si="4"/>
        <v>3219.5255257258273</v>
      </c>
      <c r="L59" s="300">
        <v>0</v>
      </c>
      <c r="M59" s="301">
        <v>7344.0093766596883</v>
      </c>
      <c r="N59" s="301">
        <v>162.75146172046254</v>
      </c>
      <c r="O59" s="302">
        <v>0</v>
      </c>
      <c r="P59" s="303">
        <f t="shared" si="10"/>
        <v>7506.7608383801507</v>
      </c>
      <c r="Q59" s="300">
        <v>0</v>
      </c>
      <c r="R59" s="301">
        <v>294.91148146092326</v>
      </c>
      <c r="S59" s="301">
        <v>4006.7798255703001</v>
      </c>
      <c r="T59" s="302">
        <v>0</v>
      </c>
      <c r="U59" s="304">
        <f t="shared" si="5"/>
        <v>4301.691307031223</v>
      </c>
    </row>
    <row r="60" spans="1:21" x14ac:dyDescent="0.3">
      <c r="A60" s="299" t="s">
        <v>47</v>
      </c>
      <c r="B60" s="300">
        <v>625492.06549725495</v>
      </c>
      <c r="C60" s="301">
        <v>127640.953709347</v>
      </c>
      <c r="D60" s="301">
        <v>0</v>
      </c>
      <c r="E60" s="302">
        <v>0</v>
      </c>
      <c r="F60" s="303"/>
      <c r="G60" s="300">
        <v>922.51959005690981</v>
      </c>
      <c r="H60" s="301">
        <v>623.04494176836852</v>
      </c>
      <c r="I60" s="301">
        <v>0</v>
      </c>
      <c r="J60" s="302">
        <v>0</v>
      </c>
      <c r="K60" s="303">
        <f t="shared" si="4"/>
        <v>1545.5645318252782</v>
      </c>
      <c r="L60" s="300">
        <v>2078.6429309607142</v>
      </c>
      <c r="M60" s="301">
        <v>1457.6994708248235</v>
      </c>
      <c r="N60" s="301">
        <v>0</v>
      </c>
      <c r="O60" s="302">
        <v>0</v>
      </c>
      <c r="P60" s="303">
        <f t="shared" si="10"/>
        <v>3536.3424017855377</v>
      </c>
      <c r="Q60" s="300">
        <v>1297.0253495107277</v>
      </c>
      <c r="R60" s="301">
        <v>0</v>
      </c>
      <c r="S60" s="301">
        <v>795.29866206433826</v>
      </c>
      <c r="T60" s="302">
        <v>0</v>
      </c>
      <c r="U60" s="304">
        <f t="shared" si="5"/>
        <v>2092.3240115750659</v>
      </c>
    </row>
    <row r="61" spans="1:21" x14ac:dyDescent="0.3">
      <c r="A61" s="299" t="s">
        <v>48</v>
      </c>
      <c r="B61" s="300">
        <v>0</v>
      </c>
      <c r="C61" s="301">
        <v>623424.44774981495</v>
      </c>
      <c r="D61" s="301">
        <v>0</v>
      </c>
      <c r="E61" s="302">
        <v>0</v>
      </c>
      <c r="F61" s="303"/>
      <c r="G61" s="300">
        <v>0</v>
      </c>
      <c r="H61" s="301">
        <v>3043.0785532184341</v>
      </c>
      <c r="I61" s="301">
        <v>0</v>
      </c>
      <c r="J61" s="302">
        <v>0</v>
      </c>
      <c r="K61" s="303">
        <f t="shared" si="4"/>
        <v>3043.0785532184341</v>
      </c>
      <c r="L61" s="300">
        <v>0</v>
      </c>
      <c r="M61" s="301">
        <v>7119.7014843176885</v>
      </c>
      <c r="N61" s="301">
        <v>0</v>
      </c>
      <c r="O61" s="302">
        <v>0</v>
      </c>
      <c r="P61" s="303">
        <f t="shared" si="10"/>
        <v>7119.7014843176885</v>
      </c>
      <c r="Q61" s="300">
        <v>0</v>
      </c>
      <c r="R61" s="301">
        <v>0</v>
      </c>
      <c r="S61" s="301">
        <v>3884.4008508635839</v>
      </c>
      <c r="T61" s="302">
        <v>0</v>
      </c>
      <c r="U61" s="304">
        <f t="shared" si="5"/>
        <v>3884.4008508635839</v>
      </c>
    </row>
    <row r="62" spans="1:21" x14ac:dyDescent="0.3">
      <c r="A62" s="25" t="s">
        <v>255</v>
      </c>
      <c r="B62" s="292">
        <v>2379.3514462390299</v>
      </c>
      <c r="C62" s="168">
        <v>260372.15962909901</v>
      </c>
      <c r="D62" s="168">
        <v>0</v>
      </c>
      <c r="E62" s="293">
        <v>0</v>
      </c>
      <c r="F62" s="112"/>
      <c r="G62" s="292">
        <v>3.509234476125227</v>
      </c>
      <c r="H62" s="168">
        <v>1270.9365788947166</v>
      </c>
      <c r="I62" s="168">
        <v>0</v>
      </c>
      <c r="J62" s="293">
        <v>0</v>
      </c>
      <c r="K62" s="112"/>
      <c r="L62" s="292">
        <v>7.9070900125073074</v>
      </c>
      <c r="M62" s="168">
        <v>2973.5312082759888</v>
      </c>
      <c r="N62" s="168">
        <v>0</v>
      </c>
      <c r="O62" s="293">
        <v>0</v>
      </c>
      <c r="P62" s="312"/>
      <c r="Q62" s="292">
        <v>4.9338421882516705</v>
      </c>
      <c r="R62" s="168">
        <v>0</v>
      </c>
      <c r="S62" s="168">
        <v>1622.3134047035956</v>
      </c>
      <c r="T62" s="293">
        <v>0</v>
      </c>
      <c r="U62" s="59">
        <f t="shared" si="5"/>
        <v>1627.2472468918472</v>
      </c>
    </row>
    <row r="63" spans="1:21" x14ac:dyDescent="0.3">
      <c r="A63" s="25"/>
      <c r="B63" s="292"/>
      <c r="C63" s="168"/>
      <c r="D63" s="168"/>
      <c r="E63" s="293"/>
      <c r="F63" s="112"/>
      <c r="G63" s="292"/>
      <c r="H63" s="168"/>
      <c r="I63" s="168"/>
      <c r="J63" s="293"/>
      <c r="K63" s="112"/>
      <c r="L63" s="292"/>
      <c r="M63" s="168"/>
      <c r="N63" s="168"/>
      <c r="O63" s="293"/>
      <c r="P63" s="312"/>
      <c r="Q63" s="292"/>
      <c r="R63" s="168"/>
      <c r="S63" s="168"/>
      <c r="T63" s="293"/>
      <c r="U63" s="59">
        <f t="shared" si="5"/>
        <v>0</v>
      </c>
    </row>
    <row r="64" spans="1:21" x14ac:dyDescent="0.3">
      <c r="A64" s="305" t="s">
        <v>62</v>
      </c>
      <c r="B64" s="306">
        <v>5088162.7205604929</v>
      </c>
      <c r="C64" s="307">
        <v>3878442.0770116113</v>
      </c>
      <c r="D64" s="307">
        <v>11853020.668894056</v>
      </c>
      <c r="E64" s="308">
        <v>27335813.287456766</v>
      </c>
      <c r="F64" s="309"/>
      <c r="G64" s="306">
        <v>7504.3794254731702</v>
      </c>
      <c r="H64" s="307">
        <v>18931.570532810398</v>
      </c>
      <c r="I64" s="307">
        <v>41548.200267734152</v>
      </c>
      <c r="J64" s="308">
        <v>80318.59626649163</v>
      </c>
      <c r="K64" s="112">
        <f t="shared" si="4"/>
        <v>148302.74649250935</v>
      </c>
      <c r="L64" s="306">
        <v>16909.044980870854</v>
      </c>
      <c r="M64" s="307">
        <v>44293.017240833644</v>
      </c>
      <c r="N64" s="307">
        <v>83923.170181716239</v>
      </c>
      <c r="O64" s="308">
        <v>171677.10335232443</v>
      </c>
      <c r="P64" s="303">
        <f t="shared" si="10"/>
        <v>316802.33575574518</v>
      </c>
      <c r="Q64" s="306">
        <v>10550.854910934744</v>
      </c>
      <c r="R64" s="307">
        <v>152071.79207826027</v>
      </c>
      <c r="S64" s="307">
        <v>24165.596582466555</v>
      </c>
      <c r="T64" s="308">
        <v>127953.9148271114</v>
      </c>
      <c r="U64" s="310">
        <f t="shared" si="5"/>
        <v>314742.158398773</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6</vt:i4>
      </vt:variant>
    </vt:vector>
  </HeadingPairs>
  <TitlesOfParts>
    <vt:vector size="20" baseType="lpstr">
      <vt:lpstr>Weighted Model Figures</vt:lpstr>
      <vt:lpstr>datapercentage</vt:lpstr>
      <vt:lpstr>datanumbers</vt:lpstr>
      <vt:lpstr>Catch_History</vt:lpstr>
      <vt:lpstr>SPA 2018_Stock Assessment</vt:lpstr>
      <vt:lpstr>TKA_limit</vt:lpstr>
      <vt:lpstr>EEZ_area</vt:lpstr>
      <vt:lpstr>Dependency Factors</vt:lpstr>
      <vt:lpstr>Biomass_2013&amp;2021</vt:lpstr>
      <vt:lpstr>Effort_VMSdays</vt:lpstr>
      <vt:lpstr>Effort_hooks</vt:lpstr>
      <vt:lpstr>TKA4</vt:lpstr>
      <vt:lpstr>Discussion</vt:lpstr>
      <vt:lpstr>Compilation</vt:lpstr>
      <vt:lpstr>BIOMASS</vt:lpstr>
      <vt:lpstr>CATCH</vt:lpstr>
      <vt:lpstr>EEZAREA</vt:lpstr>
      <vt:lpstr>NORMBEST</vt:lpstr>
      <vt:lpstr>OPTIONS</vt:lpstr>
      <vt:lpstr>VMS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Tim Adams FFA;Brian Kumasi</dc:creator>
  <cp:lastModifiedBy>Sam McKechnie</cp:lastModifiedBy>
  <cp:lastPrinted>2021-09-28T04:50:03Z</cp:lastPrinted>
  <dcterms:created xsi:type="dcterms:W3CDTF">2017-06-10T04:03:25Z</dcterms:created>
  <dcterms:modified xsi:type="dcterms:W3CDTF">2022-02-13T05:56:16Z</dcterms:modified>
</cp:coreProperties>
</file>