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8F2DDC86-C422-466A-9A41-40F168B11B51}" xr6:coauthVersionLast="47" xr6:coauthVersionMax="47" xr10:uidLastSave="{00000000-0000-0000-0000-000000000000}"/>
  <bookViews>
    <workbookView xWindow="-120" yWindow="-120" windowWidth="29040" windowHeight="15840" tabRatio="786" firstSheet="7" activeTab="10" xr2:uid="{00000000-000D-0000-FFFF-FFFF00000000}"/>
  </bookViews>
  <sheets>
    <sheet name="energy supply" sheetId="3" r:id="rId1"/>
    <sheet name="tfec" sheetId="4" r:id="rId2"/>
    <sheet name="Sayfa2" sheetId="5" r:id="rId3"/>
    <sheet name="cost" sheetId="7" r:id="rId4"/>
    <sheet name="capital cost." sheetId="8" r:id="rId5"/>
    <sheet name="fixed cost" sheetId="17" r:id="rId6"/>
    <sheet name="variable cost" sheetId="10" r:id="rId7"/>
    <sheet name="lifetime" sheetId="11" r:id="rId8"/>
    <sheet name="residual capacity" sheetId="12" r:id="rId9"/>
    <sheet name="specified demand profile" sheetId="14" r:id="rId10"/>
    <sheet name="demand" sheetId="29" r:id="rId11"/>
    <sheet name="input activity ratio" sheetId="18" r:id="rId12"/>
    <sheet name="output activity ratio" sheetId="19" r:id="rId13"/>
    <sheet name="fuel prices" sheetId="2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2" l="1"/>
  <c r="F57" i="12" s="1"/>
  <c r="G57" i="12" s="1"/>
  <c r="H57" i="12" s="1"/>
  <c r="I57" i="12" s="1"/>
  <c r="J57" i="12" s="1"/>
  <c r="K57" i="12" s="1"/>
  <c r="L57" i="12" s="1"/>
  <c r="M57" i="12" s="1"/>
  <c r="N57" i="12" s="1"/>
  <c r="O57" i="12" s="1"/>
  <c r="P57" i="12" s="1"/>
  <c r="Q57" i="12" s="1"/>
  <c r="R57" i="12" s="1"/>
  <c r="S57" i="12" s="1"/>
  <c r="T57" i="12" s="1"/>
  <c r="U57" i="12" s="1"/>
  <c r="V57" i="12" s="1"/>
  <c r="W57" i="12" s="1"/>
  <c r="X57" i="12" s="1"/>
  <c r="E73" i="12"/>
  <c r="F73" i="12" s="1"/>
  <c r="G73" i="12" s="1"/>
  <c r="H73" i="12" s="1"/>
  <c r="I73" i="12" s="1"/>
  <c r="J73" i="12" s="1"/>
  <c r="K73" i="12" s="1"/>
  <c r="L73" i="12" s="1"/>
  <c r="M73" i="12" s="1"/>
  <c r="N73" i="12" s="1"/>
  <c r="O73" i="12" s="1"/>
  <c r="P73" i="12" s="1"/>
  <c r="Q73" i="12" s="1"/>
  <c r="R73" i="12" s="1"/>
  <c r="S73" i="12" s="1"/>
  <c r="T73" i="12" s="1"/>
  <c r="U73" i="12" s="1"/>
  <c r="V73" i="12" s="1"/>
  <c r="W73" i="12" s="1"/>
  <c r="X73" i="12" s="1"/>
  <c r="E70" i="12"/>
  <c r="F70" i="12" s="1"/>
  <c r="G70" i="12" s="1"/>
  <c r="H70" i="12" s="1"/>
  <c r="I70" i="12" s="1"/>
  <c r="J70" i="12" s="1"/>
  <c r="K70" i="12" s="1"/>
  <c r="L70" i="12" s="1"/>
  <c r="M70" i="12" s="1"/>
  <c r="N70" i="12" s="1"/>
  <c r="O70" i="12" s="1"/>
  <c r="P70" i="12" s="1"/>
  <c r="Q70" i="12" s="1"/>
  <c r="R70" i="12" s="1"/>
  <c r="S70" i="12" s="1"/>
  <c r="T70" i="12" s="1"/>
  <c r="U70" i="12" s="1"/>
  <c r="V70" i="12" s="1"/>
  <c r="W70" i="12" s="1"/>
  <c r="X70" i="12" s="1"/>
  <c r="E67" i="12"/>
  <c r="F67" i="12" s="1"/>
  <c r="G67" i="12" s="1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S67" i="12" s="1"/>
  <c r="T67" i="12" s="1"/>
  <c r="U67" i="12" s="1"/>
  <c r="V67" i="12" s="1"/>
  <c r="W67" i="12" s="1"/>
  <c r="X67" i="12" s="1"/>
  <c r="E64" i="12"/>
  <c r="F64" i="12" s="1"/>
  <c r="G64" i="12" s="1"/>
  <c r="H64" i="12" s="1"/>
  <c r="I64" i="12" s="1"/>
  <c r="J64" i="12" s="1"/>
  <c r="K64" i="12" s="1"/>
  <c r="L64" i="12" s="1"/>
  <c r="M64" i="12" s="1"/>
  <c r="N64" i="12" s="1"/>
  <c r="O64" i="12" s="1"/>
  <c r="P64" i="12" s="1"/>
  <c r="Q64" i="12" s="1"/>
  <c r="R64" i="12" s="1"/>
  <c r="S64" i="12" s="1"/>
  <c r="T64" i="12" s="1"/>
  <c r="U64" i="12" s="1"/>
  <c r="V64" i="12" s="1"/>
  <c r="W64" i="12" s="1"/>
  <c r="X64" i="12" s="1"/>
  <c r="E63" i="12"/>
  <c r="F63" i="12" s="1"/>
  <c r="G63" i="12" s="1"/>
  <c r="H63" i="12" s="1"/>
  <c r="I63" i="12" s="1"/>
  <c r="J63" i="12" s="1"/>
  <c r="K63" i="12" s="1"/>
  <c r="L63" i="12" s="1"/>
  <c r="M63" i="12" s="1"/>
  <c r="N63" i="12" s="1"/>
  <c r="O63" i="12" s="1"/>
  <c r="P63" i="12" s="1"/>
  <c r="Q63" i="12" s="1"/>
  <c r="R63" i="12" s="1"/>
  <c r="S63" i="12" s="1"/>
  <c r="T63" i="12" s="1"/>
  <c r="U63" i="12" s="1"/>
  <c r="V63" i="12" s="1"/>
  <c r="W63" i="12" s="1"/>
  <c r="X63" i="12" s="1"/>
  <c r="E61" i="12"/>
  <c r="F61" i="12" s="1"/>
  <c r="G61" i="12" s="1"/>
  <c r="H61" i="12" s="1"/>
  <c r="I61" i="12" s="1"/>
  <c r="J61" i="12" s="1"/>
  <c r="K61" i="12" s="1"/>
  <c r="L61" i="12" s="1"/>
  <c r="M61" i="12" s="1"/>
  <c r="N61" i="12" s="1"/>
  <c r="O61" i="12" s="1"/>
  <c r="P61" i="12" s="1"/>
  <c r="Q61" i="12" s="1"/>
  <c r="R61" i="12" s="1"/>
  <c r="S61" i="12" s="1"/>
  <c r="T61" i="12" s="1"/>
  <c r="U61" i="12" s="1"/>
  <c r="V61" i="12" s="1"/>
  <c r="W61" i="12" s="1"/>
  <c r="X61" i="12" s="1"/>
  <c r="B73" i="12"/>
  <c r="B70" i="12"/>
  <c r="B67" i="12"/>
  <c r="B64" i="12"/>
  <c r="B63" i="12"/>
  <c r="B61" i="12"/>
  <c r="B57" i="12"/>
  <c r="F43" i="12"/>
  <c r="F39" i="12"/>
  <c r="F40" i="12"/>
  <c r="F49" i="12"/>
  <c r="E51" i="12"/>
  <c r="B51" i="12"/>
  <c r="F46" i="12"/>
  <c r="C49" i="12"/>
  <c r="C46" i="12"/>
  <c r="C43" i="12"/>
  <c r="C40" i="12"/>
  <c r="C39" i="12"/>
  <c r="C51" i="12" s="1"/>
  <c r="I3" i="29"/>
  <c r="M3" i="29"/>
  <c r="N3" i="29"/>
  <c r="P3" i="29"/>
  <c r="Q3" i="29"/>
  <c r="S3" i="29"/>
  <c r="U3" i="29"/>
  <c r="G3" i="29"/>
  <c r="M4" i="29"/>
  <c r="N4" i="29"/>
  <c r="O4" i="29"/>
  <c r="O3" i="29" s="1"/>
  <c r="P4" i="29"/>
  <c r="Q4" i="29"/>
  <c r="R4" i="29"/>
  <c r="R3" i="29" s="1"/>
  <c r="S4" i="29"/>
  <c r="T4" i="29"/>
  <c r="T3" i="29" s="1"/>
  <c r="U4" i="29"/>
  <c r="V4" i="29"/>
  <c r="V3" i="29" s="1"/>
  <c r="L4" i="29"/>
  <c r="L3" i="29" s="1"/>
  <c r="H4" i="29"/>
  <c r="H3" i="29" s="1"/>
  <c r="I4" i="29"/>
  <c r="J4" i="29"/>
  <c r="J3" i="29" s="1"/>
  <c r="K4" i="29"/>
  <c r="K3" i="29" s="1"/>
  <c r="G4" i="29"/>
  <c r="G23" i="29"/>
  <c r="H23" i="29" s="1"/>
  <c r="I23" i="29" s="1"/>
  <c r="J23" i="29" s="1"/>
  <c r="K23" i="29" s="1"/>
  <c r="L23" i="29" s="1"/>
  <c r="M23" i="29" s="1"/>
  <c r="N23" i="29" s="1"/>
  <c r="O23" i="29" s="1"/>
  <c r="P23" i="29" s="1"/>
  <c r="Q23" i="29" s="1"/>
  <c r="R23" i="29" s="1"/>
  <c r="S23" i="29" s="1"/>
  <c r="T23" i="29" s="1"/>
  <c r="U23" i="29" s="1"/>
  <c r="V23" i="29" s="1"/>
  <c r="W23" i="29" s="1"/>
  <c r="X23" i="29" s="1"/>
  <c r="Y23" i="29" s="1"/>
  <c r="Z23" i="29" s="1"/>
  <c r="G22" i="29"/>
  <c r="H22" i="29" s="1"/>
  <c r="I22" i="29" s="1"/>
  <c r="J22" i="29" s="1"/>
  <c r="K22" i="29" s="1"/>
  <c r="L22" i="29" s="1"/>
  <c r="M22" i="29" s="1"/>
  <c r="N22" i="29" s="1"/>
  <c r="O22" i="29" s="1"/>
  <c r="P22" i="29" s="1"/>
  <c r="Q22" i="29" s="1"/>
  <c r="R22" i="29" s="1"/>
  <c r="S22" i="29" s="1"/>
  <c r="T22" i="29" s="1"/>
  <c r="U22" i="29" s="1"/>
  <c r="V22" i="29" s="1"/>
  <c r="W22" i="29" s="1"/>
  <c r="X22" i="29" s="1"/>
  <c r="Y22" i="29" s="1"/>
  <c r="Z22" i="29" s="1"/>
  <c r="F22" i="29"/>
  <c r="F23" i="29"/>
  <c r="F21" i="29"/>
  <c r="G21" i="29" s="1"/>
  <c r="C11" i="29"/>
  <c r="D11" i="29" s="1"/>
  <c r="E11" i="29" s="1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B3" i="18"/>
  <c r="G24" i="29" l="1"/>
  <c r="H21" i="29"/>
  <c r="F24" i="29"/>
  <c r="F51" i="12"/>
  <c r="F11" i="20"/>
  <c r="F10" i="20"/>
  <c r="F9" i="20"/>
  <c r="I21" i="29" l="1"/>
  <c r="H24" i="29"/>
  <c r="F3" i="7"/>
  <c r="F4" i="7"/>
  <c r="F5" i="7"/>
  <c r="F6" i="7"/>
  <c r="F7" i="7"/>
  <c r="F8" i="7"/>
  <c r="F9" i="7"/>
  <c r="F2" i="7"/>
  <c r="B8" i="20"/>
  <c r="C8" i="20"/>
  <c r="C14" i="8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D4" i="20"/>
  <c r="D9" i="20" s="1"/>
  <c r="D3" i="20"/>
  <c r="D8" i="20" s="1"/>
  <c r="C4" i="20"/>
  <c r="C9" i="20" s="1"/>
  <c r="C3" i="20"/>
  <c r="B4" i="20"/>
  <c r="B9" i="20" s="1"/>
  <c r="B3" i="20"/>
  <c r="D2" i="20"/>
  <c r="D7" i="20" s="1"/>
  <c r="C2" i="20"/>
  <c r="C7" i="20" s="1"/>
  <c r="B2" i="20"/>
  <c r="B7" i="20" s="1"/>
  <c r="R19" i="8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C19" i="8"/>
  <c r="D19" i="8" s="1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AF3" i="8"/>
  <c r="W3" i="8"/>
  <c r="X3" i="8"/>
  <c r="Y3" i="8"/>
  <c r="Z3" i="8"/>
  <c r="AA3" i="8"/>
  <c r="AB3" i="8"/>
  <c r="AC3" i="8"/>
  <c r="AD3" i="8"/>
  <c r="AE3" i="8"/>
  <c r="V3" i="8"/>
  <c r="M3" i="8"/>
  <c r="N3" i="8"/>
  <c r="O3" i="8"/>
  <c r="P3" i="8"/>
  <c r="Q3" i="8"/>
  <c r="R3" i="8"/>
  <c r="S3" i="8"/>
  <c r="T3" i="8"/>
  <c r="U3" i="8"/>
  <c r="L3" i="8"/>
  <c r="H3" i="8"/>
  <c r="I3" i="8"/>
  <c r="J3" i="8"/>
  <c r="K3" i="8"/>
  <c r="G3" i="8"/>
  <c r="M16" i="8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D16" i="8"/>
  <c r="E16" i="8" s="1"/>
  <c r="F16" i="8" s="1"/>
  <c r="G16" i="8" s="1"/>
  <c r="H16" i="8" s="1"/>
  <c r="I16" i="8" s="1"/>
  <c r="J16" i="8" s="1"/>
  <c r="K16" i="8" s="1"/>
  <c r="C16" i="8"/>
  <c r="AF15" i="18"/>
  <c r="W15" i="18"/>
  <c r="X15" i="18"/>
  <c r="Y15" i="18"/>
  <c r="Z15" i="18"/>
  <c r="AA15" i="18"/>
  <c r="AB15" i="18"/>
  <c r="AC15" i="18"/>
  <c r="AD15" i="18"/>
  <c r="AE15" i="18"/>
  <c r="V15" i="18"/>
  <c r="M15" i="18"/>
  <c r="N15" i="18"/>
  <c r="O15" i="18"/>
  <c r="P15" i="18"/>
  <c r="Q15" i="18"/>
  <c r="R15" i="18"/>
  <c r="S15" i="18"/>
  <c r="T15" i="18"/>
  <c r="U15" i="18"/>
  <c r="L15" i="18"/>
  <c r="C15" i="18"/>
  <c r="D15" i="18"/>
  <c r="E15" i="18"/>
  <c r="F15" i="18"/>
  <c r="G15" i="18"/>
  <c r="H15" i="18"/>
  <c r="I15" i="18"/>
  <c r="J15" i="18"/>
  <c r="K15" i="18"/>
  <c r="B15" i="18"/>
  <c r="F9" i="12"/>
  <c r="W3" i="18"/>
  <c r="X3" i="18"/>
  <c r="Y3" i="18"/>
  <c r="Z3" i="18"/>
  <c r="AA3" i="18"/>
  <c r="AB3" i="18"/>
  <c r="AC3" i="18"/>
  <c r="AD3" i="18"/>
  <c r="AE3" i="18"/>
  <c r="AF3" i="18"/>
  <c r="V3" i="18"/>
  <c r="M3" i="18"/>
  <c r="N3" i="18"/>
  <c r="O3" i="18"/>
  <c r="P3" i="18"/>
  <c r="Q3" i="18"/>
  <c r="R3" i="18"/>
  <c r="S3" i="18"/>
  <c r="T3" i="18"/>
  <c r="U3" i="18"/>
  <c r="L3" i="18"/>
  <c r="C3" i="18"/>
  <c r="D3" i="18"/>
  <c r="E3" i="18"/>
  <c r="F3" i="18"/>
  <c r="G3" i="18"/>
  <c r="H3" i="18"/>
  <c r="I3" i="18"/>
  <c r="J3" i="18"/>
  <c r="K3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W6" i="18"/>
  <c r="X6" i="18"/>
  <c r="Y6" i="18"/>
  <c r="Z6" i="18"/>
  <c r="AA6" i="18"/>
  <c r="AB6" i="18"/>
  <c r="AC6" i="18"/>
  <c r="AD6" i="18"/>
  <c r="AE6" i="18"/>
  <c r="AF6" i="18"/>
  <c r="V6" i="18"/>
  <c r="M6" i="18"/>
  <c r="N6" i="18"/>
  <c r="O6" i="18"/>
  <c r="P6" i="18"/>
  <c r="Q6" i="18"/>
  <c r="R6" i="18"/>
  <c r="S6" i="18"/>
  <c r="T6" i="18"/>
  <c r="U6" i="18"/>
  <c r="L6" i="18"/>
  <c r="C6" i="18"/>
  <c r="D6" i="18"/>
  <c r="E6" i="18"/>
  <c r="F6" i="18"/>
  <c r="G6" i="18"/>
  <c r="H6" i="18"/>
  <c r="I6" i="18"/>
  <c r="J6" i="18"/>
  <c r="K6" i="18"/>
  <c r="B6" i="18"/>
  <c r="B10" i="18"/>
  <c r="B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B14" i="18"/>
  <c r="B17" i="18"/>
  <c r="J21" i="29" l="1"/>
  <c r="I24" i="29"/>
  <c r="T3" i="14"/>
  <c r="U3" i="14"/>
  <c r="V3" i="14"/>
  <c r="U2" i="14"/>
  <c r="V2" i="14"/>
  <c r="R2" i="14"/>
  <c r="Q2" i="14"/>
  <c r="P3" i="14"/>
  <c r="Q3" i="14"/>
  <c r="R3" i="14"/>
  <c r="P2" i="14"/>
  <c r="T2" i="14" s="1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H2" i="12"/>
  <c r="D29" i="12"/>
  <c r="F8" i="12" s="1"/>
  <c r="C3" i="12"/>
  <c r="C20" i="12" s="1"/>
  <c r="C8" i="12"/>
  <c r="C29" i="12" s="1"/>
  <c r="C7" i="12"/>
  <c r="C17" i="12" s="1"/>
  <c r="C6" i="12"/>
  <c r="C26" i="12" s="1"/>
  <c r="C5" i="12"/>
  <c r="C23" i="12" s="1"/>
  <c r="C4" i="12"/>
  <c r="C13" i="12" s="1"/>
  <c r="C2" i="12"/>
  <c r="C19" i="12" s="1"/>
  <c r="D3" i="12"/>
  <c r="B20" i="12" s="1"/>
  <c r="D8" i="12"/>
  <c r="B29" i="12" s="1"/>
  <c r="D7" i="12"/>
  <c r="B17" i="12" s="1"/>
  <c r="D6" i="12"/>
  <c r="B26" i="12" s="1"/>
  <c r="D5" i="12"/>
  <c r="B23" i="12" s="1"/>
  <c r="D4" i="12"/>
  <c r="B13" i="12" s="1"/>
  <c r="D2" i="12"/>
  <c r="B19" i="12" s="1"/>
  <c r="B3" i="12"/>
  <c r="D20" i="12" s="1"/>
  <c r="F3" i="12" s="1"/>
  <c r="B7" i="12"/>
  <c r="D17" i="12" s="1"/>
  <c r="B6" i="12"/>
  <c r="D26" i="12" s="1"/>
  <c r="B4" i="12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B5" i="12"/>
  <c r="D23" i="12" s="1"/>
  <c r="B2" i="12"/>
  <c r="P7" i="14" l="1"/>
  <c r="Q7" i="14"/>
  <c r="U7" i="14"/>
  <c r="T7" i="14"/>
  <c r="S7" i="14"/>
  <c r="R7" i="14"/>
  <c r="T8" i="14"/>
  <c r="U8" i="14"/>
  <c r="S8" i="14"/>
  <c r="R8" i="14"/>
  <c r="Q8" i="14"/>
  <c r="P8" i="14"/>
  <c r="K21" i="29"/>
  <c r="J24" i="29"/>
  <c r="F5" i="12"/>
  <c r="E23" i="12"/>
  <c r="F23" i="12" s="1"/>
  <c r="G23" i="12" s="1"/>
  <c r="H23" i="12" s="1"/>
  <c r="I23" i="12" s="1"/>
  <c r="J23" i="12" s="1"/>
  <c r="K23" i="12" s="1"/>
  <c r="L23" i="12" s="1"/>
  <c r="M23" i="12" s="1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F4" i="12"/>
  <c r="F7" i="12"/>
  <c r="E17" i="12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AB17" i="12" s="1"/>
  <c r="AC17" i="12" s="1"/>
  <c r="AD17" i="12" s="1"/>
  <c r="AE17" i="12" s="1"/>
  <c r="AF17" i="12" s="1"/>
  <c r="F6" i="12"/>
  <c r="E26" i="12"/>
  <c r="F26" i="12" s="1"/>
  <c r="G26" i="12" s="1"/>
  <c r="H26" i="12" s="1"/>
  <c r="I26" i="12" s="1"/>
  <c r="J26" i="12" s="1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U26" i="12" s="1"/>
  <c r="V26" i="12" s="1"/>
  <c r="W26" i="12" s="1"/>
  <c r="E20" i="12"/>
  <c r="F20" i="12" s="1"/>
  <c r="G20" i="12" s="1"/>
  <c r="H20" i="12" s="1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D19" i="12"/>
  <c r="E29" i="12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L21" i="29" l="1"/>
  <c r="K24" i="29"/>
  <c r="F2" i="12"/>
  <c r="E19" i="12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AC19" i="12" s="1"/>
  <c r="AD19" i="12" s="1"/>
  <c r="AE19" i="12" s="1"/>
  <c r="AF19" i="12" s="1"/>
  <c r="M21" i="29" l="1"/>
  <c r="L24" i="29"/>
  <c r="D20" i="4"/>
  <c r="E20" i="4"/>
  <c r="G20" i="4"/>
  <c r="H20" i="4"/>
  <c r="I20" i="4"/>
  <c r="J20" i="4"/>
  <c r="P20" i="4"/>
  <c r="Q20" i="4"/>
  <c r="S20" i="4"/>
  <c r="T20" i="4"/>
  <c r="U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U27" i="4" s="1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U28" i="4" s="1"/>
  <c r="F23" i="4"/>
  <c r="G23" i="4"/>
  <c r="H23" i="4"/>
  <c r="L23" i="4"/>
  <c r="M23" i="4"/>
  <c r="R23" i="4"/>
  <c r="S23" i="4"/>
  <c r="T23" i="4"/>
  <c r="B21" i="4"/>
  <c r="B22" i="4"/>
  <c r="B23" i="4"/>
  <c r="B20" i="4"/>
  <c r="C16" i="4"/>
  <c r="C23" i="4" s="1"/>
  <c r="D16" i="4"/>
  <c r="D23" i="4" s="1"/>
  <c r="E16" i="4"/>
  <c r="E23" i="4" s="1"/>
  <c r="F16" i="4"/>
  <c r="G16" i="4"/>
  <c r="H16" i="4"/>
  <c r="I16" i="4"/>
  <c r="I23" i="4" s="1"/>
  <c r="J16" i="4"/>
  <c r="J23" i="4" s="1"/>
  <c r="K16" i="4"/>
  <c r="K23" i="4" s="1"/>
  <c r="L16" i="4"/>
  <c r="M16" i="4"/>
  <c r="N16" i="4"/>
  <c r="N23" i="4" s="1"/>
  <c r="O16" i="4"/>
  <c r="O23" i="4" s="1"/>
  <c r="P16" i="4"/>
  <c r="P23" i="4" s="1"/>
  <c r="Q16" i="4"/>
  <c r="Q23" i="4" s="1"/>
  <c r="R16" i="4"/>
  <c r="S16" i="4"/>
  <c r="T16" i="4"/>
  <c r="U16" i="4"/>
  <c r="U23" i="4" s="1"/>
  <c r="B16" i="4"/>
  <c r="C13" i="4"/>
  <c r="C20" i="4" s="1"/>
  <c r="D13" i="4"/>
  <c r="E13" i="4"/>
  <c r="F13" i="4"/>
  <c r="F20" i="4" s="1"/>
  <c r="G13" i="4"/>
  <c r="H13" i="4"/>
  <c r="I13" i="4"/>
  <c r="J13" i="4"/>
  <c r="K13" i="4"/>
  <c r="K20" i="4" s="1"/>
  <c r="L13" i="4"/>
  <c r="L20" i="4" s="1"/>
  <c r="M13" i="4"/>
  <c r="M20" i="4" s="1"/>
  <c r="N13" i="4"/>
  <c r="N20" i="4" s="1"/>
  <c r="O13" i="4"/>
  <c r="O20" i="4" s="1"/>
  <c r="P13" i="4"/>
  <c r="Q13" i="4"/>
  <c r="R13" i="4"/>
  <c r="R20" i="4" s="1"/>
  <c r="S13" i="4"/>
  <c r="T13" i="4"/>
  <c r="U13" i="4"/>
  <c r="B13" i="4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I17" i="3" s="1"/>
  <c r="J12" i="3"/>
  <c r="J17" i="3" s="1"/>
  <c r="K12" i="3"/>
  <c r="L12" i="3"/>
  <c r="M12" i="3"/>
  <c r="N12" i="3"/>
  <c r="O12" i="3"/>
  <c r="P12" i="3"/>
  <c r="Q12" i="3"/>
  <c r="R12" i="3"/>
  <c r="S12" i="3"/>
  <c r="T12" i="3"/>
  <c r="U12" i="3"/>
  <c r="U17" i="3" s="1"/>
  <c r="V12" i="3"/>
  <c r="V17" i="3" s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D15" i="3"/>
  <c r="E15" i="3"/>
  <c r="F15" i="3"/>
  <c r="G15" i="3"/>
  <c r="G16" i="3" s="1"/>
  <c r="H15" i="3"/>
  <c r="H16" i="3" s="1"/>
  <c r="I15" i="3"/>
  <c r="J15" i="3"/>
  <c r="K15" i="3"/>
  <c r="L15" i="3"/>
  <c r="M15" i="3"/>
  <c r="N15" i="3"/>
  <c r="O15" i="3"/>
  <c r="P15" i="3"/>
  <c r="Q15" i="3"/>
  <c r="R15" i="3"/>
  <c r="S15" i="3"/>
  <c r="S16" i="3" s="1"/>
  <c r="T15" i="3"/>
  <c r="T16" i="3" s="1"/>
  <c r="U15" i="3"/>
  <c r="V15" i="3"/>
  <c r="D10" i="3"/>
  <c r="D16" i="3" s="1"/>
  <c r="E10" i="3"/>
  <c r="E16" i="3" s="1"/>
  <c r="F10" i="3"/>
  <c r="F16" i="3" s="1"/>
  <c r="G10" i="3"/>
  <c r="H10" i="3"/>
  <c r="I10" i="3"/>
  <c r="I16" i="3" s="1"/>
  <c r="J10" i="3"/>
  <c r="J16" i="3" s="1"/>
  <c r="K10" i="3"/>
  <c r="L10" i="3"/>
  <c r="M10" i="3"/>
  <c r="N10" i="3"/>
  <c r="N16" i="3" s="1"/>
  <c r="O10" i="3"/>
  <c r="O16" i="3" s="1"/>
  <c r="P10" i="3"/>
  <c r="P16" i="3" s="1"/>
  <c r="Q10" i="3"/>
  <c r="Q16" i="3" s="1"/>
  <c r="R10" i="3"/>
  <c r="R16" i="3" s="1"/>
  <c r="S10" i="3"/>
  <c r="T10" i="3"/>
  <c r="U10" i="3"/>
  <c r="U16" i="3" s="1"/>
  <c r="V10" i="3"/>
  <c r="V16" i="3" s="1"/>
  <c r="C11" i="3"/>
  <c r="C12" i="3"/>
  <c r="C13" i="3"/>
  <c r="C14" i="3"/>
  <c r="C15" i="3"/>
  <c r="C10" i="3"/>
  <c r="C16" i="3" s="1"/>
  <c r="B11" i="3"/>
  <c r="B12" i="3"/>
  <c r="B13" i="3"/>
  <c r="B14" i="3"/>
  <c r="B15" i="3"/>
  <c r="B10" i="3"/>
  <c r="E17" i="3" l="1"/>
  <c r="D17" i="3"/>
  <c r="U26" i="4"/>
  <c r="Q17" i="3"/>
  <c r="P17" i="3"/>
  <c r="B17" i="3"/>
  <c r="T17" i="3"/>
  <c r="H17" i="3"/>
  <c r="M17" i="3"/>
  <c r="S17" i="3"/>
  <c r="G17" i="3"/>
  <c r="U29" i="4"/>
  <c r="U24" i="4"/>
  <c r="V22" i="4" s="1"/>
  <c r="L16" i="3"/>
  <c r="L17" i="3" s="1"/>
  <c r="B16" i="3"/>
  <c r="K16" i="3"/>
  <c r="K17" i="3" s="1"/>
  <c r="V21" i="4"/>
  <c r="M16" i="3"/>
  <c r="R17" i="3"/>
  <c r="F17" i="3"/>
  <c r="O17" i="3"/>
  <c r="C17" i="3"/>
  <c r="N17" i="3"/>
  <c r="N21" i="29"/>
  <c r="M24" i="29"/>
  <c r="O21" i="29" l="1"/>
  <c r="N24" i="29"/>
  <c r="V20" i="4"/>
  <c r="V23" i="4"/>
  <c r="P21" i="29" l="1"/>
  <c r="O24" i="29"/>
  <c r="Q21" i="29" l="1"/>
  <c r="P24" i="29"/>
  <c r="R21" i="29" l="1"/>
  <c r="Q24" i="29"/>
  <c r="S21" i="29" l="1"/>
  <c r="R24" i="29"/>
  <c r="T21" i="29" l="1"/>
  <c r="S24" i="29"/>
  <c r="U21" i="29" l="1"/>
  <c r="T24" i="29"/>
  <c r="V21" i="29" l="1"/>
  <c r="U24" i="29"/>
  <c r="W21" i="29" l="1"/>
  <c r="V24" i="29"/>
  <c r="X21" i="29" l="1"/>
  <c r="W24" i="29"/>
  <c r="Y21" i="29" l="1"/>
  <c r="X24" i="29"/>
  <c r="Z21" i="29" l="1"/>
  <c r="Z24" i="29" s="1"/>
  <c r="Y24" i="29"/>
</calcChain>
</file>

<file path=xl/sharedStrings.xml><?xml version="1.0" encoding="utf-8"?>
<sst xmlns="http://schemas.openxmlformats.org/spreadsheetml/2006/main" count="274" uniqueCount="100">
  <si>
    <t>Natural gas</t>
  </si>
  <si>
    <t>Electricity</t>
  </si>
  <si>
    <t>Heat</t>
  </si>
  <si>
    <t>Total</t>
  </si>
  <si>
    <t>Coal</t>
  </si>
  <si>
    <t>Oil</t>
  </si>
  <si>
    <t>Natural Gas</t>
  </si>
  <si>
    <t>Hydro</t>
  </si>
  <si>
    <t>Wind, solar, etc.</t>
  </si>
  <si>
    <t>Biofuels and waste</t>
  </si>
  <si>
    <t>Industry</t>
  </si>
  <si>
    <t>Transport</t>
  </si>
  <si>
    <t>Residential</t>
  </si>
  <si>
    <t>Commercial and public services</t>
  </si>
  <si>
    <t>Agriculture/ forestry</t>
  </si>
  <si>
    <t>Non energy use</t>
  </si>
  <si>
    <t>Fishing</t>
  </si>
  <si>
    <t>Services/other</t>
  </si>
  <si>
    <t>Bioenergy and waste</t>
  </si>
  <si>
    <t>Other renewables</t>
  </si>
  <si>
    <t>Services/others</t>
  </si>
  <si>
    <t>Teknoloji</t>
  </si>
  <si>
    <t>Ekonomik ömür (yıl)</t>
  </si>
  <si>
    <t>Yatırım maliyeti (usd/MW)</t>
  </si>
  <si>
    <t>Sabit işletme maliyeti (usd/MW)</t>
  </si>
  <si>
    <t>Değişken işletme maliyeti (usd/MW)</t>
  </si>
  <si>
    <t>doğal gaz</t>
  </si>
  <si>
    <t>kömür</t>
  </si>
  <si>
    <t>hidro</t>
  </si>
  <si>
    <t>güneş</t>
  </si>
  <si>
    <t>rüzgar</t>
  </si>
  <si>
    <t>jeotermal</t>
  </si>
  <si>
    <t>biyokütle</t>
  </si>
  <si>
    <t>nükleer</t>
  </si>
  <si>
    <t>BIO_IMP</t>
  </si>
  <si>
    <t>BIO_PP</t>
  </si>
  <si>
    <t>CO_IMP</t>
  </si>
  <si>
    <t>EL_T_D</t>
  </si>
  <si>
    <t>FC</t>
  </si>
  <si>
    <t>GEO_PP</t>
  </si>
  <si>
    <t>HYDRO_PP</t>
  </si>
  <si>
    <t>IGCC</t>
  </si>
  <si>
    <t>NG_IMP</t>
  </si>
  <si>
    <t>NG_T_D</t>
  </si>
  <si>
    <t>NGCC</t>
  </si>
  <si>
    <t>NUC_PP</t>
  </si>
  <si>
    <t>PEM</t>
  </si>
  <si>
    <t>PV_UTIL</t>
  </si>
  <si>
    <t>STO</t>
  </si>
  <si>
    <t>UR_IMP</t>
  </si>
  <si>
    <t>WIND</t>
  </si>
  <si>
    <t>biomass</t>
  </si>
  <si>
    <t>coal</t>
  </si>
  <si>
    <t>hydro</t>
  </si>
  <si>
    <t>natural gas</t>
  </si>
  <si>
    <t>PV</t>
  </si>
  <si>
    <t>geothermal</t>
  </si>
  <si>
    <t>wind</t>
  </si>
  <si>
    <t>lifetime</t>
  </si>
  <si>
    <t>2022)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</si>
  <si>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</si>
  <si>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</si>
  <si>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</si>
  <si>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</si>
  <si>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</si>
  <si>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</si>
  <si>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</si>
  <si>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</si>
  <si>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</si>
  <si>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</si>
  <si>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</si>
  <si>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</si>
  <si>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Electricity demand</t>
  </si>
  <si>
    <t>Natural gas demand</t>
  </si>
  <si>
    <t>I</t>
  </si>
  <si>
    <t>W</t>
  </si>
  <si>
    <t>S</t>
  </si>
  <si>
    <t>ID</t>
  </si>
  <si>
    <t>IN</t>
  </si>
  <si>
    <t>WD</t>
  </si>
  <si>
    <t>WN</t>
  </si>
  <si>
    <t>SD</t>
  </si>
  <si>
    <t>SN</t>
  </si>
  <si>
    <t>H2_T_D</t>
  </si>
  <si>
    <t>https://assets.publishing.service.gov.uk/government/uploads/system/uploads/attachment_data/file/1011506/Hydrogen_Production_Costs_2021.pdf</t>
  </si>
  <si>
    <t>https://www.oecd-nea.org/upload/docs/application/pdf/2020-12/egc-2020_2020-12-09_18-26-46_781.pdf</t>
  </si>
  <si>
    <t>https://heatroadmap.eu/wp-content/uploads/2020/01/HRE4_D6.1-Future-fuel-price-review.pdf</t>
  </si>
  <si>
    <t>usd/mwh</t>
  </si>
  <si>
    <t>https://iea.blob.core.windows.net/assets/e669e0b6-148c-4d5c-816b-a7661301fa96/TechnologyRoadmapHydrogenandFuelCells.pdf</t>
  </si>
  <si>
    <t>NGX</t>
  </si>
  <si>
    <t>H2X</t>
  </si>
  <si>
    <t>EX</t>
  </si>
  <si>
    <t>musd/pj</t>
  </si>
  <si>
    <t>natural gas demand</t>
  </si>
  <si>
    <t>electricity demand</t>
  </si>
  <si>
    <t>industrial</t>
  </si>
  <si>
    <t>residential</t>
  </si>
  <si>
    <t>commercial</t>
  </si>
  <si>
    <t>bin toe</t>
  </si>
  <si>
    <t>PJ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</si>
</sst>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rgb="FF000000"/>
      <name val="Verdana"/>
      <family val="2"/>
      <charset val="162"/>
    </font>
    <font>
      <u/>
      <sz val="11"/>
      <color theme="1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2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2" borderId="0" xfId="0" applyFill="1"/>
    <xf numFmtId="164" fontId="0" fillId="0" borderId="0" xfId="0" applyNumberFormat="1"/>
    <xf numFmtId="0" fontId="2" fillId="0" borderId="0" xfId="1" applyAlignment="1" applyProtection="1"/>
    <xf numFmtId="0" fontId="2" fillId="2" borderId="0" xfId="1" applyFill="1" applyAlignment="1" applyProtection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Total Primary Energy Supply of Turkey 2000-2020, PJ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'energy supply'!$A$10</c:f>
              <c:strCache>
                <c:ptCount val="1"/>
                <c:pt idx="0">
                  <c:v>Coal</c:v>
                </c:pt>
              </c:strCache>
            </c:strRef>
          </c:tx>
          <c:cat>
            <c:numRef>
              <c:f>'energy supply'!$B$9:$V$9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'energy supply'!$B$10:$V$10</c:f>
              <c:numCache>
                <c:formatCode>General</c:formatCode>
                <c:ptCount val="21"/>
                <c:pt idx="0">
                  <c:v>956.05600000000004</c:v>
                </c:pt>
                <c:pt idx="1">
                  <c:v>789.82100000000003</c:v>
                </c:pt>
                <c:pt idx="2">
                  <c:v>820.27099999999996</c:v>
                </c:pt>
                <c:pt idx="3">
                  <c:v>923.904</c:v>
                </c:pt>
                <c:pt idx="4">
                  <c:v>930.63699999999994</c:v>
                </c:pt>
                <c:pt idx="5">
                  <c:v>937.37300000000005</c:v>
                </c:pt>
                <c:pt idx="6">
                  <c:v>1107.921</c:v>
                </c:pt>
                <c:pt idx="7">
                  <c:v>1242.5530000000001</c:v>
                </c:pt>
                <c:pt idx="8">
                  <c:v>1229.268</c:v>
                </c:pt>
                <c:pt idx="9">
                  <c:v>1270.6020000000001</c:v>
                </c:pt>
                <c:pt idx="10">
                  <c:v>1306.7739999999999</c:v>
                </c:pt>
                <c:pt idx="11">
                  <c:v>1367.528</c:v>
                </c:pt>
                <c:pt idx="12">
                  <c:v>1448.8009999999999</c:v>
                </c:pt>
                <c:pt idx="13">
                  <c:v>1268.027</c:v>
                </c:pt>
                <c:pt idx="14">
                  <c:v>1400.336</c:v>
                </c:pt>
                <c:pt idx="15">
                  <c:v>1444.6479999999999</c:v>
                </c:pt>
                <c:pt idx="16">
                  <c:v>1605.4190000000001</c:v>
                </c:pt>
                <c:pt idx="17">
                  <c:v>1678.4269999999999</c:v>
                </c:pt>
                <c:pt idx="18">
                  <c:v>1709.569</c:v>
                </c:pt>
                <c:pt idx="19">
                  <c:v>1754.373</c:v>
                </c:pt>
                <c:pt idx="20">
                  <c:v>1677.723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43A5-A6E5-11566BA1BEC2}"/>
            </c:ext>
          </c:extLst>
        </c:ser>
        <c:ser>
          <c:idx val="1"/>
          <c:order val="1"/>
          <c:tx>
            <c:strRef>
              <c:f>'energy supply'!$A$11</c:f>
              <c:strCache>
                <c:ptCount val="1"/>
                <c:pt idx="0">
                  <c:v>Oil</c:v>
                </c:pt>
              </c:strCache>
            </c:strRef>
          </c:tx>
          <c:cat>
            <c:numRef>
              <c:f>'energy supply'!$B$9:$V$9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'energy supply'!$B$11:$V$11</c:f>
              <c:numCache>
                <c:formatCode>General</c:formatCode>
                <c:ptCount val="21"/>
                <c:pt idx="0">
                  <c:v>1272.932</c:v>
                </c:pt>
                <c:pt idx="1">
                  <c:v>1183.5730000000001</c:v>
                </c:pt>
                <c:pt idx="2">
                  <c:v>1238.6089999999999</c:v>
                </c:pt>
                <c:pt idx="3">
                  <c:v>1206.328</c:v>
                </c:pt>
                <c:pt idx="4">
                  <c:v>1216.04</c:v>
                </c:pt>
                <c:pt idx="5">
                  <c:v>1203.4849999999999</c:v>
                </c:pt>
                <c:pt idx="6">
                  <c:v>1271.982</c:v>
                </c:pt>
                <c:pt idx="7">
                  <c:v>1285.4690000000001</c:v>
                </c:pt>
                <c:pt idx="8">
                  <c:v>1237.3530000000001</c:v>
                </c:pt>
                <c:pt idx="9">
                  <c:v>1219.0730000000001</c:v>
                </c:pt>
                <c:pt idx="10">
                  <c:v>1319.049</c:v>
                </c:pt>
                <c:pt idx="11">
                  <c:v>1327.769</c:v>
                </c:pt>
                <c:pt idx="12">
                  <c:v>1402.8330000000001</c:v>
                </c:pt>
                <c:pt idx="13">
                  <c:v>1401.06</c:v>
                </c:pt>
                <c:pt idx="14">
                  <c:v>1373.251</c:v>
                </c:pt>
                <c:pt idx="15">
                  <c:v>1620.1289999999999</c:v>
                </c:pt>
                <c:pt idx="16">
                  <c:v>1763.0709999999999</c:v>
                </c:pt>
                <c:pt idx="17">
                  <c:v>1856.1980000000001</c:v>
                </c:pt>
                <c:pt idx="18">
                  <c:v>1756.1410000000001</c:v>
                </c:pt>
                <c:pt idx="19">
                  <c:v>1794.8920000000001</c:v>
                </c:pt>
                <c:pt idx="20">
                  <c:v>1774.2470000000001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3-43A5-A6E5-11566BA1BEC2}"/>
            </c:ext>
          </c:extLst>
        </c:ser>
        <c:ser>
          <c:idx val="2"/>
          <c:order val="2"/>
          <c:tx>
            <c:strRef>
              <c:f>'energy supply'!$A$12</c:f>
              <c:strCache>
                <c:ptCount val="1"/>
                <c:pt idx="0">
                  <c:v>Natural Gas</c:v>
                </c:pt>
              </c:strCache>
            </c:strRef>
          </c:tx>
          <c:cat>
            <c:numRef>
              <c:f>'energy supply'!$B$9:$V$9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'energy supply'!$B$12:$V$12</c:f>
              <c:numCache>
                <c:formatCode>General</c:formatCode>
                <c:ptCount val="21"/>
                <c:pt idx="0">
                  <c:v>529.11599999999999</c:v>
                </c:pt>
                <c:pt idx="1">
                  <c:v>559.851</c:v>
                </c:pt>
                <c:pt idx="2">
                  <c:v>616.94299999999998</c:v>
                </c:pt>
                <c:pt idx="3">
                  <c:v>741.93100000000004</c:v>
                </c:pt>
                <c:pt idx="4">
                  <c:v>783.32600000000002</c:v>
                </c:pt>
                <c:pt idx="5">
                  <c:v>954.24699999999996</c:v>
                </c:pt>
                <c:pt idx="6">
                  <c:v>1087.4269999999999</c:v>
                </c:pt>
                <c:pt idx="7">
                  <c:v>1273.7809999999999</c:v>
                </c:pt>
                <c:pt idx="8">
                  <c:v>1264.097</c:v>
                </c:pt>
                <c:pt idx="9">
                  <c:v>1210.673</c:v>
                </c:pt>
                <c:pt idx="10">
                  <c:v>1314.4449999999999</c:v>
                </c:pt>
                <c:pt idx="11">
                  <c:v>1540.2629999999999</c:v>
                </c:pt>
                <c:pt idx="12">
                  <c:v>1560.0809999999999</c:v>
                </c:pt>
                <c:pt idx="13">
                  <c:v>1572.386</c:v>
                </c:pt>
                <c:pt idx="14">
                  <c:v>1683.2840000000001</c:v>
                </c:pt>
                <c:pt idx="15">
                  <c:v>1648.8969999999999</c:v>
                </c:pt>
                <c:pt idx="16">
                  <c:v>1601.9449999999999</c:v>
                </c:pt>
                <c:pt idx="17">
                  <c:v>1851.925</c:v>
                </c:pt>
                <c:pt idx="18">
                  <c:v>1717.3230000000001</c:v>
                </c:pt>
                <c:pt idx="19">
                  <c:v>1550.9870000000001</c:v>
                </c:pt>
                <c:pt idx="20">
                  <c:v>1654.441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3-43A5-A6E5-11566BA1BEC2}"/>
            </c:ext>
          </c:extLst>
        </c:ser>
        <c:ser>
          <c:idx val="3"/>
          <c:order val="3"/>
          <c:tx>
            <c:strRef>
              <c:f>'energy supply'!$A$13</c:f>
              <c:strCache>
                <c:ptCount val="1"/>
                <c:pt idx="0">
                  <c:v>Hydro</c:v>
                </c:pt>
              </c:strCache>
            </c:strRef>
          </c:tx>
          <c:cat>
            <c:numRef>
              <c:f>'energy supply'!$B$9:$V$9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'energy supply'!$B$13:$V$13</c:f>
              <c:numCache>
                <c:formatCode>General</c:formatCode>
                <c:ptCount val="21"/>
                <c:pt idx="0">
                  <c:v>111.164</c:v>
                </c:pt>
                <c:pt idx="1">
                  <c:v>86.436000000000007</c:v>
                </c:pt>
                <c:pt idx="2">
                  <c:v>121.259</c:v>
                </c:pt>
                <c:pt idx="3">
                  <c:v>127.188</c:v>
                </c:pt>
                <c:pt idx="4">
                  <c:v>165.90199999999999</c:v>
                </c:pt>
                <c:pt idx="5">
                  <c:v>142.41999999999999</c:v>
                </c:pt>
                <c:pt idx="6">
                  <c:v>159.27799999999999</c:v>
                </c:pt>
                <c:pt idx="7">
                  <c:v>129.06399999999999</c:v>
                </c:pt>
                <c:pt idx="8">
                  <c:v>119.77200000000001</c:v>
                </c:pt>
                <c:pt idx="9">
                  <c:v>129.44900000000001</c:v>
                </c:pt>
                <c:pt idx="10">
                  <c:v>186.46600000000001</c:v>
                </c:pt>
                <c:pt idx="11">
                  <c:v>188.417</c:v>
                </c:pt>
                <c:pt idx="12">
                  <c:v>208.31399999999999</c:v>
                </c:pt>
                <c:pt idx="13">
                  <c:v>213.91200000000001</c:v>
                </c:pt>
                <c:pt idx="14">
                  <c:v>146.322</c:v>
                </c:pt>
                <c:pt idx="15">
                  <c:v>241.726</c:v>
                </c:pt>
                <c:pt idx="16">
                  <c:v>242.03200000000001</c:v>
                </c:pt>
                <c:pt idx="17">
                  <c:v>209.58600000000001</c:v>
                </c:pt>
                <c:pt idx="18">
                  <c:v>215.77799999999999</c:v>
                </c:pt>
                <c:pt idx="19">
                  <c:v>319.762</c:v>
                </c:pt>
                <c:pt idx="20">
                  <c:v>281.22899999999998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3-43A5-A6E5-11566BA1BEC2}"/>
            </c:ext>
          </c:extLst>
        </c:ser>
        <c:ser>
          <c:idx val="4"/>
          <c:order val="4"/>
          <c:tx>
            <c:strRef>
              <c:f>'energy supply'!$A$14</c:f>
              <c:strCache>
                <c:ptCount val="1"/>
                <c:pt idx="0">
                  <c:v>Wind, solar, etc.</c:v>
                </c:pt>
              </c:strCache>
            </c:strRef>
          </c:tx>
          <c:cat>
            <c:numRef>
              <c:f>'energy supply'!$B$9:$V$9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'energy supply'!$B$14:$V$14</c:f>
              <c:numCache>
                <c:formatCode>General</c:formatCode>
                <c:ptCount val="21"/>
                <c:pt idx="0">
                  <c:v>40.487000000000002</c:v>
                </c:pt>
                <c:pt idx="1">
                  <c:v>44.954999999999998</c:v>
                </c:pt>
                <c:pt idx="2">
                  <c:v>48.481000000000002</c:v>
                </c:pt>
                <c:pt idx="3">
                  <c:v>51.405000000000001</c:v>
                </c:pt>
                <c:pt idx="4">
                  <c:v>53.558999999999997</c:v>
                </c:pt>
                <c:pt idx="5">
                  <c:v>59.805</c:v>
                </c:pt>
                <c:pt idx="6">
                  <c:v>59.652000000000001</c:v>
                </c:pt>
                <c:pt idx="7">
                  <c:v>64.506</c:v>
                </c:pt>
                <c:pt idx="8">
                  <c:v>69.894999999999996</c:v>
                </c:pt>
                <c:pt idx="9">
                  <c:v>92.638000000000005</c:v>
                </c:pt>
                <c:pt idx="10">
                  <c:v>112.78100000000001</c:v>
                </c:pt>
                <c:pt idx="11">
                  <c:v>131.41499999999999</c:v>
                </c:pt>
                <c:pt idx="12">
                  <c:v>148.78299999999999</c:v>
                </c:pt>
                <c:pt idx="13">
                  <c:v>175.559</c:v>
                </c:pt>
                <c:pt idx="14">
                  <c:v>217.41499999999999</c:v>
                </c:pt>
                <c:pt idx="15">
                  <c:v>288.59100000000001</c:v>
                </c:pt>
                <c:pt idx="16">
                  <c:v>363.45699999999999</c:v>
                </c:pt>
                <c:pt idx="17">
                  <c:v>425.79599999999999</c:v>
                </c:pt>
                <c:pt idx="18">
                  <c:v>505.24</c:v>
                </c:pt>
                <c:pt idx="19">
                  <c:v>571.77</c:v>
                </c:pt>
                <c:pt idx="20">
                  <c:v>624.18200000000002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93-43A5-A6E5-11566BA1BEC2}"/>
            </c:ext>
          </c:extLst>
        </c:ser>
        <c:ser>
          <c:idx val="5"/>
          <c:order val="5"/>
          <c:tx>
            <c:strRef>
              <c:f>'energy supply'!$A$15</c:f>
              <c:strCache>
                <c:ptCount val="1"/>
                <c:pt idx="0">
                  <c:v>Biofuels and waste</c:v>
                </c:pt>
              </c:strCache>
            </c:strRef>
          </c:tx>
          <c:cat>
            <c:numRef>
              <c:f>'energy supply'!$B$9:$V$9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'energy supply'!$B$15:$V$15</c:f>
              <c:numCache>
                <c:formatCode>General</c:formatCode>
                <c:ptCount val="21"/>
                <c:pt idx="0">
                  <c:v>272.178</c:v>
                </c:pt>
                <c:pt idx="1">
                  <c:v>261.98500000000001</c:v>
                </c:pt>
                <c:pt idx="2">
                  <c:v>251.44200000000001</c:v>
                </c:pt>
                <c:pt idx="3">
                  <c:v>241.55799999999999</c:v>
                </c:pt>
                <c:pt idx="4">
                  <c:v>232.43299999999999</c:v>
                </c:pt>
                <c:pt idx="5">
                  <c:v>223.363</c:v>
                </c:pt>
                <c:pt idx="6">
                  <c:v>216.32900000000001</c:v>
                </c:pt>
                <c:pt idx="7">
                  <c:v>210.464</c:v>
                </c:pt>
                <c:pt idx="8">
                  <c:v>201.43100000000001</c:v>
                </c:pt>
                <c:pt idx="9">
                  <c:v>194.51300000000001</c:v>
                </c:pt>
                <c:pt idx="10">
                  <c:v>189.57400000000001</c:v>
                </c:pt>
                <c:pt idx="11">
                  <c:v>152.072</c:v>
                </c:pt>
                <c:pt idx="12">
                  <c:v>153.91300000000001</c:v>
                </c:pt>
                <c:pt idx="13">
                  <c:v>163.357</c:v>
                </c:pt>
                <c:pt idx="14">
                  <c:v>146.88999999999999</c:v>
                </c:pt>
                <c:pt idx="15">
                  <c:v>134.96700000000001</c:v>
                </c:pt>
                <c:pt idx="16">
                  <c:v>130.63800000000001</c:v>
                </c:pt>
                <c:pt idx="17">
                  <c:v>126.949</c:v>
                </c:pt>
                <c:pt idx="18">
                  <c:v>135.55799999999999</c:v>
                </c:pt>
                <c:pt idx="19">
                  <c:v>143.80000000000001</c:v>
                </c:pt>
                <c:pt idx="20">
                  <c:v>149.55699999999999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93-43A5-A6E5-11566BA1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2288"/>
        <c:axId val="133558656"/>
      </c:areaChart>
      <c:catAx>
        <c:axId val="1335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58656"/>
        <c:crosses val="autoZero"/>
        <c:auto val="1"/>
        <c:lblAlgn val="ctr"/>
        <c:lblOffset val="100"/>
        <c:noMultiLvlLbl val="0"/>
      </c:catAx>
      <c:valAx>
        <c:axId val="1335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322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tr-TR" sz="1200"/>
              <a:t>TFEC of Turkey</a:t>
            </a:r>
            <a:r>
              <a:rPr lang="tr-TR" sz="1200" baseline="0"/>
              <a:t> by sector, 2000-2019, PJ</a:t>
            </a:r>
            <a:endParaRPr lang="tr-TR" sz="1200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tfec!$A$20</c:f>
              <c:strCache>
                <c:ptCount val="1"/>
                <c:pt idx="0">
                  <c:v>Industry</c:v>
                </c:pt>
              </c:strCache>
            </c:strRef>
          </c:tx>
          <c:cat>
            <c:numRef>
              <c:f>tfec!$B$19:$U$19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tfec!$B$20:$U$20</c:f>
              <c:numCache>
                <c:formatCode>General</c:formatCode>
                <c:ptCount val="20"/>
                <c:pt idx="0">
                  <c:v>976.78300000000002</c:v>
                </c:pt>
                <c:pt idx="1">
                  <c:v>794.04700000000003</c:v>
                </c:pt>
                <c:pt idx="2">
                  <c:v>953.15300000000002</c:v>
                </c:pt>
                <c:pt idx="3">
                  <c:v>1045.5429999999999</c:v>
                </c:pt>
                <c:pt idx="4">
                  <c:v>1082.4079999999999</c:v>
                </c:pt>
                <c:pt idx="5">
                  <c:v>1073.825</c:v>
                </c:pt>
                <c:pt idx="6">
                  <c:v>1243.386</c:v>
                </c:pt>
                <c:pt idx="7">
                  <c:v>1253.8040000000001</c:v>
                </c:pt>
                <c:pt idx="8">
                  <c:v>980.73099999999999</c:v>
                </c:pt>
                <c:pt idx="9">
                  <c:v>1096.307</c:v>
                </c:pt>
                <c:pt idx="10">
                  <c:v>1256.154</c:v>
                </c:pt>
                <c:pt idx="11">
                  <c:v>1315.91</c:v>
                </c:pt>
                <c:pt idx="12">
                  <c:v>1390.2270000000001</c:v>
                </c:pt>
                <c:pt idx="13">
                  <c:v>1311.8530000000001</c:v>
                </c:pt>
                <c:pt idx="14">
                  <c:v>1287.761</c:v>
                </c:pt>
                <c:pt idx="15">
                  <c:v>1383.8889999999999</c:v>
                </c:pt>
                <c:pt idx="16">
                  <c:v>1441.5820000000001</c:v>
                </c:pt>
                <c:pt idx="17">
                  <c:v>1563.7190000000001</c:v>
                </c:pt>
                <c:pt idx="18">
                  <c:v>1568.2439999999999</c:v>
                </c:pt>
                <c:pt idx="19">
                  <c:v>1514.9760000000001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5-4202-99D0-E9AA9B887B59}"/>
            </c:ext>
          </c:extLst>
        </c:ser>
        <c:ser>
          <c:idx val="1"/>
          <c:order val="1"/>
          <c:tx>
            <c:strRef>
              <c:f>tfec!$A$21</c:f>
              <c:strCache>
                <c:ptCount val="1"/>
                <c:pt idx="0">
                  <c:v>Transport</c:v>
                </c:pt>
              </c:strCache>
            </c:strRef>
          </c:tx>
          <c:cat>
            <c:numRef>
              <c:f>tfec!$B$19:$U$19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tfec!$B$21:$U$21</c:f>
              <c:numCache>
                <c:formatCode>General</c:formatCode>
                <c:ptCount val="20"/>
                <c:pt idx="0">
                  <c:v>492.30399999999997</c:v>
                </c:pt>
                <c:pt idx="1">
                  <c:v>470.755</c:v>
                </c:pt>
                <c:pt idx="2">
                  <c:v>493.99799999999999</c:v>
                </c:pt>
                <c:pt idx="3">
                  <c:v>493.47199999999998</c:v>
                </c:pt>
                <c:pt idx="4">
                  <c:v>502.54599999999999</c:v>
                </c:pt>
                <c:pt idx="5">
                  <c:v>520.29700000000003</c:v>
                </c:pt>
                <c:pt idx="6">
                  <c:v>586.40300000000002</c:v>
                </c:pt>
                <c:pt idx="7">
                  <c:v>667.93700000000001</c:v>
                </c:pt>
                <c:pt idx="8">
                  <c:v>630.88400000000001</c:v>
                </c:pt>
                <c:pt idx="9">
                  <c:v>625.04600000000005</c:v>
                </c:pt>
                <c:pt idx="10">
                  <c:v>612.50800000000004</c:v>
                </c:pt>
                <c:pt idx="11">
                  <c:v>721.16399999999999</c:v>
                </c:pt>
                <c:pt idx="12">
                  <c:v>819.01900000000001</c:v>
                </c:pt>
                <c:pt idx="13">
                  <c:v>861.17600000000004</c:v>
                </c:pt>
                <c:pt idx="14">
                  <c:v>1018.6079999999999</c:v>
                </c:pt>
                <c:pt idx="15">
                  <c:v>1018.6079999999999</c:v>
                </c:pt>
                <c:pt idx="16">
                  <c:v>1110.7660000000001</c:v>
                </c:pt>
                <c:pt idx="17">
                  <c:v>1161.0139999999999</c:v>
                </c:pt>
                <c:pt idx="18">
                  <c:v>1171.4649999999999</c:v>
                </c:pt>
                <c:pt idx="19">
                  <c:v>1174.3019999999999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5-4202-99D0-E9AA9B887B59}"/>
            </c:ext>
          </c:extLst>
        </c:ser>
        <c:ser>
          <c:idx val="2"/>
          <c:order val="2"/>
          <c:tx>
            <c:strRef>
              <c:f>tfec!$A$22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tfec!$B$19:$U$19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tfec!$B$22:$U$22</c:f>
              <c:numCache>
                <c:formatCode>General</c:formatCode>
                <c:ptCount val="20"/>
                <c:pt idx="0">
                  <c:v>726.10299999999995</c:v>
                </c:pt>
                <c:pt idx="1">
                  <c:v>679.35699999999997</c:v>
                </c:pt>
                <c:pt idx="2">
                  <c:v>688.55399999999997</c:v>
                </c:pt>
                <c:pt idx="3">
                  <c:v>721.58799999999997</c:v>
                </c:pt>
                <c:pt idx="4">
                  <c:v>743.76700000000005</c:v>
                </c:pt>
                <c:pt idx="5">
                  <c:v>797.69799999999998</c:v>
                </c:pt>
                <c:pt idx="6">
                  <c:v>812.52800000000002</c:v>
                </c:pt>
                <c:pt idx="7">
                  <c:v>844.90099999999995</c:v>
                </c:pt>
                <c:pt idx="8">
                  <c:v>844.76499999999999</c:v>
                </c:pt>
                <c:pt idx="9">
                  <c:v>788.18299999999999</c:v>
                </c:pt>
                <c:pt idx="10">
                  <c:v>811.24599999999998</c:v>
                </c:pt>
                <c:pt idx="11">
                  <c:v>869.90700000000004</c:v>
                </c:pt>
                <c:pt idx="12">
                  <c:v>844.39400000000001</c:v>
                </c:pt>
                <c:pt idx="13">
                  <c:v>828.49599999999998</c:v>
                </c:pt>
                <c:pt idx="14">
                  <c:v>801.33</c:v>
                </c:pt>
                <c:pt idx="15">
                  <c:v>843.62199999999996</c:v>
                </c:pt>
                <c:pt idx="16">
                  <c:v>866.99</c:v>
                </c:pt>
                <c:pt idx="17">
                  <c:v>927.47699999999998</c:v>
                </c:pt>
                <c:pt idx="18">
                  <c:v>860.45500000000004</c:v>
                </c:pt>
                <c:pt idx="19">
                  <c:v>902.59500000000003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5-4202-99D0-E9AA9B887B59}"/>
            </c:ext>
          </c:extLst>
        </c:ser>
        <c:ser>
          <c:idx val="3"/>
          <c:order val="3"/>
          <c:tx>
            <c:strRef>
              <c:f>tfec!$A$23</c:f>
              <c:strCache>
                <c:ptCount val="1"/>
                <c:pt idx="0">
                  <c:v>Services/others</c:v>
                </c:pt>
              </c:strCache>
            </c:strRef>
          </c:tx>
          <c:cat>
            <c:numRef>
              <c:f>tfec!$B$19:$U$19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tfec!$B$23:$U$23</c:f>
              <c:numCache>
                <c:formatCode>General</c:formatCode>
                <c:ptCount val="20"/>
                <c:pt idx="0">
                  <c:v>226.471</c:v>
                </c:pt>
                <c:pt idx="1">
                  <c:v>237.56700000000001</c:v>
                </c:pt>
                <c:pt idx="2">
                  <c:v>260.02300000000002</c:v>
                </c:pt>
                <c:pt idx="3">
                  <c:v>280.41000000000003</c:v>
                </c:pt>
                <c:pt idx="4">
                  <c:v>318.34199999999998</c:v>
                </c:pt>
                <c:pt idx="5">
                  <c:v>345.05599999999998</c:v>
                </c:pt>
                <c:pt idx="6">
                  <c:v>400.06099999999998</c:v>
                </c:pt>
                <c:pt idx="7">
                  <c:v>441.649</c:v>
                </c:pt>
                <c:pt idx="8">
                  <c:v>636.72500000000002</c:v>
                </c:pt>
                <c:pt idx="9">
                  <c:v>607.76300000000003</c:v>
                </c:pt>
                <c:pt idx="10">
                  <c:v>604.34299999999996</c:v>
                </c:pt>
                <c:pt idx="11">
                  <c:v>638.30999999999995</c:v>
                </c:pt>
                <c:pt idx="12">
                  <c:v>649.30499999999995</c:v>
                </c:pt>
                <c:pt idx="13">
                  <c:v>621.69799999999998</c:v>
                </c:pt>
                <c:pt idx="14">
                  <c:v>645.96400000000006</c:v>
                </c:pt>
                <c:pt idx="15">
                  <c:v>667.05600000000004</c:v>
                </c:pt>
                <c:pt idx="16">
                  <c:v>672.00900000000001</c:v>
                </c:pt>
                <c:pt idx="17">
                  <c:v>739.64099999999996</c:v>
                </c:pt>
                <c:pt idx="18">
                  <c:v>707.89700000000005</c:v>
                </c:pt>
                <c:pt idx="19">
                  <c:v>773.09500000000003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5-4202-99D0-E9AA9B88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3504"/>
        <c:axId val="85389312"/>
      </c:areaChart>
      <c:catAx>
        <c:axId val="1334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9312"/>
        <c:crosses val="autoZero"/>
        <c:auto val="1"/>
        <c:lblAlgn val="ctr"/>
        <c:lblOffset val="100"/>
        <c:noMultiLvlLbl val="0"/>
      </c:catAx>
      <c:valAx>
        <c:axId val="8538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935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tr-TR" sz="1100" b="1" i="0" u="none" strike="noStrike" baseline="0"/>
              <a:t>Total final consumption by source and sector in Turkey, 2018</a:t>
            </a:r>
            <a:endParaRPr lang="tr-TR" sz="11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Sayfa2!$B$1</c:f>
              <c:strCache>
                <c:ptCount val="1"/>
                <c:pt idx="0">
                  <c:v>Oil</c:v>
                </c:pt>
              </c:strCache>
            </c:strRef>
          </c:tx>
          <c:invertIfNegative val="0"/>
          <c:cat>
            <c:strRef>
              <c:f>Sayfa2!$A$2:$A$6</c:f>
              <c:strCache>
                <c:ptCount val="5"/>
                <c:pt idx="0">
                  <c:v>Industry</c:v>
                </c:pt>
                <c:pt idx="1">
                  <c:v>Transport</c:v>
                </c:pt>
                <c:pt idx="2">
                  <c:v>Residential</c:v>
                </c:pt>
                <c:pt idx="3">
                  <c:v>Services/other</c:v>
                </c:pt>
                <c:pt idx="4">
                  <c:v>Total</c:v>
                </c:pt>
              </c:strCache>
            </c:strRef>
          </c:cat>
          <c:val>
            <c:numRef>
              <c:f>Sayfa2!$B$2:$B$6</c:f>
              <c:numCache>
                <c:formatCode>0%</c:formatCode>
                <c:ptCount val="5"/>
                <c:pt idx="0">
                  <c:v>0.21</c:v>
                </c:pt>
                <c:pt idx="1">
                  <c:v>0.96</c:v>
                </c:pt>
                <c:pt idx="2">
                  <c:v>0.01</c:v>
                </c:pt>
                <c:pt idx="3">
                  <c:v>0.22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5-4488-B3E9-97EF86B9603F}"/>
            </c:ext>
          </c:extLst>
        </c:ser>
        <c:ser>
          <c:idx val="1"/>
          <c:order val="1"/>
          <c:tx>
            <c:strRef>
              <c:f>Sayfa2!$C$1</c:f>
              <c:strCache>
                <c:ptCount val="1"/>
                <c:pt idx="0">
                  <c:v>Natural gas</c:v>
                </c:pt>
              </c:strCache>
            </c:strRef>
          </c:tx>
          <c:invertIfNegative val="0"/>
          <c:cat>
            <c:strRef>
              <c:f>Sayfa2!$A$2:$A$6</c:f>
              <c:strCache>
                <c:ptCount val="5"/>
                <c:pt idx="0">
                  <c:v>Industry</c:v>
                </c:pt>
                <c:pt idx="1">
                  <c:v>Transport</c:v>
                </c:pt>
                <c:pt idx="2">
                  <c:v>Residential</c:v>
                </c:pt>
                <c:pt idx="3">
                  <c:v>Services/other</c:v>
                </c:pt>
                <c:pt idx="4">
                  <c:v>Total</c:v>
                </c:pt>
              </c:strCache>
            </c:strRef>
          </c:cat>
          <c:val>
            <c:numRef>
              <c:f>Sayfa2!$C$2:$C$6</c:f>
              <c:numCache>
                <c:formatCode>0%</c:formatCode>
                <c:ptCount val="5"/>
                <c:pt idx="0">
                  <c:v>0.28999999999999998</c:v>
                </c:pt>
                <c:pt idx="1">
                  <c:v>0.02</c:v>
                </c:pt>
                <c:pt idx="2">
                  <c:v>0.51</c:v>
                </c:pt>
                <c:pt idx="3">
                  <c:v>0.2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5-4488-B3E9-97EF86B9603F}"/>
            </c:ext>
          </c:extLst>
        </c:ser>
        <c:ser>
          <c:idx val="2"/>
          <c:order val="2"/>
          <c:tx>
            <c:strRef>
              <c:f>Sayfa2!$D$1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Sayfa2!$A$2:$A$6</c:f>
              <c:strCache>
                <c:ptCount val="5"/>
                <c:pt idx="0">
                  <c:v>Industry</c:v>
                </c:pt>
                <c:pt idx="1">
                  <c:v>Transport</c:v>
                </c:pt>
                <c:pt idx="2">
                  <c:v>Residential</c:v>
                </c:pt>
                <c:pt idx="3">
                  <c:v>Services/other</c:v>
                </c:pt>
                <c:pt idx="4">
                  <c:v>Total</c:v>
                </c:pt>
              </c:strCache>
            </c:strRef>
          </c:cat>
          <c:val>
            <c:numRef>
              <c:f>Sayfa2!$D$2:$D$6</c:f>
              <c:numCache>
                <c:formatCode>0%</c:formatCode>
                <c:ptCount val="5"/>
                <c:pt idx="0">
                  <c:v>0.18</c:v>
                </c:pt>
                <c:pt idx="1">
                  <c:v>0</c:v>
                </c:pt>
                <c:pt idx="2">
                  <c:v>0.08</c:v>
                </c:pt>
                <c:pt idx="3">
                  <c:v>0.12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5-4488-B3E9-97EF86B9603F}"/>
            </c:ext>
          </c:extLst>
        </c:ser>
        <c:ser>
          <c:idx val="3"/>
          <c:order val="3"/>
          <c:tx>
            <c:strRef>
              <c:f>Sayfa2!$E$1</c:f>
              <c:strCache>
                <c:ptCount val="1"/>
                <c:pt idx="0">
                  <c:v>Bioenergy and waste</c:v>
                </c:pt>
              </c:strCache>
            </c:strRef>
          </c:tx>
          <c:invertIfNegative val="0"/>
          <c:cat>
            <c:strRef>
              <c:f>Sayfa2!$A$2:$A$6</c:f>
              <c:strCache>
                <c:ptCount val="5"/>
                <c:pt idx="0">
                  <c:v>Industry</c:v>
                </c:pt>
                <c:pt idx="1">
                  <c:v>Transport</c:v>
                </c:pt>
                <c:pt idx="2">
                  <c:v>Residential</c:v>
                </c:pt>
                <c:pt idx="3">
                  <c:v>Services/other</c:v>
                </c:pt>
                <c:pt idx="4">
                  <c:v>Total</c:v>
                </c:pt>
              </c:strCache>
            </c:strRef>
          </c:cat>
          <c:val>
            <c:numRef>
              <c:f>Sayfa2!$E$2:$E$6</c:f>
              <c:numCache>
                <c:formatCode>0%</c:formatCode>
                <c:ptCount val="5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5-4488-B3E9-97EF86B9603F}"/>
            </c:ext>
          </c:extLst>
        </c:ser>
        <c:ser>
          <c:idx val="4"/>
          <c:order val="4"/>
          <c:tx>
            <c:strRef>
              <c:f>Sayfa2!$F$1</c:f>
              <c:strCache>
                <c:ptCount val="1"/>
                <c:pt idx="0">
                  <c:v>Other renewables</c:v>
                </c:pt>
              </c:strCache>
            </c:strRef>
          </c:tx>
          <c:invertIfNegative val="0"/>
          <c:cat>
            <c:strRef>
              <c:f>Sayfa2!$A$2:$A$6</c:f>
              <c:strCache>
                <c:ptCount val="5"/>
                <c:pt idx="0">
                  <c:v>Industry</c:v>
                </c:pt>
                <c:pt idx="1">
                  <c:v>Transport</c:v>
                </c:pt>
                <c:pt idx="2">
                  <c:v>Residential</c:v>
                </c:pt>
                <c:pt idx="3">
                  <c:v>Services/other</c:v>
                </c:pt>
                <c:pt idx="4">
                  <c:v>Total</c:v>
                </c:pt>
              </c:strCache>
            </c:strRef>
          </c:cat>
          <c:val>
            <c:numRef>
              <c:f>Sayfa2!$F$2:$F$6</c:f>
              <c:numCache>
                <c:formatCode>0%</c:formatCode>
                <c:ptCount val="5"/>
                <c:pt idx="0">
                  <c:v>0.01</c:v>
                </c:pt>
                <c:pt idx="1">
                  <c:v>0</c:v>
                </c:pt>
                <c:pt idx="2">
                  <c:v>0.09</c:v>
                </c:pt>
                <c:pt idx="3">
                  <c:v>0.04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5-4488-B3E9-97EF86B9603F}"/>
            </c:ext>
          </c:extLst>
        </c:ser>
        <c:ser>
          <c:idx val="5"/>
          <c:order val="5"/>
          <c:tx>
            <c:strRef>
              <c:f>Sayfa2!$G$1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Sayfa2!$A$2:$A$6</c:f>
              <c:strCache>
                <c:ptCount val="5"/>
                <c:pt idx="0">
                  <c:v>Industry</c:v>
                </c:pt>
                <c:pt idx="1">
                  <c:v>Transport</c:v>
                </c:pt>
                <c:pt idx="2">
                  <c:v>Residential</c:v>
                </c:pt>
                <c:pt idx="3">
                  <c:v>Services/other</c:v>
                </c:pt>
                <c:pt idx="4">
                  <c:v>Total</c:v>
                </c:pt>
              </c:strCache>
            </c:strRef>
          </c:cat>
          <c:val>
            <c:numRef>
              <c:f>Sayfa2!$G$2:$G$6</c:f>
              <c:numCache>
                <c:formatCode>0%</c:formatCode>
                <c:ptCount val="5"/>
                <c:pt idx="0">
                  <c:v>0.26</c:v>
                </c:pt>
                <c:pt idx="1">
                  <c:v>0.01</c:v>
                </c:pt>
                <c:pt idx="2">
                  <c:v>0.23</c:v>
                </c:pt>
                <c:pt idx="3">
                  <c:v>0.42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15-4488-B3E9-97EF86B9603F}"/>
            </c:ext>
          </c:extLst>
        </c:ser>
        <c:ser>
          <c:idx val="6"/>
          <c:order val="6"/>
          <c:tx>
            <c:strRef>
              <c:f>Sayfa2!$H$1</c:f>
              <c:strCache>
                <c:ptCount val="1"/>
                <c:pt idx="0">
                  <c:v>Heat</c:v>
                </c:pt>
              </c:strCache>
            </c:strRef>
          </c:tx>
          <c:invertIfNegative val="0"/>
          <c:cat>
            <c:strRef>
              <c:f>Sayfa2!$A$2:$A$6</c:f>
              <c:strCache>
                <c:ptCount val="5"/>
                <c:pt idx="0">
                  <c:v>Industry</c:v>
                </c:pt>
                <c:pt idx="1">
                  <c:v>Transport</c:v>
                </c:pt>
                <c:pt idx="2">
                  <c:v>Residential</c:v>
                </c:pt>
                <c:pt idx="3">
                  <c:v>Services/other</c:v>
                </c:pt>
                <c:pt idx="4">
                  <c:v>Total</c:v>
                </c:pt>
              </c:strCache>
            </c:strRef>
          </c:cat>
          <c:val>
            <c:numRef>
              <c:f>Sayfa2!$H$2:$H$6</c:f>
              <c:numCache>
                <c:formatCode>0%</c:formatCode>
                <c:ptCount val="5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15-4488-B3E9-97EF86B9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575424"/>
        <c:axId val="133576960"/>
      </c:barChart>
      <c:catAx>
        <c:axId val="13357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76960"/>
        <c:crosses val="autoZero"/>
        <c:auto val="1"/>
        <c:lblAlgn val="ctr"/>
        <c:lblOffset val="100"/>
        <c:noMultiLvlLbl val="0"/>
      </c:catAx>
      <c:valAx>
        <c:axId val="1335769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57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Seasonality of demands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'specified demand profile'!$A$2</c:f>
              <c:strCache>
                <c:ptCount val="1"/>
                <c:pt idx="0">
                  <c:v>Electricity demand</c:v>
                </c:pt>
              </c:strCache>
            </c:strRef>
          </c:tx>
          <c:cat>
            <c:strRef>
              <c:f>'specified demand profile'!$B$1:$M$1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'specified demand profile'!$B$2:$M$2</c:f>
              <c:numCache>
                <c:formatCode>0.0</c:formatCode>
                <c:ptCount val="12"/>
                <c:pt idx="0">
                  <c:v>1.1000000000000001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C-4A87-957A-02ACAC303AE5}"/>
            </c:ext>
          </c:extLst>
        </c:ser>
        <c:ser>
          <c:idx val="1"/>
          <c:order val="1"/>
          <c:tx>
            <c:strRef>
              <c:f>'specified demand profile'!$A$3</c:f>
              <c:strCache>
                <c:ptCount val="1"/>
                <c:pt idx="0">
                  <c:v>Natural gas demand</c:v>
                </c:pt>
              </c:strCache>
            </c:strRef>
          </c:tx>
          <c:cat>
            <c:strRef>
              <c:f>'specified demand profile'!$B$1:$M$1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'specified demand profile'!$B$3:$M$3</c:f>
              <c:numCache>
                <c:formatCode>0.0</c:formatCode>
                <c:ptCount val="12"/>
                <c:pt idx="0">
                  <c:v>1.7</c:v>
                </c:pt>
                <c:pt idx="1">
                  <c:v>1.4</c:v>
                </c:pt>
                <c:pt idx="2">
                  <c:v>1.2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0.8</c:v>
                </c:pt>
                <c:pt idx="10">
                  <c:v>1.2</c:v>
                </c:pt>
                <c:pt idx="1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C-4A87-957A-02ACAC30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2592"/>
        <c:axId val="133744128"/>
      </c:lineChart>
      <c:catAx>
        <c:axId val="133742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3744128"/>
        <c:crosses val="autoZero"/>
        <c:auto val="1"/>
        <c:lblAlgn val="ctr"/>
        <c:lblOffset val="100"/>
        <c:noMultiLvlLbl val="0"/>
      </c:catAx>
      <c:valAx>
        <c:axId val="133744128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crossAx val="133742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BAU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demand!$A$10</c:f>
              <c:strCache>
                <c:ptCount val="1"/>
                <c:pt idx="0">
                  <c:v>natural gas demand</c:v>
                </c:pt>
              </c:strCache>
            </c:strRef>
          </c:tx>
          <c:marker>
            <c:symbol val="none"/>
          </c:marker>
          <c:cat>
            <c:numRef>
              <c:f>demand!$B$9:$V$9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demand!$B$10:$V$10</c:f>
              <c:numCache>
                <c:formatCode>General</c:formatCode>
                <c:ptCount val="21"/>
                <c:pt idx="0">
                  <c:v>1066.2104880000002</c:v>
                </c:pt>
                <c:pt idx="1">
                  <c:v>1081.6834985150761</c:v>
                </c:pt>
                <c:pt idx="2">
                  <c:v>1097.4128670041182</c:v>
                </c:pt>
                <c:pt idx="3">
                  <c:v>1113.403266660393</c:v>
                </c:pt>
                <c:pt idx="4">
                  <c:v>1129.6594609814483</c:v>
                </c:pt>
                <c:pt idx="5">
                  <c:v>1146.1863055720878</c:v>
                </c:pt>
                <c:pt idx="6">
                  <c:v>1162.9887499839988</c:v>
                </c:pt>
                <c:pt idx="7">
                  <c:v>1180.0718395927811</c:v>
                </c:pt>
                <c:pt idx="8">
                  <c:v>1197.4407175131491</c:v>
                </c:pt>
                <c:pt idx="9">
                  <c:v>1215.1006265530921</c:v>
                </c:pt>
                <c:pt idx="10">
                  <c:v>1233.0569112077865</c:v>
                </c:pt>
                <c:pt idx="11">
                  <c:v>1251.3150196940881</c:v>
                </c:pt>
                <c:pt idx="12">
                  <c:v>1269.8805060264256</c:v>
                </c:pt>
                <c:pt idx="13">
                  <c:v>1288.7590321349569</c:v>
                </c:pt>
                <c:pt idx="14">
                  <c:v>1307.9563700268513</c:v>
                </c:pt>
                <c:pt idx="15">
                  <c:v>1327.4784039915828</c:v>
                </c:pt>
                <c:pt idx="16">
                  <c:v>1347.3311328511477</c:v>
                </c:pt>
                <c:pt idx="17">
                  <c:v>1367.5206722561195</c:v>
                </c:pt>
                <c:pt idx="18">
                  <c:v>1388.0532570284904</c:v>
                </c:pt>
                <c:pt idx="19">
                  <c:v>1408.9352435522626</c:v>
                </c:pt>
                <c:pt idx="20">
                  <c:v>1430.1731122127655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3-4331-BE44-40CC51BF60EF}"/>
            </c:ext>
          </c:extLst>
        </c:ser>
        <c:ser>
          <c:idx val="1"/>
          <c:order val="1"/>
          <c:tx>
            <c:strRef>
              <c:f>demand!$A$11</c:f>
              <c:strCache>
                <c:ptCount val="1"/>
                <c:pt idx="0">
                  <c:v>electricity demand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demand!$B$9:$V$9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demand!$B$11:$V$11</c:f>
              <c:numCache>
                <c:formatCode>General</c:formatCode>
                <c:ptCount val="21"/>
                <c:pt idx="0">
                  <c:v>936.46</c:v>
                </c:pt>
                <c:pt idx="1">
                  <c:v>972.98194000000001</c:v>
                </c:pt>
                <c:pt idx="2">
                  <c:v>1010.9282356599999</c:v>
                </c:pt>
                <c:pt idx="3">
                  <c:v>1050.3544368507398</c:v>
                </c:pt>
                <c:pt idx="4">
                  <c:v>1091.3182598879187</c:v>
                </c:pt>
                <c:pt idx="5">
                  <c:v>1133.8796720235473</c:v>
                </c:pt>
                <c:pt idx="6">
                  <c:v>1174.6993402163951</c:v>
                </c:pt>
                <c:pt idx="7">
                  <c:v>1216.9885164641853</c:v>
                </c:pt>
                <c:pt idx="8">
                  <c:v>1260.800103056896</c:v>
                </c:pt>
                <c:pt idx="9">
                  <c:v>1306.1889067669442</c:v>
                </c:pt>
                <c:pt idx="10">
                  <c:v>1353.2117074105543</c:v>
                </c:pt>
                <c:pt idx="11">
                  <c:v>1392.4548469254603</c:v>
                </c:pt>
                <c:pt idx="12">
                  <c:v>1432.8360374862984</c:v>
                </c:pt>
                <c:pt idx="13">
                  <c:v>1474.3882825734011</c:v>
                </c:pt>
                <c:pt idx="14">
                  <c:v>1517.1455427680296</c:v>
                </c:pt>
                <c:pt idx="15">
                  <c:v>1561.1427635083023</c:v>
                </c:pt>
                <c:pt idx="16">
                  <c:v>1609.5381891770596</c:v>
                </c:pt>
                <c:pt idx="17">
                  <c:v>1659.4338730415484</c:v>
                </c:pt>
                <c:pt idx="18">
                  <c:v>1710.8763231058363</c:v>
                </c:pt>
                <c:pt idx="19">
                  <c:v>1763.913489122117</c:v>
                </c:pt>
                <c:pt idx="20">
                  <c:v>1818.5948072849023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3-4331-BE44-40CC51BF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65088"/>
        <c:axId val="83079168"/>
      </c:lineChart>
      <c:catAx>
        <c:axId val="830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79168"/>
        <c:crosses val="autoZero"/>
        <c:auto val="1"/>
        <c:lblAlgn val="ctr"/>
        <c:lblOffset val="100"/>
        <c:noMultiLvlLbl val="0"/>
      </c:catAx>
      <c:valAx>
        <c:axId val="8307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PJ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650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H2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demand!$A$3</c:f>
              <c:strCache>
                <c:ptCount val="1"/>
                <c:pt idx="0">
                  <c:v>NGX</c:v>
                </c:pt>
              </c:strCache>
            </c:strRef>
          </c:tx>
          <c:marker>
            <c:symbol val="none"/>
          </c:marker>
          <c:cat>
            <c:numRef>
              <c:f>demand!$B$2:$V$2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demand!$B$3:$V$3</c:f>
              <c:numCache>
                <c:formatCode>General</c:formatCode>
                <c:ptCount val="21"/>
                <c:pt idx="0">
                  <c:v>1066.2104880000002</c:v>
                </c:pt>
                <c:pt idx="1">
                  <c:v>1081.6834985150761</c:v>
                </c:pt>
                <c:pt idx="2">
                  <c:v>1097.4128670041182</c:v>
                </c:pt>
                <c:pt idx="3">
                  <c:v>1113.403266660393</c:v>
                </c:pt>
                <c:pt idx="4">
                  <c:v>1129.6594609814483</c:v>
                </c:pt>
                <c:pt idx="5">
                  <c:v>1107.7890643354228</c:v>
                </c:pt>
                <c:pt idx="6">
                  <c:v>1124.0286268595348</c:v>
                </c:pt>
                <c:pt idx="7">
                  <c:v>1140.539432966423</c:v>
                </c:pt>
                <c:pt idx="8">
                  <c:v>1157.3264534764587</c:v>
                </c:pt>
                <c:pt idx="9">
                  <c:v>1174.3947555635634</c:v>
                </c:pt>
                <c:pt idx="10">
                  <c:v>1150.4420981568649</c:v>
                </c:pt>
                <c:pt idx="11">
                  <c:v>1167.4769133745842</c:v>
                </c:pt>
                <c:pt idx="12">
                  <c:v>1184.798512122655</c:v>
                </c:pt>
                <c:pt idx="13">
                  <c:v>1202.4121769819149</c:v>
                </c:pt>
                <c:pt idx="14">
                  <c:v>1220.3232932350522</c:v>
                </c:pt>
                <c:pt idx="15">
                  <c:v>1238.5373509241467</c:v>
                </c:pt>
                <c:pt idx="16">
                  <c:v>1257.0599469501208</c:v>
                </c:pt>
                <c:pt idx="17">
                  <c:v>1275.8967872149594</c:v>
                </c:pt>
                <c:pt idx="18">
                  <c:v>1295.0536888075815</c:v>
                </c:pt>
                <c:pt idx="19">
                  <c:v>1314.536582234261</c:v>
                </c:pt>
                <c:pt idx="20">
                  <c:v>1334.3515136945102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6-46D3-8589-7075EC8A5D97}"/>
            </c:ext>
          </c:extLst>
        </c:ser>
        <c:ser>
          <c:idx val="1"/>
          <c:order val="1"/>
          <c:tx>
            <c:strRef>
              <c:f>demand!$A$4</c:f>
              <c:strCache>
                <c:ptCount val="1"/>
                <c:pt idx="0">
                  <c:v>H2X</c:v>
                </c:pt>
              </c:strCache>
            </c:strRef>
          </c:tx>
          <c:marker>
            <c:symbol val="none"/>
          </c:marker>
          <c:cat>
            <c:numRef>
              <c:f>demand!$B$2:$V$2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demand!$B$4:$V$4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38.397241236664946</c:v>
                </c:pt>
                <c:pt idx="6">
                  <c:v>38.960123124463962</c:v>
                </c:pt>
                <c:pt idx="7">
                  <c:v>39.532406626358167</c:v>
                </c:pt>
                <c:pt idx="8">
                  <c:v>40.1142640366905</c:v>
                </c:pt>
                <c:pt idx="9">
                  <c:v>40.705870989528584</c:v>
                </c:pt>
                <c:pt idx="10">
                  <c:v>82.614813050921697</c:v>
                </c:pt>
                <c:pt idx="11">
                  <c:v>83.838106319503908</c:v>
                </c:pt>
                <c:pt idx="12">
                  <c:v>85.081993903770524</c:v>
                </c:pt>
                <c:pt idx="13">
                  <c:v>86.346855153042114</c:v>
                </c:pt>
                <c:pt idx="14">
                  <c:v>87.633076791799041</c:v>
                </c:pt>
                <c:pt idx="15">
                  <c:v>88.941053067436059</c:v>
                </c:pt>
                <c:pt idx="16">
                  <c:v>90.271185901026897</c:v>
                </c:pt>
                <c:pt idx="17">
                  <c:v>91.623885041160008</c:v>
                </c:pt>
                <c:pt idx="18">
                  <c:v>92.99956822090887</c:v>
                </c:pt>
                <c:pt idx="19">
                  <c:v>94.398661318001601</c:v>
                </c:pt>
                <c:pt idx="20">
                  <c:v>95.8215985182553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6-46D3-8589-7075EC8A5D97}"/>
            </c:ext>
          </c:extLst>
        </c:ser>
        <c:ser>
          <c:idx val="2"/>
          <c:order val="2"/>
          <c:tx>
            <c:strRef>
              <c:f>demand!$A$5</c:f>
              <c:strCache>
                <c:ptCount val="1"/>
                <c:pt idx="0">
                  <c:v>EX</c:v>
                </c:pt>
              </c:strCache>
            </c:strRef>
          </c:tx>
          <c:marker>
            <c:symbol val="none"/>
          </c:marker>
          <c:cat>
            <c:numRef>
              <c:f>demand!$B$2:$V$2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demand!$B$5:$V$5</c:f>
              <c:numCache>
                <c:formatCode>General</c:formatCode>
                <c:ptCount val="21"/>
                <c:pt idx="0">
                  <c:v>936.46</c:v>
                </c:pt>
                <c:pt idx="1">
                  <c:v>972.98194000000001</c:v>
                </c:pt>
                <c:pt idx="2">
                  <c:v>1010.9282356599999</c:v>
                </c:pt>
                <c:pt idx="3">
                  <c:v>1050.3544368507398</c:v>
                </c:pt>
                <c:pt idx="4">
                  <c:v>1091.3182598879187</c:v>
                </c:pt>
                <c:pt idx="5">
                  <c:v>1133.8796720235473</c:v>
                </c:pt>
                <c:pt idx="6">
                  <c:v>1174.6993402163951</c:v>
                </c:pt>
                <c:pt idx="7">
                  <c:v>1216.9885164641853</c:v>
                </c:pt>
                <c:pt idx="8">
                  <c:v>1260.800103056896</c:v>
                </c:pt>
                <c:pt idx="9">
                  <c:v>1306.1889067669442</c:v>
                </c:pt>
                <c:pt idx="10">
                  <c:v>1353.2117074105543</c:v>
                </c:pt>
                <c:pt idx="11">
                  <c:v>1392.4548469254603</c:v>
                </c:pt>
                <c:pt idx="12">
                  <c:v>1432.8360374862984</c:v>
                </c:pt>
                <c:pt idx="13">
                  <c:v>1474.3882825734011</c:v>
                </c:pt>
                <c:pt idx="14">
                  <c:v>1517.1455427680296</c:v>
                </c:pt>
                <c:pt idx="15">
                  <c:v>1561.1427635083023</c:v>
                </c:pt>
                <c:pt idx="16">
                  <c:v>1609.5381891770596</c:v>
                </c:pt>
                <c:pt idx="17">
                  <c:v>1659.4338730415484</c:v>
                </c:pt>
                <c:pt idx="18">
                  <c:v>1710.8763231058363</c:v>
                </c:pt>
                <c:pt idx="19">
                  <c:v>1763.913489122117</c:v>
                </c:pt>
                <c:pt idx="20">
                  <c:v>1818.5948072849023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6-46D3-8589-7075EC8A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8080"/>
        <c:axId val="129439616"/>
      </c:lineChart>
      <c:catAx>
        <c:axId val="1294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439616"/>
        <c:crosses val="autoZero"/>
        <c:auto val="1"/>
        <c:lblAlgn val="ctr"/>
        <c:lblOffset val="100"/>
        <c:noMultiLvlLbl val="0"/>
      </c:catAx>
      <c:valAx>
        <c:axId val="12943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PJ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3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161924</xdr:colOff>
      <xdr:row>21</xdr:row>
      <xdr:rowOff>57150</xdr:rowOff>
    </xdr:from>
    <xdr:to>
      <xdr:col>19</xdr:col>
      <xdr:colOff>380999</xdr:colOff>
      <xdr:row>35</xdr:row>
      <xdr:rowOff>133350</xdr:rowOff>
    </xdr:to>
    <xdr:graphicFrame macro="">
      <xdr:nvGraphicFramePr>
        <xdr:cNvPr id="3" name="2 Grafik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26</xdr:row>
      <xdr:rowOff>28575</xdr:rowOff>
    </xdr:from>
    <xdr:to>
      <xdr:col>12</xdr:col>
      <xdr:colOff>266700</xdr:colOff>
      <xdr:row>40</xdr:row>
      <xdr:rowOff>104775</xdr:rowOff>
    </xdr:to>
    <xdr:graphicFrame macro="">
      <xdr:nvGraphicFramePr>
        <xdr:cNvPr id="2" name="1 Grafik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7</xdr:row>
      <xdr:rowOff>95250</xdr:rowOff>
    </xdr:from>
    <xdr:to>
      <xdr:col>14</xdr:col>
      <xdr:colOff>142875</xdr:colOff>
      <xdr:row>21</xdr:row>
      <xdr:rowOff>171450</xdr:rowOff>
    </xdr:to>
    <xdr:graphicFrame macro="">
      <xdr:nvGraphicFramePr>
        <xdr:cNvPr id="5" name="4 Grafik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161925</xdr:rowOff>
    </xdr:from>
    <xdr:to>
      <xdr:col>13</xdr:col>
      <xdr:colOff>123825</xdr:colOff>
      <xdr:row>20</xdr:row>
      <xdr:rowOff>47625</xdr:rowOff>
    </xdr:to>
    <xdr:graphicFrame macro="">
      <xdr:nvGraphicFramePr>
        <xdr:cNvPr id="2" name="1 Grafik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28</xdr:row>
      <xdr:rowOff>171450</xdr:rowOff>
    </xdr:from>
    <xdr:to>
      <xdr:col>9</xdr:col>
      <xdr:colOff>581026</xdr:colOff>
      <xdr:row>46</xdr:row>
      <xdr:rowOff>28575</xdr:rowOff>
    </xdr:to>
    <xdr:graphicFrame macro="">
      <xdr:nvGraphicFramePr>
        <xdr:cNvPr id="2" name="1 Grafik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209549</xdr:colOff>
      <xdr:row>28</xdr:row>
      <xdr:rowOff>171450</xdr:rowOff>
    </xdr:from>
    <xdr:to>
      <xdr:col>16</xdr:col>
      <xdr:colOff>257174</xdr:colOff>
      <xdr:row>46</xdr:row>
      <xdr:rowOff>28575</xdr:rowOff>
    </xdr:to>
    <xdr:graphicFrame macro="">
      <xdr:nvGraphicFramePr>
        <xdr:cNvPr id="3" name="2 Grafik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heatroadmap.eu/wp-content/uploads/2020/01/HRE4_D6.1-Future-fuel-price-review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ecd-nea.org/upload/docs/application/pdf/2020-12/egc-2020_2020-12-09_18-26-46_781.pdf" TargetMode="External"/><Relationship Id="rId1" Type="http://schemas.openxmlformats.org/officeDocument/2006/relationships/hyperlink" Target="https://iea.blob.core.windows.net/assets/e669e0b6-148c-4d5c-816b-a7661301fa96/TechnologyRoadmapHydrogenandFuelCell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workbookViewId="0">
      <selection activeCell="V21" sqref="V21"/>
    </sheetView>
  </sheetViews>
  <sheetFormatPr defaultRowHeight="15" x14ac:dyDescent="0.25"/>
  <cols>
    <col min="1" max="1" width="18" bestFit="1" customWidth="1"/>
    <col min="2" max="22" width="11.5703125" bestFit="1" customWidth="1"/>
  </cols>
  <sheetData>
    <row r="1" spans="1:22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4</v>
      </c>
      <c r="B2" s="2">
        <v>956056</v>
      </c>
      <c r="C2" s="2">
        <v>789821</v>
      </c>
      <c r="D2" s="2">
        <v>820271</v>
      </c>
      <c r="E2" s="2">
        <v>923904</v>
      </c>
      <c r="F2" s="2">
        <v>930637</v>
      </c>
      <c r="G2" s="2">
        <v>937373</v>
      </c>
      <c r="H2" s="2">
        <v>1107921</v>
      </c>
      <c r="I2" s="2">
        <v>1242553</v>
      </c>
      <c r="J2" s="2">
        <v>1229268</v>
      </c>
      <c r="K2" s="2">
        <v>1270602</v>
      </c>
      <c r="L2" s="2">
        <v>1306774</v>
      </c>
      <c r="M2" s="2">
        <v>1367528</v>
      </c>
      <c r="N2" s="2">
        <v>1448801</v>
      </c>
      <c r="O2" s="2">
        <v>1268027</v>
      </c>
      <c r="P2" s="2">
        <v>1400336</v>
      </c>
      <c r="Q2" s="2">
        <v>1444648</v>
      </c>
      <c r="R2" s="2">
        <v>1605419</v>
      </c>
      <c r="S2" s="2">
        <v>1678427</v>
      </c>
      <c r="T2" s="2">
        <v>1709569</v>
      </c>
      <c r="U2" s="2">
        <v>1754373</v>
      </c>
      <c r="V2" s="2">
        <v>1677723</v>
      </c>
    </row>
    <row r="3" spans="1:22" x14ac:dyDescent="0.25">
      <c r="A3" t="s">
        <v>5</v>
      </c>
      <c r="B3" s="2">
        <v>1272932</v>
      </c>
      <c r="C3" s="2">
        <v>1183573</v>
      </c>
      <c r="D3" s="2">
        <v>1238609</v>
      </c>
      <c r="E3" s="2">
        <v>1206328</v>
      </c>
      <c r="F3" s="2">
        <v>1216040</v>
      </c>
      <c r="G3" s="2">
        <v>1203485</v>
      </c>
      <c r="H3" s="2">
        <v>1271982</v>
      </c>
      <c r="I3" s="2">
        <v>1285469</v>
      </c>
      <c r="J3" s="2">
        <v>1237353</v>
      </c>
      <c r="K3" s="2">
        <v>1219073</v>
      </c>
      <c r="L3" s="2">
        <v>1319049</v>
      </c>
      <c r="M3" s="2">
        <v>1327769</v>
      </c>
      <c r="N3" s="2">
        <v>1402833</v>
      </c>
      <c r="O3" s="2">
        <v>1401060</v>
      </c>
      <c r="P3" s="2">
        <v>1373251</v>
      </c>
      <c r="Q3" s="2">
        <v>1620129</v>
      </c>
      <c r="R3" s="2">
        <v>1763071</v>
      </c>
      <c r="S3" s="2">
        <v>1856198</v>
      </c>
      <c r="T3" s="2">
        <v>1756141</v>
      </c>
      <c r="U3" s="2">
        <v>1794892</v>
      </c>
      <c r="V3" s="2">
        <v>1774247</v>
      </c>
    </row>
    <row r="4" spans="1:22" x14ac:dyDescent="0.25">
      <c r="A4" t="s">
        <v>6</v>
      </c>
      <c r="B4" s="2">
        <v>529116</v>
      </c>
      <c r="C4" s="2">
        <v>559851</v>
      </c>
      <c r="D4" s="2">
        <v>616943</v>
      </c>
      <c r="E4" s="2">
        <v>741931</v>
      </c>
      <c r="F4" s="2">
        <v>783326</v>
      </c>
      <c r="G4" s="2">
        <v>954247</v>
      </c>
      <c r="H4" s="2">
        <v>1087427</v>
      </c>
      <c r="I4" s="2">
        <v>1273781</v>
      </c>
      <c r="J4" s="2">
        <v>1264097</v>
      </c>
      <c r="K4" s="2">
        <v>1210673</v>
      </c>
      <c r="L4" s="2">
        <v>1314445</v>
      </c>
      <c r="M4" s="2">
        <v>1540263</v>
      </c>
      <c r="N4" s="2">
        <v>1560081</v>
      </c>
      <c r="O4" s="2">
        <v>1572386</v>
      </c>
      <c r="P4" s="2">
        <v>1683284</v>
      </c>
      <c r="Q4" s="2">
        <v>1648897</v>
      </c>
      <c r="R4" s="2">
        <v>1601945</v>
      </c>
      <c r="S4" s="2">
        <v>1851925</v>
      </c>
      <c r="T4" s="2">
        <v>1717323</v>
      </c>
      <c r="U4" s="2">
        <v>1550987</v>
      </c>
      <c r="V4" s="2">
        <v>1654441</v>
      </c>
    </row>
    <row r="5" spans="1:22" x14ac:dyDescent="0.25">
      <c r="A5" t="s">
        <v>7</v>
      </c>
      <c r="B5" s="2">
        <v>111164</v>
      </c>
      <c r="C5" s="2">
        <v>86436</v>
      </c>
      <c r="D5" s="2">
        <v>121259</v>
      </c>
      <c r="E5" s="2">
        <v>127188</v>
      </c>
      <c r="F5" s="2">
        <v>165902</v>
      </c>
      <c r="G5" s="2">
        <v>142420</v>
      </c>
      <c r="H5" s="2">
        <v>159278</v>
      </c>
      <c r="I5" s="2">
        <v>129064</v>
      </c>
      <c r="J5" s="2">
        <v>119772</v>
      </c>
      <c r="K5" s="2">
        <v>129449</v>
      </c>
      <c r="L5" s="2">
        <v>186466</v>
      </c>
      <c r="M5" s="2">
        <v>188417</v>
      </c>
      <c r="N5" s="2">
        <v>208314</v>
      </c>
      <c r="O5" s="2">
        <v>213912</v>
      </c>
      <c r="P5" s="2">
        <v>146322</v>
      </c>
      <c r="Q5" s="2">
        <v>241726</v>
      </c>
      <c r="R5" s="2">
        <v>242032</v>
      </c>
      <c r="S5" s="2">
        <v>209586</v>
      </c>
      <c r="T5" s="2">
        <v>215778</v>
      </c>
      <c r="U5" s="2">
        <v>319762</v>
      </c>
      <c r="V5" s="2">
        <v>281229</v>
      </c>
    </row>
    <row r="6" spans="1:22" x14ac:dyDescent="0.25">
      <c r="A6" t="s">
        <v>8</v>
      </c>
      <c r="B6" s="2">
        <v>40487</v>
      </c>
      <c r="C6" s="2">
        <v>44955</v>
      </c>
      <c r="D6" s="2">
        <v>48481</v>
      </c>
      <c r="E6" s="2">
        <v>51405</v>
      </c>
      <c r="F6" s="2">
        <v>53559</v>
      </c>
      <c r="G6" s="2">
        <v>59805</v>
      </c>
      <c r="H6" s="2">
        <v>59652</v>
      </c>
      <c r="I6" s="2">
        <v>64506</v>
      </c>
      <c r="J6" s="2">
        <v>69895</v>
      </c>
      <c r="K6" s="2">
        <v>92638</v>
      </c>
      <c r="L6" s="2">
        <v>112781</v>
      </c>
      <c r="M6" s="2">
        <v>131415</v>
      </c>
      <c r="N6" s="2">
        <v>148783</v>
      </c>
      <c r="O6" s="2">
        <v>175559</v>
      </c>
      <c r="P6" s="2">
        <v>217415</v>
      </c>
      <c r="Q6" s="2">
        <v>288591</v>
      </c>
      <c r="R6" s="2">
        <v>363457</v>
      </c>
      <c r="S6" s="2">
        <v>425796</v>
      </c>
      <c r="T6" s="2">
        <v>505240</v>
      </c>
      <c r="U6" s="2">
        <v>571770</v>
      </c>
      <c r="V6" s="2">
        <v>624182</v>
      </c>
    </row>
    <row r="7" spans="1:22" x14ac:dyDescent="0.25">
      <c r="A7" t="s">
        <v>9</v>
      </c>
      <c r="B7" s="2">
        <v>272178</v>
      </c>
      <c r="C7" s="2">
        <v>261985</v>
      </c>
      <c r="D7" s="2">
        <v>251442</v>
      </c>
      <c r="E7" s="2">
        <v>241558</v>
      </c>
      <c r="F7" s="2">
        <v>232433</v>
      </c>
      <c r="G7" s="2">
        <v>223363</v>
      </c>
      <c r="H7" s="2">
        <v>216329</v>
      </c>
      <c r="I7" s="2">
        <v>210464</v>
      </c>
      <c r="J7" s="2">
        <v>201431</v>
      </c>
      <c r="K7" s="2">
        <v>194513</v>
      </c>
      <c r="L7" s="2">
        <v>189574</v>
      </c>
      <c r="M7" s="2">
        <v>152072</v>
      </c>
      <c r="N7" s="2">
        <v>153913</v>
      </c>
      <c r="O7" s="2">
        <v>163357</v>
      </c>
      <c r="P7" s="2">
        <v>146890</v>
      </c>
      <c r="Q7" s="2">
        <v>134967</v>
      </c>
      <c r="R7" s="2">
        <v>130638</v>
      </c>
      <c r="S7" s="2">
        <v>126949</v>
      </c>
      <c r="T7" s="2">
        <v>135558</v>
      </c>
      <c r="U7" s="2">
        <v>143800</v>
      </c>
      <c r="V7" s="2">
        <v>149557</v>
      </c>
    </row>
    <row r="9" spans="1:22" x14ac:dyDescent="0.25"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>
        <v>2011</v>
      </c>
      <c r="N9">
        <v>2012</v>
      </c>
      <c r="O9">
        <v>2013</v>
      </c>
      <c r="P9">
        <v>2014</v>
      </c>
      <c r="Q9">
        <v>2015</v>
      </c>
      <c r="R9">
        <v>2016</v>
      </c>
      <c r="S9">
        <v>2017</v>
      </c>
      <c r="T9">
        <v>2018</v>
      </c>
      <c r="U9">
        <v>2019</v>
      </c>
      <c r="V9">
        <v>2020</v>
      </c>
    </row>
    <row r="10" spans="1:22" x14ac:dyDescent="0.25">
      <c r="A10" t="s">
        <v>4</v>
      </c>
      <c r="B10">
        <f>B2/1000</f>
        <v>956.05600000000004</v>
      </c>
      <c r="C10">
        <f>C2/1000</f>
        <v>789.82100000000003</v>
      </c>
      <c r="D10">
        <f t="shared" ref="D10:V10" si="0">D2/1000</f>
        <v>820.27099999999996</v>
      </c>
      <c r="E10">
        <f t="shared" si="0"/>
        <v>923.904</v>
      </c>
      <c r="F10">
        <f t="shared" si="0"/>
        <v>930.63699999999994</v>
      </c>
      <c r="G10">
        <f t="shared" si="0"/>
        <v>937.37300000000005</v>
      </c>
      <c r="H10">
        <f t="shared" si="0"/>
        <v>1107.921</v>
      </c>
      <c r="I10">
        <f t="shared" si="0"/>
        <v>1242.5530000000001</v>
      </c>
      <c r="J10">
        <f t="shared" si="0"/>
        <v>1229.268</v>
      </c>
      <c r="K10">
        <f t="shared" si="0"/>
        <v>1270.6020000000001</v>
      </c>
      <c r="L10">
        <f t="shared" si="0"/>
        <v>1306.7739999999999</v>
      </c>
      <c r="M10">
        <f t="shared" si="0"/>
        <v>1367.528</v>
      </c>
      <c r="N10">
        <f t="shared" si="0"/>
        <v>1448.8009999999999</v>
      </c>
      <c r="O10">
        <f t="shared" si="0"/>
        <v>1268.027</v>
      </c>
      <c r="P10">
        <f t="shared" si="0"/>
        <v>1400.336</v>
      </c>
      <c r="Q10">
        <f t="shared" si="0"/>
        <v>1444.6479999999999</v>
      </c>
      <c r="R10">
        <f t="shared" si="0"/>
        <v>1605.4190000000001</v>
      </c>
      <c r="S10">
        <f t="shared" si="0"/>
        <v>1678.4269999999999</v>
      </c>
      <c r="T10">
        <f t="shared" si="0"/>
        <v>1709.569</v>
      </c>
      <c r="U10">
        <f t="shared" si="0"/>
        <v>1754.373</v>
      </c>
      <c r="V10">
        <f t="shared" si="0"/>
        <v>1677.723</v>
      </c>
    </row>
    <row r="11" spans="1:22" x14ac:dyDescent="0.25">
      <c r="A11" t="s">
        <v>5</v>
      </c>
      <c r="B11">
        <f t="shared" ref="B11:C15" si="1">B3/1000</f>
        <v>1272.932</v>
      </c>
      <c r="C11">
        <f t="shared" si="1"/>
        <v>1183.5730000000001</v>
      </c>
      <c r="D11">
        <f t="shared" ref="D11:V11" si="2">D3/1000</f>
        <v>1238.6089999999999</v>
      </c>
      <c r="E11">
        <f t="shared" si="2"/>
        <v>1206.328</v>
      </c>
      <c r="F11">
        <f t="shared" si="2"/>
        <v>1216.04</v>
      </c>
      <c r="G11">
        <f t="shared" si="2"/>
        <v>1203.4849999999999</v>
      </c>
      <c r="H11">
        <f t="shared" si="2"/>
        <v>1271.982</v>
      </c>
      <c r="I11">
        <f t="shared" si="2"/>
        <v>1285.4690000000001</v>
      </c>
      <c r="J11">
        <f t="shared" si="2"/>
        <v>1237.3530000000001</v>
      </c>
      <c r="K11">
        <f t="shared" si="2"/>
        <v>1219.0730000000001</v>
      </c>
      <c r="L11">
        <f t="shared" si="2"/>
        <v>1319.049</v>
      </c>
      <c r="M11">
        <f t="shared" si="2"/>
        <v>1327.769</v>
      </c>
      <c r="N11">
        <f t="shared" si="2"/>
        <v>1402.8330000000001</v>
      </c>
      <c r="O11">
        <f t="shared" si="2"/>
        <v>1401.06</v>
      </c>
      <c r="P11">
        <f t="shared" si="2"/>
        <v>1373.251</v>
      </c>
      <c r="Q11">
        <f t="shared" si="2"/>
        <v>1620.1289999999999</v>
      </c>
      <c r="R11">
        <f t="shared" si="2"/>
        <v>1763.0709999999999</v>
      </c>
      <c r="S11">
        <f t="shared" si="2"/>
        <v>1856.1980000000001</v>
      </c>
      <c r="T11">
        <f t="shared" si="2"/>
        <v>1756.1410000000001</v>
      </c>
      <c r="U11">
        <f t="shared" si="2"/>
        <v>1794.8920000000001</v>
      </c>
      <c r="V11">
        <f t="shared" si="2"/>
        <v>1774.2470000000001</v>
      </c>
    </row>
    <row r="12" spans="1:22" x14ac:dyDescent="0.25">
      <c r="A12" t="s">
        <v>6</v>
      </c>
      <c r="B12">
        <f t="shared" si="1"/>
        <v>529.11599999999999</v>
      </c>
      <c r="C12">
        <f t="shared" si="1"/>
        <v>559.851</v>
      </c>
      <c r="D12">
        <f t="shared" ref="D12:V12" si="3">D4/1000</f>
        <v>616.94299999999998</v>
      </c>
      <c r="E12">
        <f t="shared" si="3"/>
        <v>741.93100000000004</v>
      </c>
      <c r="F12">
        <f t="shared" si="3"/>
        <v>783.32600000000002</v>
      </c>
      <c r="G12">
        <f t="shared" si="3"/>
        <v>954.24699999999996</v>
      </c>
      <c r="H12">
        <f t="shared" si="3"/>
        <v>1087.4269999999999</v>
      </c>
      <c r="I12">
        <f t="shared" si="3"/>
        <v>1273.7809999999999</v>
      </c>
      <c r="J12">
        <f t="shared" si="3"/>
        <v>1264.097</v>
      </c>
      <c r="K12">
        <f t="shared" si="3"/>
        <v>1210.673</v>
      </c>
      <c r="L12">
        <f t="shared" si="3"/>
        <v>1314.4449999999999</v>
      </c>
      <c r="M12">
        <f t="shared" si="3"/>
        <v>1540.2629999999999</v>
      </c>
      <c r="N12">
        <f t="shared" si="3"/>
        <v>1560.0809999999999</v>
      </c>
      <c r="O12">
        <f t="shared" si="3"/>
        <v>1572.386</v>
      </c>
      <c r="P12">
        <f t="shared" si="3"/>
        <v>1683.2840000000001</v>
      </c>
      <c r="Q12">
        <f t="shared" si="3"/>
        <v>1648.8969999999999</v>
      </c>
      <c r="R12">
        <f t="shared" si="3"/>
        <v>1601.9449999999999</v>
      </c>
      <c r="S12">
        <f t="shared" si="3"/>
        <v>1851.925</v>
      </c>
      <c r="T12">
        <f t="shared" si="3"/>
        <v>1717.3230000000001</v>
      </c>
      <c r="U12">
        <f t="shared" si="3"/>
        <v>1550.9870000000001</v>
      </c>
      <c r="V12">
        <f t="shared" si="3"/>
        <v>1654.441</v>
      </c>
    </row>
    <row r="13" spans="1:22" x14ac:dyDescent="0.25">
      <c r="A13" t="s">
        <v>7</v>
      </c>
      <c r="B13">
        <f t="shared" si="1"/>
        <v>111.164</v>
      </c>
      <c r="C13">
        <f t="shared" si="1"/>
        <v>86.436000000000007</v>
      </c>
      <c r="D13">
        <f t="shared" ref="D13:V13" si="4">D5/1000</f>
        <v>121.259</v>
      </c>
      <c r="E13">
        <f t="shared" si="4"/>
        <v>127.188</v>
      </c>
      <c r="F13">
        <f t="shared" si="4"/>
        <v>165.90199999999999</v>
      </c>
      <c r="G13">
        <f t="shared" si="4"/>
        <v>142.41999999999999</v>
      </c>
      <c r="H13">
        <f t="shared" si="4"/>
        <v>159.27799999999999</v>
      </c>
      <c r="I13">
        <f t="shared" si="4"/>
        <v>129.06399999999999</v>
      </c>
      <c r="J13">
        <f t="shared" si="4"/>
        <v>119.77200000000001</v>
      </c>
      <c r="K13">
        <f t="shared" si="4"/>
        <v>129.44900000000001</v>
      </c>
      <c r="L13">
        <f t="shared" si="4"/>
        <v>186.46600000000001</v>
      </c>
      <c r="M13">
        <f t="shared" si="4"/>
        <v>188.417</v>
      </c>
      <c r="N13">
        <f t="shared" si="4"/>
        <v>208.31399999999999</v>
      </c>
      <c r="O13">
        <f t="shared" si="4"/>
        <v>213.91200000000001</v>
      </c>
      <c r="P13">
        <f t="shared" si="4"/>
        <v>146.322</v>
      </c>
      <c r="Q13">
        <f t="shared" si="4"/>
        <v>241.726</v>
      </c>
      <c r="R13">
        <f t="shared" si="4"/>
        <v>242.03200000000001</v>
      </c>
      <c r="S13">
        <f t="shared" si="4"/>
        <v>209.58600000000001</v>
      </c>
      <c r="T13">
        <f t="shared" si="4"/>
        <v>215.77799999999999</v>
      </c>
      <c r="U13">
        <f t="shared" si="4"/>
        <v>319.762</v>
      </c>
      <c r="V13">
        <f t="shared" si="4"/>
        <v>281.22899999999998</v>
      </c>
    </row>
    <row r="14" spans="1:22" x14ac:dyDescent="0.25">
      <c r="A14" t="s">
        <v>8</v>
      </c>
      <c r="B14">
        <f t="shared" si="1"/>
        <v>40.487000000000002</v>
      </c>
      <c r="C14">
        <f t="shared" si="1"/>
        <v>44.954999999999998</v>
      </c>
      <c r="D14">
        <f t="shared" ref="D14:V14" si="5">D6/1000</f>
        <v>48.481000000000002</v>
      </c>
      <c r="E14">
        <f t="shared" si="5"/>
        <v>51.405000000000001</v>
      </c>
      <c r="F14">
        <f t="shared" si="5"/>
        <v>53.558999999999997</v>
      </c>
      <c r="G14">
        <f t="shared" si="5"/>
        <v>59.805</v>
      </c>
      <c r="H14">
        <f t="shared" si="5"/>
        <v>59.652000000000001</v>
      </c>
      <c r="I14">
        <f t="shared" si="5"/>
        <v>64.506</v>
      </c>
      <c r="J14">
        <f t="shared" si="5"/>
        <v>69.894999999999996</v>
      </c>
      <c r="K14">
        <f t="shared" si="5"/>
        <v>92.638000000000005</v>
      </c>
      <c r="L14">
        <f t="shared" si="5"/>
        <v>112.78100000000001</v>
      </c>
      <c r="M14">
        <f t="shared" si="5"/>
        <v>131.41499999999999</v>
      </c>
      <c r="N14">
        <f t="shared" si="5"/>
        <v>148.78299999999999</v>
      </c>
      <c r="O14">
        <f t="shared" si="5"/>
        <v>175.559</v>
      </c>
      <c r="P14">
        <f t="shared" si="5"/>
        <v>217.41499999999999</v>
      </c>
      <c r="Q14">
        <f t="shared" si="5"/>
        <v>288.59100000000001</v>
      </c>
      <c r="R14">
        <f t="shared" si="5"/>
        <v>363.45699999999999</v>
      </c>
      <c r="S14">
        <f t="shared" si="5"/>
        <v>425.79599999999999</v>
      </c>
      <c r="T14">
        <f t="shared" si="5"/>
        <v>505.24</v>
      </c>
      <c r="U14">
        <f t="shared" si="5"/>
        <v>571.77</v>
      </c>
      <c r="V14">
        <f t="shared" si="5"/>
        <v>624.18200000000002</v>
      </c>
    </row>
    <row r="15" spans="1:22" x14ac:dyDescent="0.25">
      <c r="A15" t="s">
        <v>9</v>
      </c>
      <c r="B15">
        <f t="shared" si="1"/>
        <v>272.178</v>
      </c>
      <c r="C15">
        <f t="shared" si="1"/>
        <v>261.98500000000001</v>
      </c>
      <c r="D15">
        <f t="shared" ref="D15:V15" si="6">D7/1000</f>
        <v>251.44200000000001</v>
      </c>
      <c r="E15">
        <f t="shared" si="6"/>
        <v>241.55799999999999</v>
      </c>
      <c r="F15">
        <f t="shared" si="6"/>
        <v>232.43299999999999</v>
      </c>
      <c r="G15">
        <f t="shared" si="6"/>
        <v>223.363</v>
      </c>
      <c r="H15">
        <f t="shared" si="6"/>
        <v>216.32900000000001</v>
      </c>
      <c r="I15">
        <f t="shared" si="6"/>
        <v>210.464</v>
      </c>
      <c r="J15">
        <f t="shared" si="6"/>
        <v>201.43100000000001</v>
      </c>
      <c r="K15">
        <f t="shared" si="6"/>
        <v>194.51300000000001</v>
      </c>
      <c r="L15">
        <f t="shared" si="6"/>
        <v>189.57400000000001</v>
      </c>
      <c r="M15">
        <f t="shared" si="6"/>
        <v>152.072</v>
      </c>
      <c r="N15">
        <f t="shared" si="6"/>
        <v>153.91300000000001</v>
      </c>
      <c r="O15">
        <f t="shared" si="6"/>
        <v>163.357</v>
      </c>
      <c r="P15">
        <f t="shared" si="6"/>
        <v>146.88999999999999</v>
      </c>
      <c r="Q15">
        <f t="shared" si="6"/>
        <v>134.96700000000001</v>
      </c>
      <c r="R15">
        <f t="shared" si="6"/>
        <v>130.63800000000001</v>
      </c>
      <c r="S15">
        <f t="shared" si="6"/>
        <v>126.949</v>
      </c>
      <c r="T15">
        <f t="shared" si="6"/>
        <v>135.55799999999999</v>
      </c>
      <c r="U15">
        <f t="shared" si="6"/>
        <v>143.80000000000001</v>
      </c>
      <c r="V15">
        <f t="shared" si="6"/>
        <v>149.55699999999999</v>
      </c>
    </row>
    <row r="16" spans="1:22" x14ac:dyDescent="0.25">
      <c r="B16">
        <f>SUM(B10:B15)</f>
        <v>3181.9330000000004</v>
      </c>
      <c r="C16">
        <f t="shared" ref="C16:V16" si="7">SUM(C10:C15)</f>
        <v>2926.6210000000005</v>
      </c>
      <c r="D16">
        <f t="shared" si="7"/>
        <v>3097.0050000000006</v>
      </c>
      <c r="E16">
        <f t="shared" si="7"/>
        <v>3292.3140000000003</v>
      </c>
      <c r="F16">
        <f t="shared" si="7"/>
        <v>3381.8969999999999</v>
      </c>
      <c r="G16">
        <f t="shared" si="7"/>
        <v>3520.6929999999998</v>
      </c>
      <c r="H16">
        <f t="shared" si="7"/>
        <v>3902.5889999999999</v>
      </c>
      <c r="I16">
        <f t="shared" si="7"/>
        <v>4205.8369999999995</v>
      </c>
      <c r="J16">
        <f t="shared" si="7"/>
        <v>4121.8159999999998</v>
      </c>
      <c r="K16">
        <f t="shared" si="7"/>
        <v>4116.9480000000003</v>
      </c>
      <c r="L16">
        <f t="shared" si="7"/>
        <v>4429.0889999999999</v>
      </c>
      <c r="M16">
        <f t="shared" si="7"/>
        <v>4707.4639999999999</v>
      </c>
      <c r="N16">
        <f t="shared" si="7"/>
        <v>4922.7250000000004</v>
      </c>
      <c r="O16">
        <f t="shared" si="7"/>
        <v>4794.3010000000004</v>
      </c>
      <c r="P16">
        <f t="shared" si="7"/>
        <v>4967.4980000000005</v>
      </c>
      <c r="Q16">
        <f t="shared" si="7"/>
        <v>5378.9579999999996</v>
      </c>
      <c r="R16">
        <f t="shared" si="7"/>
        <v>5706.5619999999999</v>
      </c>
      <c r="S16">
        <f t="shared" si="7"/>
        <v>6148.8810000000003</v>
      </c>
      <c r="T16">
        <f t="shared" si="7"/>
        <v>6039.6090000000004</v>
      </c>
      <c r="U16">
        <f t="shared" si="7"/>
        <v>6135.5839999999998</v>
      </c>
      <c r="V16">
        <f t="shared" si="7"/>
        <v>6161.3789999999999</v>
      </c>
    </row>
    <row r="17" spans="2:22" x14ac:dyDescent="0.25">
      <c r="B17">
        <f>(B10+B11+B12)/B16</f>
        <v>0.86680140656638582</v>
      </c>
      <c r="C17">
        <f t="shared" ref="C17:V17" si="8">(C10+C11+C12)/C16</f>
        <v>0.86558696872604957</v>
      </c>
      <c r="D17">
        <f t="shared" si="8"/>
        <v>0.8640034484929795</v>
      </c>
      <c r="E17">
        <f t="shared" si="8"/>
        <v>0.87238428655346956</v>
      </c>
      <c r="F17">
        <f t="shared" si="8"/>
        <v>0.86637854434951733</v>
      </c>
      <c r="G17">
        <f t="shared" si="8"/>
        <v>0.87911811680257279</v>
      </c>
      <c r="H17">
        <f t="shared" si="8"/>
        <v>0.88846916751930571</v>
      </c>
      <c r="I17">
        <f t="shared" si="8"/>
        <v>0.90393493613756315</v>
      </c>
      <c r="J17">
        <f t="shared" si="8"/>
        <v>0.90511512401329897</v>
      </c>
      <c r="K17">
        <f t="shared" si="8"/>
        <v>0.89880853486611922</v>
      </c>
      <c r="L17">
        <f t="shared" si="8"/>
        <v>0.8896339631016672</v>
      </c>
      <c r="M17">
        <f t="shared" si="8"/>
        <v>0.89975409264946038</v>
      </c>
      <c r="N17">
        <f t="shared" si="8"/>
        <v>0.89619367321960897</v>
      </c>
      <c r="O17">
        <f t="shared" si="8"/>
        <v>0.88469059410329043</v>
      </c>
      <c r="P17">
        <f t="shared" si="8"/>
        <v>0.89720640048571731</v>
      </c>
      <c r="Q17">
        <f t="shared" si="8"/>
        <v>0.87631730904015248</v>
      </c>
      <c r="R17">
        <f t="shared" si="8"/>
        <v>0.87100341676827475</v>
      </c>
      <c r="S17">
        <f t="shared" si="8"/>
        <v>0.87602118174022237</v>
      </c>
      <c r="T17">
        <f t="shared" si="8"/>
        <v>0.85817360031088108</v>
      </c>
      <c r="U17">
        <f t="shared" si="8"/>
        <v>0.83125779061944238</v>
      </c>
      <c r="V17">
        <f t="shared" si="8"/>
        <v>0.82877729157709668</v>
      </c>
    </row>
    <row r="19" spans="2:22" x14ac:dyDescent="0.25">
      <c r="D19" s="1"/>
    </row>
    <row r="21" spans="2:22" x14ac:dyDescent="0.25">
      <c r="V21">
        <v>6161.3789999999999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9"/>
  <sheetViews>
    <sheetView workbookViewId="0">
      <selection activeCell="U13" sqref="U13"/>
    </sheetView>
  </sheetViews>
  <sheetFormatPr defaultRowHeight="15" x14ac:dyDescent="0.25"/>
  <cols>
    <col min="1" max="1" width="18.85546875" bestFit="1" customWidth="1"/>
  </cols>
  <sheetData>
    <row r="1" spans="1:22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P1" t="s">
        <v>74</v>
      </c>
      <c r="Q1" t="s">
        <v>75</v>
      </c>
      <c r="R1" t="s">
        <v>76</v>
      </c>
      <c r="T1" t="s">
        <v>74</v>
      </c>
      <c r="U1" t="s">
        <v>75</v>
      </c>
      <c r="V1" t="s">
        <v>76</v>
      </c>
    </row>
    <row r="2" spans="1:22" x14ac:dyDescent="0.25">
      <c r="A2" t="s">
        <v>72</v>
      </c>
      <c r="B2" s="7">
        <v>1.1000000000000001</v>
      </c>
      <c r="C2" s="7">
        <v>1</v>
      </c>
      <c r="D2" s="7">
        <v>0.8</v>
      </c>
      <c r="E2" s="7">
        <v>0.8</v>
      </c>
      <c r="F2" s="7">
        <v>0.8</v>
      </c>
      <c r="G2" s="7">
        <v>0.9</v>
      </c>
      <c r="H2" s="7">
        <v>1.1000000000000001</v>
      </c>
      <c r="I2" s="7">
        <v>1.1000000000000001</v>
      </c>
      <c r="J2" s="7">
        <v>1.1000000000000001</v>
      </c>
      <c r="K2" s="7">
        <v>1</v>
      </c>
      <c r="L2" s="7">
        <v>1</v>
      </c>
      <c r="M2" s="7">
        <v>1.1000000000000001</v>
      </c>
      <c r="P2" s="7">
        <f>D2+E2+F2+J2+K2+L2</f>
        <v>5.5</v>
      </c>
      <c r="Q2" s="7">
        <f>B2+C2+M2+0.1</f>
        <v>3.3000000000000003</v>
      </c>
      <c r="R2" s="7">
        <f>G2+H2+I2+0.1</f>
        <v>3.2</v>
      </c>
      <c r="T2">
        <f>P2/12</f>
        <v>0.45833333333333331</v>
      </c>
      <c r="U2">
        <f t="shared" ref="U2:V2" si="0">Q2/12</f>
        <v>0.27500000000000002</v>
      </c>
      <c r="V2">
        <f t="shared" si="0"/>
        <v>0.26666666666666666</v>
      </c>
    </row>
    <row r="3" spans="1:22" x14ac:dyDescent="0.25">
      <c r="A3" t="s">
        <v>73</v>
      </c>
      <c r="B3" s="7">
        <v>1.7</v>
      </c>
      <c r="C3" s="7">
        <v>1.4</v>
      </c>
      <c r="D3" s="7">
        <v>1.2</v>
      </c>
      <c r="E3" s="7">
        <v>0.8</v>
      </c>
      <c r="F3" s="7">
        <v>0.6</v>
      </c>
      <c r="G3" s="7">
        <v>0.6</v>
      </c>
      <c r="H3" s="7">
        <v>0.7</v>
      </c>
      <c r="I3" s="7">
        <v>0.7</v>
      </c>
      <c r="J3" s="7">
        <v>0.8</v>
      </c>
      <c r="K3" s="7">
        <v>0.8</v>
      </c>
      <c r="L3" s="7">
        <v>1.2</v>
      </c>
      <c r="M3" s="7">
        <v>1.5</v>
      </c>
      <c r="P3" s="7">
        <f>D3+E3+F3+J3+K3+L3</f>
        <v>5.4</v>
      </c>
      <c r="Q3" s="7">
        <f>B3+C3+M3</f>
        <v>4.5999999999999996</v>
      </c>
      <c r="R3" s="7">
        <f>G3+H3+I3</f>
        <v>1.9999999999999998</v>
      </c>
      <c r="T3">
        <f>P3/12</f>
        <v>0.45</v>
      </c>
      <c r="U3">
        <f t="shared" ref="U3" si="1">Q3/12</f>
        <v>0.3833333333333333</v>
      </c>
      <c r="V3">
        <f t="shared" ref="V3" si="2">R3/12</f>
        <v>0.16666666666666666</v>
      </c>
    </row>
    <row r="6" spans="1:22" x14ac:dyDescent="0.25">
      <c r="P6" t="s">
        <v>77</v>
      </c>
      <c r="Q6" t="s">
        <v>78</v>
      </c>
      <c r="R6" t="s">
        <v>79</v>
      </c>
      <c r="S6" t="s">
        <v>80</v>
      </c>
      <c r="T6" t="s">
        <v>81</v>
      </c>
      <c r="U6" t="s">
        <v>82</v>
      </c>
    </row>
    <row r="7" spans="1:22" x14ac:dyDescent="0.25">
      <c r="O7" t="s">
        <v>91</v>
      </c>
      <c r="P7" s="4">
        <f>(T2/3)*2</f>
        <v>0.30555555555555552</v>
      </c>
      <c r="Q7" s="4">
        <f>T2/3</f>
        <v>0.15277777777777776</v>
      </c>
      <c r="R7" s="4">
        <f>(U2/3)*2</f>
        <v>0.18333333333333335</v>
      </c>
      <c r="S7" s="4">
        <f>U2/3</f>
        <v>9.1666666666666674E-2</v>
      </c>
      <c r="T7" s="4">
        <f>(V2/3)*2</f>
        <v>0.17777777777777778</v>
      </c>
      <c r="U7" s="4">
        <f>V2/3</f>
        <v>8.8888888888888892E-2</v>
      </c>
    </row>
    <row r="8" spans="1:22" x14ac:dyDescent="0.25">
      <c r="O8" t="s">
        <v>89</v>
      </c>
      <c r="P8" s="4">
        <f>(T3/3)*2</f>
        <v>0.3</v>
      </c>
      <c r="Q8" s="4">
        <f>T3/3</f>
        <v>0.15</v>
      </c>
      <c r="R8" s="4">
        <f>(U3/3)*2</f>
        <v>0.25555555555555554</v>
      </c>
      <c r="S8" s="4">
        <f>U3/3</f>
        <v>0.12777777777777777</v>
      </c>
      <c r="T8" s="4">
        <f>(V3/3)*2</f>
        <v>0.1111111111111111</v>
      </c>
      <c r="U8" s="4">
        <f>V3/3</f>
        <v>5.5555555555555552E-2</v>
      </c>
    </row>
    <row r="9" spans="1:22" x14ac:dyDescent="0.25">
      <c r="O9" t="s">
        <v>90</v>
      </c>
      <c r="P9">
        <v>0.3</v>
      </c>
      <c r="Q9">
        <v>0.15</v>
      </c>
      <c r="R9">
        <v>0.25</v>
      </c>
      <c r="S9">
        <v>0.13</v>
      </c>
      <c r="T9">
        <v>0.11</v>
      </c>
      <c r="U9">
        <v>0.06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Z28"/>
  <sheetViews>
    <sheetView tabSelected="1" topLeftCell="A7" zoomScaleNormal="100" workbookViewId="0">
      <selection activeCell="Z33" sqref="Z33"/>
    </sheetView>
  </sheetViews>
  <sheetFormatPr defaultRowHeight="15" x14ac:dyDescent="0.25"/>
  <cols>
    <col min="3" max="3" width="11.28515625" bestFit="1" customWidth="1"/>
    <col min="5" max="5" width="10.28515625" customWidth="1"/>
  </cols>
  <sheetData>
    <row r="2" spans="1:22" x14ac:dyDescent="0.2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</row>
    <row r="3" spans="1:22" x14ac:dyDescent="0.25">
      <c r="A3" t="s">
        <v>89</v>
      </c>
      <c r="B3">
        <v>1066.2104880000002</v>
      </c>
      <c r="C3">
        <v>1081.6834985150761</v>
      </c>
      <c r="D3">
        <v>1097.4128670041182</v>
      </c>
      <c r="E3">
        <v>1113.403266660393</v>
      </c>
      <c r="F3">
        <v>1129.6594609814483</v>
      </c>
      <c r="G3">
        <f>G10-G4</f>
        <v>1107.7890643354228</v>
      </c>
      <c r="H3">
        <f t="shared" ref="H3:V3" si="0">H10-H4</f>
        <v>1124.0286268595348</v>
      </c>
      <c r="I3">
        <f t="shared" si="0"/>
        <v>1140.539432966423</v>
      </c>
      <c r="J3">
        <f t="shared" si="0"/>
        <v>1157.3264534764587</v>
      </c>
      <c r="K3">
        <f t="shared" si="0"/>
        <v>1174.3947555635634</v>
      </c>
      <c r="L3">
        <f t="shared" si="0"/>
        <v>1150.4420981568649</v>
      </c>
      <c r="M3">
        <f t="shared" si="0"/>
        <v>1167.4769133745842</v>
      </c>
      <c r="N3">
        <f t="shared" si="0"/>
        <v>1184.798512122655</v>
      </c>
      <c r="O3">
        <f t="shared" si="0"/>
        <v>1202.4121769819149</v>
      </c>
      <c r="P3">
        <f t="shared" si="0"/>
        <v>1220.3232932350522</v>
      </c>
      <c r="Q3">
        <f t="shared" si="0"/>
        <v>1238.5373509241467</v>
      </c>
      <c r="R3">
        <f t="shared" si="0"/>
        <v>1257.0599469501208</v>
      </c>
      <c r="S3">
        <f t="shared" si="0"/>
        <v>1275.8967872149594</v>
      </c>
      <c r="T3">
        <f t="shared" si="0"/>
        <v>1295.0536888075815</v>
      </c>
      <c r="U3">
        <f t="shared" si="0"/>
        <v>1314.536582234261</v>
      </c>
      <c r="V3">
        <f t="shared" si="0"/>
        <v>1334.3515136945102</v>
      </c>
    </row>
    <row r="4" spans="1:22" x14ac:dyDescent="0.2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f>G10*0.0335</f>
        <v>38.397241236664946</v>
      </c>
      <c r="H4">
        <f t="shared" ref="H4:K4" si="1">H10*0.0335</f>
        <v>38.960123124463962</v>
      </c>
      <c r="I4">
        <f t="shared" si="1"/>
        <v>39.532406626358167</v>
      </c>
      <c r="J4">
        <f t="shared" si="1"/>
        <v>40.1142640366905</v>
      </c>
      <c r="K4">
        <f t="shared" si="1"/>
        <v>40.705870989528584</v>
      </c>
      <c r="L4">
        <f>L10*0.067</f>
        <v>82.614813050921697</v>
      </c>
      <c r="M4">
        <f t="shared" ref="M4:V4" si="2">M10*0.067</f>
        <v>83.838106319503908</v>
      </c>
      <c r="N4">
        <f t="shared" si="2"/>
        <v>85.081993903770524</v>
      </c>
      <c r="O4">
        <f t="shared" si="2"/>
        <v>86.346855153042114</v>
      </c>
      <c r="P4">
        <f t="shared" si="2"/>
        <v>87.633076791799041</v>
      </c>
      <c r="Q4">
        <f t="shared" si="2"/>
        <v>88.941053067436059</v>
      </c>
      <c r="R4">
        <f t="shared" si="2"/>
        <v>90.271185901026897</v>
      </c>
      <c r="S4">
        <f t="shared" si="2"/>
        <v>91.623885041160008</v>
      </c>
      <c r="T4">
        <f t="shared" si="2"/>
        <v>92.99956822090887</v>
      </c>
      <c r="U4">
        <f t="shared" si="2"/>
        <v>94.398661318001601</v>
      </c>
      <c r="V4">
        <f t="shared" si="2"/>
        <v>95.8215985182553</v>
      </c>
    </row>
    <row r="5" spans="1:22" x14ac:dyDescent="0.25">
      <c r="A5" t="s">
        <v>91</v>
      </c>
      <c r="B5">
        <v>936.46</v>
      </c>
      <c r="C5">
        <v>972.98194000000001</v>
      </c>
      <c r="D5">
        <v>1010.9282356599999</v>
      </c>
      <c r="E5">
        <v>1050.3544368507398</v>
      </c>
      <c r="F5">
        <v>1091.3182598879187</v>
      </c>
      <c r="G5">
        <v>1133.8796720235473</v>
      </c>
      <c r="H5">
        <v>1174.6993402163951</v>
      </c>
      <c r="I5">
        <v>1216.9885164641853</v>
      </c>
      <c r="J5">
        <v>1260.800103056896</v>
      </c>
      <c r="K5">
        <v>1306.1889067669442</v>
      </c>
      <c r="L5">
        <v>1353.2117074105543</v>
      </c>
      <c r="M5">
        <v>1392.4548469254603</v>
      </c>
      <c r="N5">
        <v>1432.8360374862984</v>
      </c>
      <c r="O5">
        <v>1474.3882825734011</v>
      </c>
      <c r="P5">
        <v>1517.1455427680296</v>
      </c>
      <c r="Q5">
        <v>1561.1427635083023</v>
      </c>
      <c r="R5">
        <v>1609.5381891770596</v>
      </c>
      <c r="S5">
        <v>1659.4338730415484</v>
      </c>
      <c r="T5">
        <v>1710.8763231058363</v>
      </c>
      <c r="U5">
        <v>1763.913489122117</v>
      </c>
      <c r="V5">
        <v>1818.5948072849023</v>
      </c>
    </row>
    <row r="9" spans="1:22" x14ac:dyDescent="0.25">
      <c r="B9">
        <v>2020</v>
      </c>
      <c r="C9">
        <v>2021</v>
      </c>
      <c r="D9">
        <v>2022</v>
      </c>
      <c r="E9">
        <v>2023</v>
      </c>
      <c r="F9">
        <v>2024</v>
      </c>
      <c r="G9">
        <v>2025</v>
      </c>
      <c r="H9">
        <v>2026</v>
      </c>
      <c r="I9">
        <v>2027</v>
      </c>
      <c r="J9">
        <v>2028</v>
      </c>
      <c r="K9">
        <v>2029</v>
      </c>
      <c r="L9">
        <v>2030</v>
      </c>
      <c r="M9">
        <v>2031</v>
      </c>
      <c r="N9">
        <v>2032</v>
      </c>
      <c r="O9">
        <v>2033</v>
      </c>
      <c r="P9">
        <v>2034</v>
      </c>
      <c r="Q9">
        <v>2035</v>
      </c>
      <c r="R9">
        <v>2036</v>
      </c>
      <c r="S9">
        <v>2037</v>
      </c>
      <c r="T9">
        <v>2038</v>
      </c>
      <c r="U9">
        <v>2039</v>
      </c>
      <c r="V9">
        <v>2040</v>
      </c>
    </row>
    <row r="10" spans="1:22" x14ac:dyDescent="0.25">
      <c r="A10" t="s">
        <v>93</v>
      </c>
      <c r="B10">
        <v>1066.2104880000002</v>
      </c>
      <c r="C10">
        <v>1081.6834985150761</v>
      </c>
      <c r="D10">
        <v>1097.4128670041182</v>
      </c>
      <c r="E10">
        <v>1113.403266660393</v>
      </c>
      <c r="F10">
        <v>1129.6594609814483</v>
      </c>
      <c r="G10">
        <v>1146.1863055720878</v>
      </c>
      <c r="H10">
        <v>1162.9887499839988</v>
      </c>
      <c r="I10">
        <v>1180.0718395927811</v>
      </c>
      <c r="J10">
        <v>1197.4407175131491</v>
      </c>
      <c r="K10">
        <v>1215.1006265530921</v>
      </c>
      <c r="L10">
        <v>1233.0569112077865</v>
      </c>
      <c r="M10">
        <v>1251.3150196940881</v>
      </c>
      <c r="N10">
        <v>1269.8805060264256</v>
      </c>
      <c r="O10">
        <v>1288.7590321349569</v>
      </c>
      <c r="P10">
        <v>1307.9563700268513</v>
      </c>
      <c r="Q10">
        <v>1327.4784039915828</v>
      </c>
      <c r="R10">
        <v>1347.3311328511477</v>
      </c>
      <c r="S10">
        <v>1367.5206722561195</v>
      </c>
      <c r="T10">
        <v>1388.0532570284904</v>
      </c>
      <c r="U10">
        <v>1408.9352435522626</v>
      </c>
      <c r="V10">
        <v>1430.1731122127655</v>
      </c>
    </row>
    <row r="11" spans="1:22" x14ac:dyDescent="0.25">
      <c r="A11" t="s">
        <v>94</v>
      </c>
      <c r="B11">
        <v>936.46</v>
      </c>
      <c r="C11">
        <f>B11*1.039</f>
        <v>972.98194000000001</v>
      </c>
      <c r="D11">
        <f t="shared" ref="D11:G11" si="3">C11*1.039</f>
        <v>1010.9282356599999</v>
      </c>
      <c r="E11">
        <f t="shared" si="3"/>
        <v>1050.3544368507398</v>
      </c>
      <c r="F11">
        <f t="shared" si="3"/>
        <v>1091.3182598879187</v>
      </c>
      <c r="G11">
        <f t="shared" si="3"/>
        <v>1133.8796720235473</v>
      </c>
      <c r="H11">
        <f>G11*1.036</f>
        <v>1174.6993402163951</v>
      </c>
      <c r="I11">
        <f t="shared" ref="I11:L11" si="4">H11*1.036</f>
        <v>1216.9885164641853</v>
      </c>
      <c r="J11">
        <f t="shared" si="4"/>
        <v>1260.800103056896</v>
      </c>
      <c r="K11">
        <f t="shared" si="4"/>
        <v>1306.1889067669442</v>
      </c>
      <c r="L11">
        <f t="shared" si="4"/>
        <v>1353.2117074105543</v>
      </c>
      <c r="M11">
        <f>L11*1.029</f>
        <v>1392.4548469254603</v>
      </c>
      <c r="N11">
        <f t="shared" ref="N11:Q11" si="5">M11*1.029</f>
        <v>1432.8360374862984</v>
      </c>
      <c r="O11">
        <f t="shared" si="5"/>
        <v>1474.3882825734011</v>
      </c>
      <c r="P11">
        <f t="shared" si="5"/>
        <v>1517.1455427680296</v>
      </c>
      <c r="Q11">
        <f t="shared" si="5"/>
        <v>1561.1427635083023</v>
      </c>
      <c r="R11">
        <f>Q11*1.031</f>
        <v>1609.5381891770596</v>
      </c>
      <c r="S11">
        <f t="shared" ref="S11:V11" si="6">R11*1.031</f>
        <v>1659.4338730415484</v>
      </c>
      <c r="T11">
        <f t="shared" si="6"/>
        <v>1710.8763231058363</v>
      </c>
      <c r="U11">
        <f t="shared" si="6"/>
        <v>1763.913489122117</v>
      </c>
      <c r="V11">
        <f t="shared" si="6"/>
        <v>1818.5948072849023</v>
      </c>
    </row>
    <row r="20" spans="3:26" x14ac:dyDescent="0.25">
      <c r="D20" t="s">
        <v>98</v>
      </c>
      <c r="F20" t="s">
        <v>99</v>
      </c>
      <c r="G20">
        <v>2021</v>
      </c>
      <c r="H20">
        <v>2022</v>
      </c>
      <c r="I20">
        <v>2023</v>
      </c>
      <c r="J20">
        <v>2024</v>
      </c>
      <c r="K20">
        <v>2025</v>
      </c>
      <c r="L20">
        <v>2026</v>
      </c>
      <c r="M20">
        <v>2027</v>
      </c>
      <c r="N20">
        <v>2028</v>
      </c>
      <c r="O20">
        <v>2029</v>
      </c>
      <c r="P20">
        <v>2030</v>
      </c>
      <c r="Q20">
        <v>2031</v>
      </c>
      <c r="R20">
        <v>2032</v>
      </c>
      <c r="S20">
        <v>2033</v>
      </c>
      <c r="T20">
        <v>2034</v>
      </c>
      <c r="U20">
        <v>2035</v>
      </c>
      <c r="V20">
        <v>2036</v>
      </c>
      <c r="W20">
        <v>2037</v>
      </c>
      <c r="X20">
        <v>2038</v>
      </c>
      <c r="Y20">
        <v>2039</v>
      </c>
      <c r="Z20">
        <v>2040</v>
      </c>
    </row>
    <row r="21" spans="3:26" x14ac:dyDescent="0.25">
      <c r="C21" t="s">
        <v>95</v>
      </c>
      <c r="D21" s="4">
        <v>9047</v>
      </c>
      <c r="E21" s="10">
        <v>4.1868000000000002E-2</v>
      </c>
      <c r="F21">
        <f>D21*E21</f>
        <v>378.77979600000003</v>
      </c>
      <c r="G21">
        <f>F21*1.021038</f>
        <v>386.74856534824801</v>
      </c>
      <c r="H21">
        <f t="shared" ref="H21:Z21" si="7">G21*1.021038</f>
        <v>394.88498166604438</v>
      </c>
      <c r="I21">
        <f t="shared" si="7"/>
        <v>403.19257191033461</v>
      </c>
      <c r="J21">
        <f t="shared" si="7"/>
        <v>411.67493723818416</v>
      </c>
      <c r="K21">
        <f t="shared" si="7"/>
        <v>420.33575456780102</v>
      </c>
      <c r="L21">
        <f t="shared" si="7"/>
        <v>429.17877817239838</v>
      </c>
      <c r="M21">
        <f t="shared" si="7"/>
        <v>438.20784130758926</v>
      </c>
      <c r="N21">
        <f t="shared" si="7"/>
        <v>447.42685787301826</v>
      </c>
      <c r="O21">
        <f t="shared" si="7"/>
        <v>456.83982410895078</v>
      </c>
      <c r="P21">
        <f t="shared" si="7"/>
        <v>466.45082032855481</v>
      </c>
      <c r="Q21">
        <f t="shared" si="7"/>
        <v>476.26401268662687</v>
      </c>
      <c r="R21">
        <f t="shared" si="7"/>
        <v>486.28365498552807</v>
      </c>
      <c r="S21">
        <f t="shared" si="7"/>
        <v>496.51409051911355</v>
      </c>
      <c r="T21">
        <f t="shared" si="7"/>
        <v>506.95975395545463</v>
      </c>
      <c r="U21">
        <f t="shared" si="7"/>
        <v>517.6251732591694</v>
      </c>
      <c r="V21">
        <f t="shared" si="7"/>
        <v>528.51497165419573</v>
      </c>
      <c r="W21">
        <f t="shared" si="7"/>
        <v>539.6338696278566</v>
      </c>
      <c r="X21">
        <f t="shared" si="7"/>
        <v>550.9866869770874</v>
      </c>
      <c r="Y21">
        <f t="shared" si="7"/>
        <v>562.5783448977113</v>
      </c>
      <c r="Z21">
        <f t="shared" si="7"/>
        <v>574.41386811766927</v>
      </c>
    </row>
    <row r="22" spans="3:26" x14ac:dyDescent="0.25">
      <c r="C22" t="s">
        <v>96</v>
      </c>
      <c r="D22" s="4">
        <v>12881</v>
      </c>
      <c r="E22" s="10">
        <v>4.1868000000000002E-2</v>
      </c>
      <c r="F22">
        <f t="shared" ref="F22:F23" si="8">D22*E22</f>
        <v>539.30170800000008</v>
      </c>
      <c r="G22">
        <f>F22*1.009269</f>
        <v>544.30049553145204</v>
      </c>
      <c r="H22">
        <f t="shared" ref="H22:Z22" si="9">G22*1.009269</f>
        <v>549.34561682453307</v>
      </c>
      <c r="I22">
        <f t="shared" si="9"/>
        <v>554.43750134687969</v>
      </c>
      <c r="J22">
        <f t="shared" si="9"/>
        <v>559.57658254686385</v>
      </c>
      <c r="K22">
        <f t="shared" si="9"/>
        <v>564.76329789049066</v>
      </c>
      <c r="L22">
        <f t="shared" si="9"/>
        <v>569.99808889863755</v>
      </c>
      <c r="M22">
        <f t="shared" si="9"/>
        <v>575.28140118463898</v>
      </c>
      <c r="N22">
        <f t="shared" si="9"/>
        <v>580.61368449221936</v>
      </c>
      <c r="O22">
        <f t="shared" si="9"/>
        <v>585.99539273377775</v>
      </c>
      <c r="P22">
        <f t="shared" si="9"/>
        <v>591.42698402902715</v>
      </c>
      <c r="Q22">
        <f t="shared" si="9"/>
        <v>596.90892074399221</v>
      </c>
      <c r="R22">
        <f t="shared" si="9"/>
        <v>602.44166953036824</v>
      </c>
      <c r="S22">
        <f t="shared" si="9"/>
        <v>608.02570136524525</v>
      </c>
      <c r="T22">
        <f t="shared" si="9"/>
        <v>613.66149159119971</v>
      </c>
      <c r="U22">
        <f t="shared" si="9"/>
        <v>619.34951995675851</v>
      </c>
      <c r="V22">
        <f t="shared" si="9"/>
        <v>625.09027065723774</v>
      </c>
      <c r="W22">
        <f t="shared" si="9"/>
        <v>630.88423237595964</v>
      </c>
      <c r="X22">
        <f t="shared" si="9"/>
        <v>636.7318983258524</v>
      </c>
      <c r="Y22">
        <f t="shared" si="9"/>
        <v>642.63376629143465</v>
      </c>
      <c r="Z22">
        <f t="shared" si="9"/>
        <v>648.5903386711899</v>
      </c>
    </row>
    <row r="23" spans="3:26" x14ac:dyDescent="0.25">
      <c r="C23" t="s">
        <v>97</v>
      </c>
      <c r="D23" s="4">
        <v>3538</v>
      </c>
      <c r="E23" s="10">
        <v>4.1868000000000002E-2</v>
      </c>
      <c r="F23">
        <f t="shared" si="8"/>
        <v>148.128984</v>
      </c>
      <c r="G23">
        <f>F23*1.016914</f>
        <v>150.63443763537603</v>
      </c>
      <c r="H23">
        <f t="shared" ref="H23:Z23" si="10">G23*1.016914</f>
        <v>153.18226851354081</v>
      </c>
      <c r="I23">
        <f t="shared" si="10"/>
        <v>155.77319340317885</v>
      </c>
      <c r="J23">
        <f t="shared" si="10"/>
        <v>158.40794119640023</v>
      </c>
      <c r="K23">
        <f t="shared" si="10"/>
        <v>161.08725311379615</v>
      </c>
      <c r="L23">
        <f t="shared" si="10"/>
        <v>163.81188291296291</v>
      </c>
      <c r="M23">
        <f t="shared" si="10"/>
        <v>166.58259710055279</v>
      </c>
      <c r="N23">
        <f t="shared" si="10"/>
        <v>169.40017514791157</v>
      </c>
      <c r="O23">
        <f t="shared" si="10"/>
        <v>172.26540971036337</v>
      </c>
      <c r="P23">
        <f t="shared" si="10"/>
        <v>175.17910685020448</v>
      </c>
      <c r="Q23">
        <f t="shared" si="10"/>
        <v>178.14208626346885</v>
      </c>
      <c r="R23">
        <f t="shared" si="10"/>
        <v>181.15518151052919</v>
      </c>
      <c r="S23">
        <f t="shared" si="10"/>
        <v>184.21924025059829</v>
      </c>
      <c r="T23">
        <f t="shared" si="10"/>
        <v>187.33512448019692</v>
      </c>
      <c r="U23">
        <f t="shared" si="10"/>
        <v>190.50371077565498</v>
      </c>
      <c r="V23">
        <f t="shared" si="10"/>
        <v>193.72589053971441</v>
      </c>
      <c r="W23">
        <f t="shared" si="10"/>
        <v>197.00257025230317</v>
      </c>
      <c r="X23">
        <f t="shared" si="10"/>
        <v>200.33467172555063</v>
      </c>
      <c r="Y23">
        <f t="shared" si="10"/>
        <v>203.7231323631166</v>
      </c>
      <c r="Z23">
        <f t="shared" si="10"/>
        <v>207.16890542390638</v>
      </c>
    </row>
    <row r="24" spans="3:26" x14ac:dyDescent="0.25">
      <c r="F24">
        <f>SUM(F21:F23)</f>
        <v>1066.2104880000002</v>
      </c>
      <c r="G24">
        <f t="shared" ref="G24:Z24" si="11">SUM(G21:G23)</f>
        <v>1081.6834985150761</v>
      </c>
      <c r="H24">
        <f t="shared" si="11"/>
        <v>1097.4128670041182</v>
      </c>
      <c r="I24">
        <f t="shared" si="11"/>
        <v>1113.403266660393</v>
      </c>
      <c r="J24">
        <f t="shared" si="11"/>
        <v>1129.6594609814483</v>
      </c>
      <c r="K24">
        <f t="shared" si="11"/>
        <v>1146.1863055720878</v>
      </c>
      <c r="L24">
        <f t="shared" si="11"/>
        <v>1162.9887499839988</v>
      </c>
      <c r="M24">
        <f t="shared" si="11"/>
        <v>1180.0718395927811</v>
      </c>
      <c r="N24">
        <f t="shared" si="11"/>
        <v>1197.4407175131491</v>
      </c>
      <c r="O24">
        <f t="shared" si="11"/>
        <v>1215.1006265530921</v>
      </c>
      <c r="P24">
        <f t="shared" si="11"/>
        <v>1233.0569112077865</v>
      </c>
      <c r="Q24">
        <f t="shared" si="11"/>
        <v>1251.3150196940881</v>
      </c>
      <c r="R24">
        <f t="shared" si="11"/>
        <v>1269.8805060264256</v>
      </c>
      <c r="S24">
        <f t="shared" si="11"/>
        <v>1288.7590321349569</v>
      </c>
      <c r="T24">
        <f t="shared" si="11"/>
        <v>1307.9563700268513</v>
      </c>
      <c r="U24">
        <f t="shared" si="11"/>
        <v>1327.4784039915828</v>
      </c>
      <c r="V24">
        <f t="shared" si="11"/>
        <v>1347.3311328511477</v>
      </c>
      <c r="W24">
        <f t="shared" si="11"/>
        <v>1367.5206722561195</v>
      </c>
      <c r="X24">
        <f t="shared" si="11"/>
        <v>1388.0532570284904</v>
      </c>
      <c r="Y24">
        <f t="shared" si="11"/>
        <v>1408.9352435522626</v>
      </c>
      <c r="Z24">
        <f t="shared" si="11"/>
        <v>1430.1731122127655</v>
      </c>
    </row>
    <row r="26" spans="3:26" x14ac:dyDescent="0.25">
      <c r="C26" t="s">
        <v>96</v>
      </c>
      <c r="D26">
        <v>9.268895107790831E-3</v>
      </c>
    </row>
    <row r="27" spans="3:26" x14ac:dyDescent="0.25">
      <c r="C27" t="s">
        <v>97</v>
      </c>
      <c r="D27">
        <v>1.6913855767301422E-2</v>
      </c>
    </row>
    <row r="28" spans="3:26" x14ac:dyDescent="0.25">
      <c r="C28" t="s">
        <v>95</v>
      </c>
      <c r="D28">
        <v>2.1037947073974772E-2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19"/>
  <sheetViews>
    <sheetView workbookViewId="0">
      <selection activeCell="C5" sqref="C5"/>
    </sheetView>
  </sheetViews>
  <sheetFormatPr defaultRowHeight="15" x14ac:dyDescent="0.25"/>
  <sheetData>
    <row r="1" spans="1:33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25">
      <c r="A2" t="s">
        <v>34</v>
      </c>
    </row>
    <row r="3" spans="1:33" x14ac:dyDescent="0.25">
      <c r="A3" s="6" t="s">
        <v>35</v>
      </c>
      <c r="B3">
        <f>1/0.3388</f>
        <v>2.95159386068477</v>
      </c>
      <c r="C3">
        <f t="shared" ref="C3:K3" si="0">1/0.3388</f>
        <v>2.95159386068477</v>
      </c>
      <c r="D3">
        <f t="shared" si="0"/>
        <v>2.95159386068477</v>
      </c>
      <c r="E3">
        <f t="shared" si="0"/>
        <v>2.95159386068477</v>
      </c>
      <c r="F3">
        <f t="shared" si="0"/>
        <v>2.95159386068477</v>
      </c>
      <c r="G3">
        <f t="shared" si="0"/>
        <v>2.95159386068477</v>
      </c>
      <c r="H3">
        <f t="shared" si="0"/>
        <v>2.95159386068477</v>
      </c>
      <c r="I3">
        <f t="shared" si="0"/>
        <v>2.95159386068477</v>
      </c>
      <c r="J3">
        <f t="shared" si="0"/>
        <v>2.95159386068477</v>
      </c>
      <c r="K3">
        <f t="shared" si="0"/>
        <v>2.95159386068477</v>
      </c>
      <c r="L3">
        <f>1/0.35</f>
        <v>2.8571428571428572</v>
      </c>
      <c r="M3">
        <f t="shared" ref="M3:U3" si="1">1/0.35</f>
        <v>2.8571428571428572</v>
      </c>
      <c r="N3">
        <f t="shared" si="1"/>
        <v>2.8571428571428572</v>
      </c>
      <c r="O3">
        <f t="shared" si="1"/>
        <v>2.8571428571428572</v>
      </c>
      <c r="P3">
        <f t="shared" si="1"/>
        <v>2.8571428571428572</v>
      </c>
      <c r="Q3">
        <f t="shared" si="1"/>
        <v>2.8571428571428572</v>
      </c>
      <c r="R3">
        <f t="shared" si="1"/>
        <v>2.8571428571428572</v>
      </c>
      <c r="S3">
        <f t="shared" si="1"/>
        <v>2.8571428571428572</v>
      </c>
      <c r="T3">
        <f t="shared" si="1"/>
        <v>2.8571428571428572</v>
      </c>
      <c r="U3">
        <f t="shared" si="1"/>
        <v>2.8571428571428572</v>
      </c>
      <c r="V3">
        <f>1/0.37</f>
        <v>2.7027027027027026</v>
      </c>
      <c r="W3">
        <f t="shared" ref="W3:AF3" si="2">1/0.37</f>
        <v>2.7027027027027026</v>
      </c>
      <c r="X3">
        <f t="shared" si="2"/>
        <v>2.7027027027027026</v>
      </c>
      <c r="Y3">
        <f t="shared" si="2"/>
        <v>2.7027027027027026</v>
      </c>
      <c r="Z3">
        <f t="shared" si="2"/>
        <v>2.7027027027027026</v>
      </c>
      <c r="AA3">
        <f t="shared" si="2"/>
        <v>2.7027027027027026</v>
      </c>
      <c r="AB3">
        <f t="shared" si="2"/>
        <v>2.7027027027027026</v>
      </c>
      <c r="AC3">
        <f t="shared" si="2"/>
        <v>2.7027027027027026</v>
      </c>
      <c r="AD3">
        <f t="shared" si="2"/>
        <v>2.7027027027027026</v>
      </c>
      <c r="AE3">
        <f t="shared" si="2"/>
        <v>2.7027027027027026</v>
      </c>
      <c r="AF3">
        <f t="shared" si="2"/>
        <v>2.7027027027027026</v>
      </c>
    </row>
    <row r="4" spans="1:33" x14ac:dyDescent="0.25">
      <c r="A4" t="s">
        <v>36</v>
      </c>
    </row>
    <row r="5" spans="1:33" x14ac:dyDescent="0.25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3" x14ac:dyDescent="0.25">
      <c r="A6" s="6" t="s">
        <v>38</v>
      </c>
      <c r="B6">
        <f>1/0.45</f>
        <v>2.2222222222222223</v>
      </c>
      <c r="C6">
        <f t="shared" ref="C6:K6" si="3">1/0.45</f>
        <v>2.2222222222222223</v>
      </c>
      <c r="D6">
        <f t="shared" si="3"/>
        <v>2.2222222222222223</v>
      </c>
      <c r="E6">
        <f t="shared" si="3"/>
        <v>2.2222222222222223</v>
      </c>
      <c r="F6">
        <f t="shared" si="3"/>
        <v>2.2222222222222223</v>
      </c>
      <c r="G6">
        <f t="shared" si="3"/>
        <v>2.2222222222222223</v>
      </c>
      <c r="H6">
        <f t="shared" si="3"/>
        <v>2.2222222222222223</v>
      </c>
      <c r="I6">
        <f t="shared" si="3"/>
        <v>2.2222222222222223</v>
      </c>
      <c r="J6">
        <f t="shared" si="3"/>
        <v>2.2222222222222223</v>
      </c>
      <c r="K6">
        <f t="shared" si="3"/>
        <v>2.2222222222222223</v>
      </c>
      <c r="L6">
        <f>1/0.46</f>
        <v>2.1739130434782608</v>
      </c>
      <c r="M6">
        <f t="shared" ref="M6:U6" si="4">1/0.46</f>
        <v>2.1739130434782608</v>
      </c>
      <c r="N6">
        <f t="shared" si="4"/>
        <v>2.1739130434782608</v>
      </c>
      <c r="O6">
        <f t="shared" si="4"/>
        <v>2.1739130434782608</v>
      </c>
      <c r="P6">
        <f t="shared" si="4"/>
        <v>2.1739130434782608</v>
      </c>
      <c r="Q6">
        <f t="shared" si="4"/>
        <v>2.1739130434782608</v>
      </c>
      <c r="R6">
        <f t="shared" si="4"/>
        <v>2.1739130434782608</v>
      </c>
      <c r="S6">
        <f t="shared" si="4"/>
        <v>2.1739130434782608</v>
      </c>
      <c r="T6">
        <f t="shared" si="4"/>
        <v>2.1739130434782608</v>
      </c>
      <c r="U6">
        <f t="shared" si="4"/>
        <v>2.1739130434782608</v>
      </c>
      <c r="V6">
        <f>1/0.48</f>
        <v>2.0833333333333335</v>
      </c>
      <c r="W6">
        <f t="shared" ref="W6:AF6" si="5">1/0.48</f>
        <v>2.0833333333333335</v>
      </c>
      <c r="X6">
        <f t="shared" si="5"/>
        <v>2.0833333333333335</v>
      </c>
      <c r="Y6">
        <f t="shared" si="5"/>
        <v>2.0833333333333335</v>
      </c>
      <c r="Z6">
        <f t="shared" si="5"/>
        <v>2.0833333333333335</v>
      </c>
      <c r="AA6">
        <f t="shared" si="5"/>
        <v>2.0833333333333335</v>
      </c>
      <c r="AB6">
        <f t="shared" si="5"/>
        <v>2.0833333333333335</v>
      </c>
      <c r="AC6">
        <f t="shared" si="5"/>
        <v>2.0833333333333335</v>
      </c>
      <c r="AD6">
        <f t="shared" si="5"/>
        <v>2.0833333333333335</v>
      </c>
      <c r="AE6">
        <f t="shared" si="5"/>
        <v>2.0833333333333335</v>
      </c>
      <c r="AF6">
        <f t="shared" si="5"/>
        <v>2.0833333333333335</v>
      </c>
    </row>
    <row r="7" spans="1:33" x14ac:dyDescent="0.25">
      <c r="A7" s="6" t="s">
        <v>39</v>
      </c>
    </row>
    <row r="8" spans="1:33" x14ac:dyDescent="0.25">
      <c r="A8" s="5" t="s">
        <v>83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3" x14ac:dyDescent="0.25">
      <c r="A9" s="6" t="s">
        <v>40</v>
      </c>
    </row>
    <row r="10" spans="1:33" x14ac:dyDescent="0.25">
      <c r="A10" s="6" t="s">
        <v>41</v>
      </c>
      <c r="B10">
        <f>1/0.33</f>
        <v>3.0303030303030303</v>
      </c>
      <c r="C10">
        <f t="shared" ref="C10:AF10" si="6">1/0.33</f>
        <v>3.0303030303030303</v>
      </c>
      <c r="D10">
        <f t="shared" si="6"/>
        <v>3.0303030303030303</v>
      </c>
      <c r="E10">
        <f t="shared" si="6"/>
        <v>3.0303030303030303</v>
      </c>
      <c r="F10">
        <f t="shared" si="6"/>
        <v>3.0303030303030303</v>
      </c>
      <c r="G10">
        <f t="shared" si="6"/>
        <v>3.0303030303030303</v>
      </c>
      <c r="H10">
        <f t="shared" si="6"/>
        <v>3.0303030303030303</v>
      </c>
      <c r="I10">
        <f t="shared" si="6"/>
        <v>3.0303030303030303</v>
      </c>
      <c r="J10">
        <f t="shared" si="6"/>
        <v>3.0303030303030303</v>
      </c>
      <c r="K10">
        <f t="shared" si="6"/>
        <v>3.0303030303030303</v>
      </c>
      <c r="L10">
        <f t="shared" si="6"/>
        <v>3.0303030303030303</v>
      </c>
      <c r="M10">
        <f t="shared" si="6"/>
        <v>3.0303030303030303</v>
      </c>
      <c r="N10">
        <f t="shared" si="6"/>
        <v>3.0303030303030303</v>
      </c>
      <c r="O10">
        <f t="shared" si="6"/>
        <v>3.0303030303030303</v>
      </c>
      <c r="P10">
        <f t="shared" si="6"/>
        <v>3.0303030303030303</v>
      </c>
      <c r="Q10">
        <f t="shared" si="6"/>
        <v>3.0303030303030303</v>
      </c>
      <c r="R10">
        <f t="shared" si="6"/>
        <v>3.0303030303030303</v>
      </c>
      <c r="S10">
        <f t="shared" si="6"/>
        <v>3.0303030303030303</v>
      </c>
      <c r="T10">
        <f t="shared" si="6"/>
        <v>3.0303030303030303</v>
      </c>
      <c r="U10">
        <f t="shared" si="6"/>
        <v>3.0303030303030303</v>
      </c>
      <c r="V10">
        <f t="shared" si="6"/>
        <v>3.0303030303030303</v>
      </c>
      <c r="W10">
        <f t="shared" si="6"/>
        <v>3.0303030303030303</v>
      </c>
      <c r="X10">
        <f t="shared" si="6"/>
        <v>3.0303030303030303</v>
      </c>
      <c r="Y10">
        <f t="shared" si="6"/>
        <v>3.0303030303030303</v>
      </c>
      <c r="Z10">
        <f t="shared" si="6"/>
        <v>3.0303030303030303</v>
      </c>
      <c r="AA10">
        <f t="shared" si="6"/>
        <v>3.0303030303030303</v>
      </c>
      <c r="AB10">
        <f t="shared" si="6"/>
        <v>3.0303030303030303</v>
      </c>
      <c r="AC10">
        <f t="shared" si="6"/>
        <v>3.0303030303030303</v>
      </c>
      <c r="AD10">
        <f t="shared" si="6"/>
        <v>3.0303030303030303</v>
      </c>
      <c r="AE10">
        <f t="shared" si="6"/>
        <v>3.0303030303030303</v>
      </c>
      <c r="AF10">
        <f t="shared" si="6"/>
        <v>3.0303030303030303</v>
      </c>
    </row>
    <row r="11" spans="1:33" x14ac:dyDescent="0.25">
      <c r="A11" t="s">
        <v>42</v>
      </c>
    </row>
    <row r="12" spans="1:33" x14ac:dyDescent="0.25">
      <c r="A12" t="s">
        <v>43</v>
      </c>
    </row>
    <row r="13" spans="1:33" x14ac:dyDescent="0.25">
      <c r="A13" s="6" t="s">
        <v>44</v>
      </c>
      <c r="B13">
        <f>1/0.51</f>
        <v>1.9607843137254901</v>
      </c>
      <c r="C13">
        <f t="shared" ref="C13:AF13" si="7">1/0.51</f>
        <v>1.9607843137254901</v>
      </c>
      <c r="D13">
        <f t="shared" si="7"/>
        <v>1.9607843137254901</v>
      </c>
      <c r="E13">
        <f t="shared" si="7"/>
        <v>1.9607843137254901</v>
      </c>
      <c r="F13">
        <f t="shared" si="7"/>
        <v>1.9607843137254901</v>
      </c>
      <c r="G13">
        <f t="shared" si="7"/>
        <v>1.9607843137254901</v>
      </c>
      <c r="H13">
        <f t="shared" si="7"/>
        <v>1.9607843137254901</v>
      </c>
      <c r="I13">
        <f t="shared" si="7"/>
        <v>1.9607843137254901</v>
      </c>
      <c r="J13">
        <f t="shared" si="7"/>
        <v>1.9607843137254901</v>
      </c>
      <c r="K13">
        <f t="shared" si="7"/>
        <v>1.9607843137254901</v>
      </c>
      <c r="L13">
        <f t="shared" si="7"/>
        <v>1.9607843137254901</v>
      </c>
      <c r="M13">
        <f t="shared" si="7"/>
        <v>1.9607843137254901</v>
      </c>
      <c r="N13">
        <f t="shared" si="7"/>
        <v>1.9607843137254901</v>
      </c>
      <c r="O13">
        <f t="shared" si="7"/>
        <v>1.9607843137254901</v>
      </c>
      <c r="P13">
        <f t="shared" si="7"/>
        <v>1.9607843137254901</v>
      </c>
      <c r="Q13">
        <f t="shared" si="7"/>
        <v>1.9607843137254901</v>
      </c>
      <c r="R13">
        <f t="shared" si="7"/>
        <v>1.9607843137254901</v>
      </c>
      <c r="S13">
        <f t="shared" si="7"/>
        <v>1.9607843137254901</v>
      </c>
      <c r="T13">
        <f t="shared" si="7"/>
        <v>1.9607843137254901</v>
      </c>
      <c r="U13">
        <f t="shared" si="7"/>
        <v>1.9607843137254901</v>
      </c>
      <c r="V13">
        <f t="shared" si="7"/>
        <v>1.9607843137254901</v>
      </c>
      <c r="W13">
        <f t="shared" si="7"/>
        <v>1.9607843137254901</v>
      </c>
      <c r="X13">
        <f t="shared" si="7"/>
        <v>1.9607843137254901</v>
      </c>
      <c r="Y13">
        <f t="shared" si="7"/>
        <v>1.9607843137254901</v>
      </c>
      <c r="Z13">
        <f t="shared" si="7"/>
        <v>1.9607843137254901</v>
      </c>
      <c r="AA13">
        <f t="shared" si="7"/>
        <v>1.9607843137254901</v>
      </c>
      <c r="AB13">
        <f t="shared" si="7"/>
        <v>1.9607843137254901</v>
      </c>
      <c r="AC13">
        <f t="shared" si="7"/>
        <v>1.9607843137254901</v>
      </c>
      <c r="AD13">
        <f t="shared" si="7"/>
        <v>1.9607843137254901</v>
      </c>
      <c r="AE13">
        <f t="shared" si="7"/>
        <v>1.9607843137254901</v>
      </c>
      <c r="AF13">
        <f t="shared" si="7"/>
        <v>1.9607843137254901</v>
      </c>
    </row>
    <row r="14" spans="1:33" x14ac:dyDescent="0.25">
      <c r="A14" s="6" t="s">
        <v>45</v>
      </c>
      <c r="B14">
        <f>1/0.37</f>
        <v>2.7027027027027026</v>
      </c>
      <c r="C14">
        <f t="shared" ref="C14:AF14" si="8">1/0.37</f>
        <v>2.7027027027027026</v>
      </c>
      <c r="D14">
        <f t="shared" si="8"/>
        <v>2.7027027027027026</v>
      </c>
      <c r="E14">
        <f t="shared" si="8"/>
        <v>2.7027027027027026</v>
      </c>
      <c r="F14">
        <f t="shared" si="8"/>
        <v>2.7027027027027026</v>
      </c>
      <c r="G14">
        <f t="shared" si="8"/>
        <v>2.7027027027027026</v>
      </c>
      <c r="H14">
        <f t="shared" si="8"/>
        <v>2.7027027027027026</v>
      </c>
      <c r="I14">
        <f t="shared" si="8"/>
        <v>2.7027027027027026</v>
      </c>
      <c r="J14">
        <f t="shared" si="8"/>
        <v>2.7027027027027026</v>
      </c>
      <c r="K14">
        <f t="shared" si="8"/>
        <v>2.7027027027027026</v>
      </c>
      <c r="L14">
        <f t="shared" si="8"/>
        <v>2.7027027027027026</v>
      </c>
      <c r="M14">
        <f t="shared" si="8"/>
        <v>2.7027027027027026</v>
      </c>
      <c r="N14">
        <f t="shared" si="8"/>
        <v>2.7027027027027026</v>
      </c>
      <c r="O14">
        <f t="shared" si="8"/>
        <v>2.7027027027027026</v>
      </c>
      <c r="P14">
        <f t="shared" si="8"/>
        <v>2.7027027027027026</v>
      </c>
      <c r="Q14">
        <f t="shared" si="8"/>
        <v>2.7027027027027026</v>
      </c>
      <c r="R14">
        <f t="shared" si="8"/>
        <v>2.7027027027027026</v>
      </c>
      <c r="S14">
        <f t="shared" si="8"/>
        <v>2.7027027027027026</v>
      </c>
      <c r="T14">
        <f t="shared" si="8"/>
        <v>2.7027027027027026</v>
      </c>
      <c r="U14">
        <f t="shared" si="8"/>
        <v>2.7027027027027026</v>
      </c>
      <c r="V14">
        <f t="shared" si="8"/>
        <v>2.7027027027027026</v>
      </c>
      <c r="W14">
        <f t="shared" si="8"/>
        <v>2.7027027027027026</v>
      </c>
      <c r="X14">
        <f t="shared" si="8"/>
        <v>2.7027027027027026</v>
      </c>
      <c r="Y14">
        <f t="shared" si="8"/>
        <v>2.7027027027027026</v>
      </c>
      <c r="Z14">
        <f t="shared" si="8"/>
        <v>2.7027027027027026</v>
      </c>
      <c r="AA14">
        <f t="shared" si="8"/>
        <v>2.7027027027027026</v>
      </c>
      <c r="AB14">
        <f t="shared" si="8"/>
        <v>2.7027027027027026</v>
      </c>
      <c r="AC14">
        <f t="shared" si="8"/>
        <v>2.7027027027027026</v>
      </c>
      <c r="AD14">
        <f t="shared" si="8"/>
        <v>2.7027027027027026</v>
      </c>
      <c r="AE14">
        <f t="shared" si="8"/>
        <v>2.7027027027027026</v>
      </c>
      <c r="AF14">
        <f t="shared" si="8"/>
        <v>2.7027027027027026</v>
      </c>
    </row>
    <row r="15" spans="1:33" x14ac:dyDescent="0.25">
      <c r="A15" s="6" t="s">
        <v>46</v>
      </c>
      <c r="B15">
        <f>1/0.72</f>
        <v>1.3888888888888888</v>
      </c>
      <c r="C15">
        <f t="shared" ref="C15:K15" si="9">1/0.72</f>
        <v>1.3888888888888888</v>
      </c>
      <c r="D15">
        <f t="shared" si="9"/>
        <v>1.3888888888888888</v>
      </c>
      <c r="E15">
        <f t="shared" si="9"/>
        <v>1.3888888888888888</v>
      </c>
      <c r="F15">
        <f t="shared" si="9"/>
        <v>1.3888888888888888</v>
      </c>
      <c r="G15">
        <f t="shared" si="9"/>
        <v>1.3888888888888888</v>
      </c>
      <c r="H15">
        <f t="shared" si="9"/>
        <v>1.3888888888888888</v>
      </c>
      <c r="I15">
        <f t="shared" si="9"/>
        <v>1.3888888888888888</v>
      </c>
      <c r="J15">
        <f t="shared" si="9"/>
        <v>1.3888888888888888</v>
      </c>
      <c r="K15">
        <f t="shared" si="9"/>
        <v>1.3888888888888888</v>
      </c>
      <c r="L15">
        <f>1/0.76</f>
        <v>1.3157894736842106</v>
      </c>
      <c r="M15">
        <f t="shared" ref="M15:U15" si="10">1/0.76</f>
        <v>1.3157894736842106</v>
      </c>
      <c r="N15">
        <f t="shared" si="10"/>
        <v>1.3157894736842106</v>
      </c>
      <c r="O15">
        <f t="shared" si="10"/>
        <v>1.3157894736842106</v>
      </c>
      <c r="P15">
        <f t="shared" si="10"/>
        <v>1.3157894736842106</v>
      </c>
      <c r="Q15">
        <f t="shared" si="10"/>
        <v>1.3157894736842106</v>
      </c>
      <c r="R15">
        <f t="shared" si="10"/>
        <v>1.3157894736842106</v>
      </c>
      <c r="S15">
        <f t="shared" si="10"/>
        <v>1.3157894736842106</v>
      </c>
      <c r="T15">
        <f t="shared" si="10"/>
        <v>1.3157894736842106</v>
      </c>
      <c r="U15">
        <f t="shared" si="10"/>
        <v>1.3157894736842106</v>
      </c>
      <c r="V15">
        <f>1/0.8</f>
        <v>1.25</v>
      </c>
      <c r="W15">
        <f t="shared" ref="W15:AE15" si="11">1/0.8</f>
        <v>1.25</v>
      </c>
      <c r="X15">
        <f t="shared" si="11"/>
        <v>1.25</v>
      </c>
      <c r="Y15">
        <f t="shared" si="11"/>
        <v>1.25</v>
      </c>
      <c r="Z15">
        <f t="shared" si="11"/>
        <v>1.25</v>
      </c>
      <c r="AA15">
        <f t="shared" si="11"/>
        <v>1.25</v>
      </c>
      <c r="AB15">
        <f t="shared" si="11"/>
        <v>1.25</v>
      </c>
      <c r="AC15">
        <f t="shared" si="11"/>
        <v>1.25</v>
      </c>
      <c r="AD15">
        <f t="shared" si="11"/>
        <v>1.25</v>
      </c>
      <c r="AE15">
        <f t="shared" si="11"/>
        <v>1.25</v>
      </c>
      <c r="AF15">
        <f>1/0.82</f>
        <v>1.2195121951219512</v>
      </c>
      <c r="AG15" t="s">
        <v>84</v>
      </c>
    </row>
    <row r="16" spans="1:33" x14ac:dyDescent="0.25">
      <c r="A16" s="5" t="s">
        <v>47</v>
      </c>
    </row>
    <row r="17" spans="1:32" x14ac:dyDescent="0.25">
      <c r="A17" s="6" t="s">
        <v>48</v>
      </c>
      <c r="B17">
        <f>1/0.855</f>
        <v>1.1695906432748537</v>
      </c>
      <c r="C17">
        <f t="shared" ref="C17:AF17" si="12">1/0.855</f>
        <v>1.1695906432748537</v>
      </c>
      <c r="D17">
        <f t="shared" si="12"/>
        <v>1.1695906432748537</v>
      </c>
      <c r="E17">
        <f t="shared" si="12"/>
        <v>1.1695906432748537</v>
      </c>
      <c r="F17">
        <f t="shared" si="12"/>
        <v>1.1695906432748537</v>
      </c>
      <c r="G17">
        <f t="shared" si="12"/>
        <v>1.1695906432748537</v>
      </c>
      <c r="H17">
        <f t="shared" si="12"/>
        <v>1.1695906432748537</v>
      </c>
      <c r="I17">
        <f t="shared" si="12"/>
        <v>1.1695906432748537</v>
      </c>
      <c r="J17">
        <f t="shared" si="12"/>
        <v>1.1695906432748537</v>
      </c>
      <c r="K17">
        <f t="shared" si="12"/>
        <v>1.1695906432748537</v>
      </c>
      <c r="L17">
        <f t="shared" si="12"/>
        <v>1.1695906432748537</v>
      </c>
      <c r="M17">
        <f t="shared" si="12"/>
        <v>1.1695906432748537</v>
      </c>
      <c r="N17">
        <f t="shared" si="12"/>
        <v>1.1695906432748537</v>
      </c>
      <c r="O17">
        <f t="shared" si="12"/>
        <v>1.1695906432748537</v>
      </c>
      <c r="P17">
        <f t="shared" si="12"/>
        <v>1.1695906432748537</v>
      </c>
      <c r="Q17">
        <f t="shared" si="12"/>
        <v>1.1695906432748537</v>
      </c>
      <c r="R17">
        <f t="shared" si="12"/>
        <v>1.1695906432748537</v>
      </c>
      <c r="S17">
        <f t="shared" si="12"/>
        <v>1.1695906432748537</v>
      </c>
      <c r="T17">
        <f t="shared" si="12"/>
        <v>1.1695906432748537</v>
      </c>
      <c r="U17">
        <f t="shared" si="12"/>
        <v>1.1695906432748537</v>
      </c>
      <c r="V17">
        <f t="shared" si="12"/>
        <v>1.1695906432748537</v>
      </c>
      <c r="W17">
        <f t="shared" si="12"/>
        <v>1.1695906432748537</v>
      </c>
      <c r="X17">
        <f t="shared" si="12"/>
        <v>1.1695906432748537</v>
      </c>
      <c r="Y17">
        <f t="shared" si="12"/>
        <v>1.1695906432748537</v>
      </c>
      <c r="Z17">
        <f t="shared" si="12"/>
        <v>1.1695906432748537</v>
      </c>
      <c r="AA17">
        <f t="shared" si="12"/>
        <v>1.1695906432748537</v>
      </c>
      <c r="AB17">
        <f t="shared" si="12"/>
        <v>1.1695906432748537</v>
      </c>
      <c r="AC17">
        <f t="shared" si="12"/>
        <v>1.1695906432748537</v>
      </c>
      <c r="AD17">
        <f t="shared" si="12"/>
        <v>1.1695906432748537</v>
      </c>
      <c r="AE17">
        <f t="shared" si="12"/>
        <v>1.1695906432748537</v>
      </c>
      <c r="AF17">
        <f t="shared" si="12"/>
        <v>1.1695906432748537</v>
      </c>
    </row>
    <row r="18" spans="1:32" x14ac:dyDescent="0.25">
      <c r="A18" t="s">
        <v>49</v>
      </c>
    </row>
    <row r="19" spans="1:32" x14ac:dyDescent="0.25">
      <c r="A19" s="5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9"/>
  <sheetViews>
    <sheetView workbookViewId="0">
      <selection activeCell="B18" sqref="B18"/>
    </sheetView>
  </sheetViews>
  <sheetFormatPr defaultRowHeight="15" x14ac:dyDescent="0.25"/>
  <cols>
    <col min="1" max="1" width="10.42578125" bestFit="1" customWidth="1"/>
  </cols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34</v>
      </c>
    </row>
    <row r="3" spans="1:32" x14ac:dyDescent="0.25">
      <c r="A3" s="6" t="s">
        <v>35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36</v>
      </c>
    </row>
    <row r="5" spans="1:32" x14ac:dyDescent="0.25">
      <c r="A5" t="s">
        <v>37</v>
      </c>
      <c r="B5">
        <v>0.92600000000000005</v>
      </c>
    </row>
    <row r="6" spans="1:32" x14ac:dyDescent="0.25">
      <c r="A6" s="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s="5" t="s">
        <v>39</v>
      </c>
    </row>
    <row r="8" spans="1:32" x14ac:dyDescent="0.25">
      <c r="A8" s="5" t="s">
        <v>83</v>
      </c>
    </row>
    <row r="9" spans="1:32" x14ac:dyDescent="0.25">
      <c r="A9" s="5" t="s">
        <v>40</v>
      </c>
    </row>
    <row r="10" spans="1:32" x14ac:dyDescent="0.25">
      <c r="A10" s="6" t="s">
        <v>41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42</v>
      </c>
    </row>
    <row r="12" spans="1:32" x14ac:dyDescent="0.25">
      <c r="A12" t="s">
        <v>43</v>
      </c>
    </row>
    <row r="13" spans="1:32" x14ac:dyDescent="0.25">
      <c r="A13" s="6" t="s">
        <v>44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 s="6" t="s">
        <v>45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25">
      <c r="A15" s="6" t="s">
        <v>46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s="5" t="s">
        <v>47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s="6" t="s">
        <v>48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49</v>
      </c>
    </row>
    <row r="19" spans="1:32" x14ac:dyDescent="0.25">
      <c r="A19" s="5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1"/>
  <sheetViews>
    <sheetView workbookViewId="0">
      <selection activeCell="C7" sqref="C7"/>
    </sheetView>
  </sheetViews>
  <sheetFormatPr defaultRowHeight="15" x14ac:dyDescent="0.25"/>
  <sheetData>
    <row r="1" spans="1:6" x14ac:dyDescent="0.25">
      <c r="A1" t="s">
        <v>87</v>
      </c>
      <c r="B1">
        <v>2020</v>
      </c>
      <c r="C1">
        <v>2030</v>
      </c>
      <c r="D1">
        <v>2050</v>
      </c>
      <c r="F1" s="8" t="s">
        <v>86</v>
      </c>
    </row>
    <row r="2" spans="1:6" x14ac:dyDescent="0.25">
      <c r="A2" t="s">
        <v>54</v>
      </c>
      <c r="B2">
        <f>41.37*1.04</f>
        <v>43.024799999999999</v>
      </c>
      <c r="C2">
        <f>46.66*1.04</f>
        <v>48.526399999999995</v>
      </c>
      <c r="D2">
        <f>62.63*1.04</f>
        <v>65.135200000000012</v>
      </c>
    </row>
    <row r="3" spans="1:6" x14ac:dyDescent="0.25">
      <c r="A3" t="s">
        <v>52</v>
      </c>
      <c r="B3">
        <f>11.4*1.04</f>
        <v>11.856000000000002</v>
      </c>
      <c r="C3">
        <f>14.17*1.04</f>
        <v>14.736800000000001</v>
      </c>
      <c r="D3">
        <f>17*1.04</f>
        <v>17.68</v>
      </c>
    </row>
    <row r="4" spans="1:6" x14ac:dyDescent="0.25">
      <c r="A4" t="s">
        <v>51</v>
      </c>
      <c r="B4">
        <f>28.77*1.04</f>
        <v>29.9208</v>
      </c>
      <c r="C4">
        <f>30.32*1.04</f>
        <v>31.532800000000002</v>
      </c>
      <c r="D4">
        <f>34.89*1.04</f>
        <v>36.285600000000002</v>
      </c>
    </row>
    <row r="6" spans="1:6" x14ac:dyDescent="0.25">
      <c r="A6" t="s">
        <v>92</v>
      </c>
    </row>
    <row r="7" spans="1:6" x14ac:dyDescent="0.25">
      <c r="B7">
        <f>B2*3.6</f>
        <v>154.88928000000001</v>
      </c>
      <c r="C7">
        <f t="shared" ref="C7:D7" si="0">C2*3.6</f>
        <v>174.69503999999998</v>
      </c>
      <c r="D7">
        <f t="shared" si="0"/>
        <v>234.48672000000005</v>
      </c>
    </row>
    <row r="8" spans="1:6" x14ac:dyDescent="0.25">
      <c r="B8">
        <f t="shared" ref="B8:D8" si="1">B3*3.6</f>
        <v>42.68160000000001</v>
      </c>
      <c r="C8">
        <f t="shared" si="1"/>
        <v>53.052480000000003</v>
      </c>
      <c r="D8">
        <f t="shared" si="1"/>
        <v>63.648000000000003</v>
      </c>
    </row>
    <row r="9" spans="1:6" x14ac:dyDescent="0.25">
      <c r="B9">
        <f t="shared" ref="B9:D9" si="2">B4*3.6</f>
        <v>107.71488000000001</v>
      </c>
      <c r="C9">
        <f t="shared" si="2"/>
        <v>113.51808000000001</v>
      </c>
      <c r="D9">
        <f t="shared" si="2"/>
        <v>130.62816000000001</v>
      </c>
      <c r="F9">
        <f>43*0.099*3.6</f>
        <v>15.325200000000002</v>
      </c>
    </row>
    <row r="10" spans="1:6" x14ac:dyDescent="0.25">
      <c r="F10">
        <f>182*0.099*3.6</f>
        <v>64.864800000000002</v>
      </c>
    </row>
    <row r="11" spans="1:6" x14ac:dyDescent="0.25">
      <c r="F11">
        <f>303*0.099*3.6</f>
        <v>107.9892</v>
      </c>
    </row>
  </sheetData>
  <hyperlinks>
    <hyperlink ref="F1" r:id="rId1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9"/>
  <sheetViews>
    <sheetView topLeftCell="E1" workbookViewId="0">
      <selection activeCell="X27" sqref="X27"/>
    </sheetView>
  </sheetViews>
  <sheetFormatPr defaultRowHeight="15" x14ac:dyDescent="0.25"/>
  <cols>
    <col min="1" max="1" width="21" customWidth="1"/>
  </cols>
  <sheetData>
    <row r="1" spans="1:21" x14ac:dyDescent="0.2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</row>
    <row r="2" spans="1:21" x14ac:dyDescent="0.25">
      <c r="A2" t="s">
        <v>10</v>
      </c>
      <c r="B2">
        <v>829364</v>
      </c>
      <c r="C2">
        <v>648233</v>
      </c>
      <c r="D2">
        <v>786650</v>
      </c>
      <c r="E2">
        <v>890126</v>
      </c>
      <c r="F2">
        <v>898947</v>
      </c>
      <c r="G2">
        <v>888496</v>
      </c>
      <c r="H2">
        <v>1001586</v>
      </c>
      <c r="I2">
        <v>1009412</v>
      </c>
      <c r="J2">
        <v>755940</v>
      </c>
      <c r="K2">
        <v>809393</v>
      </c>
      <c r="L2">
        <v>954712</v>
      </c>
      <c r="M2">
        <v>1056496</v>
      </c>
      <c r="N2">
        <v>1093095</v>
      </c>
      <c r="O2">
        <v>1017017</v>
      </c>
      <c r="P2">
        <v>1059796</v>
      </c>
      <c r="Q2">
        <v>1096902</v>
      </c>
      <c r="R2">
        <v>1110502</v>
      </c>
      <c r="S2">
        <v>1361060</v>
      </c>
      <c r="T2">
        <v>1373944</v>
      </c>
      <c r="U2">
        <v>1295073</v>
      </c>
    </row>
    <row r="3" spans="1:21" x14ac:dyDescent="0.25">
      <c r="A3" t="s">
        <v>11</v>
      </c>
      <c r="B3">
        <v>492304</v>
      </c>
      <c r="C3">
        <v>470755</v>
      </c>
      <c r="D3">
        <v>493998</v>
      </c>
      <c r="E3">
        <v>493472</v>
      </c>
      <c r="F3">
        <v>502546</v>
      </c>
      <c r="G3">
        <v>520297</v>
      </c>
      <c r="H3">
        <v>586403</v>
      </c>
      <c r="I3">
        <v>667937</v>
      </c>
      <c r="J3">
        <v>630884</v>
      </c>
      <c r="K3">
        <v>625046</v>
      </c>
      <c r="L3">
        <v>612508</v>
      </c>
      <c r="M3">
        <v>721164</v>
      </c>
      <c r="N3">
        <v>819019</v>
      </c>
      <c r="O3">
        <v>861176</v>
      </c>
      <c r="P3">
        <v>1018608</v>
      </c>
      <c r="Q3">
        <v>1018608</v>
      </c>
      <c r="R3">
        <v>1110766</v>
      </c>
      <c r="S3">
        <v>1161014</v>
      </c>
      <c r="T3">
        <v>1171465</v>
      </c>
      <c r="U3">
        <v>1174302</v>
      </c>
    </row>
    <row r="4" spans="1:21" x14ac:dyDescent="0.25">
      <c r="A4" t="s">
        <v>12</v>
      </c>
      <c r="B4">
        <v>726103</v>
      </c>
      <c r="C4">
        <v>679357</v>
      </c>
      <c r="D4">
        <v>688554</v>
      </c>
      <c r="E4">
        <v>721588</v>
      </c>
      <c r="F4">
        <v>743767</v>
      </c>
      <c r="G4">
        <v>797698</v>
      </c>
      <c r="H4">
        <v>812528</v>
      </c>
      <c r="I4">
        <v>844901</v>
      </c>
      <c r="J4">
        <v>844765</v>
      </c>
      <c r="K4">
        <v>788183</v>
      </c>
      <c r="L4">
        <v>811246</v>
      </c>
      <c r="M4">
        <v>869907</v>
      </c>
      <c r="N4">
        <v>844394</v>
      </c>
      <c r="O4">
        <v>828496</v>
      </c>
      <c r="P4">
        <v>801330</v>
      </c>
      <c r="Q4">
        <v>843622</v>
      </c>
      <c r="R4">
        <v>866990</v>
      </c>
      <c r="S4">
        <v>927477</v>
      </c>
      <c r="T4">
        <v>860455</v>
      </c>
      <c r="U4">
        <v>902595</v>
      </c>
    </row>
    <row r="5" spans="1:21" x14ac:dyDescent="0.25">
      <c r="A5" t="s">
        <v>13</v>
      </c>
      <c r="B5">
        <v>104361</v>
      </c>
      <c r="C5">
        <v>115358</v>
      </c>
      <c r="D5">
        <v>126599</v>
      </c>
      <c r="E5">
        <v>158228</v>
      </c>
      <c r="F5">
        <v>182419</v>
      </c>
      <c r="G5">
        <v>206952</v>
      </c>
      <c r="H5">
        <v>252451</v>
      </c>
      <c r="I5">
        <v>279531</v>
      </c>
      <c r="J5">
        <v>426666</v>
      </c>
      <c r="K5">
        <v>409918</v>
      </c>
      <c r="L5">
        <v>397459</v>
      </c>
      <c r="M5">
        <v>414625</v>
      </c>
      <c r="N5">
        <v>460763</v>
      </c>
      <c r="O5">
        <v>444300</v>
      </c>
      <c r="P5">
        <v>461445</v>
      </c>
      <c r="Q5">
        <v>510257</v>
      </c>
      <c r="R5">
        <v>519461</v>
      </c>
      <c r="S5">
        <v>567027</v>
      </c>
      <c r="T5">
        <v>524368</v>
      </c>
      <c r="U5">
        <v>583833</v>
      </c>
    </row>
    <row r="6" spans="1:21" x14ac:dyDescent="0.25">
      <c r="A6" t="s">
        <v>14</v>
      </c>
      <c r="B6">
        <v>122110</v>
      </c>
      <c r="C6">
        <v>122209</v>
      </c>
      <c r="D6">
        <v>133424</v>
      </c>
      <c r="E6">
        <v>122182</v>
      </c>
      <c r="F6">
        <v>135923</v>
      </c>
      <c r="G6">
        <v>138104</v>
      </c>
      <c r="H6">
        <v>147610</v>
      </c>
      <c r="I6">
        <v>162118</v>
      </c>
      <c r="J6">
        <v>210059</v>
      </c>
      <c r="K6">
        <v>197845</v>
      </c>
      <c r="L6">
        <v>206884</v>
      </c>
      <c r="M6">
        <v>223685</v>
      </c>
      <c r="N6">
        <v>188542</v>
      </c>
      <c r="O6">
        <v>177398</v>
      </c>
      <c r="P6">
        <v>184519</v>
      </c>
      <c r="Q6">
        <v>156799</v>
      </c>
      <c r="R6">
        <v>152548</v>
      </c>
      <c r="S6">
        <v>172614</v>
      </c>
      <c r="T6">
        <v>183529</v>
      </c>
      <c r="U6">
        <v>189262</v>
      </c>
    </row>
    <row r="7" spans="1:21" x14ac:dyDescent="0.25">
      <c r="A7" t="s">
        <v>15</v>
      </c>
      <c r="B7">
        <v>147419</v>
      </c>
      <c r="C7">
        <v>145814</v>
      </c>
      <c r="D7">
        <v>166503</v>
      </c>
      <c r="E7">
        <v>155417</v>
      </c>
      <c r="F7">
        <v>183461</v>
      </c>
      <c r="G7">
        <v>185329</v>
      </c>
      <c r="H7">
        <v>241800</v>
      </c>
      <c r="I7">
        <v>244392</v>
      </c>
      <c r="J7">
        <v>224791</v>
      </c>
      <c r="K7">
        <v>286914</v>
      </c>
      <c r="L7">
        <v>301442</v>
      </c>
      <c r="M7">
        <v>259414</v>
      </c>
      <c r="N7">
        <v>297132</v>
      </c>
      <c r="O7">
        <v>294836</v>
      </c>
      <c r="P7">
        <v>227965</v>
      </c>
      <c r="Q7">
        <v>286987</v>
      </c>
      <c r="R7">
        <v>331080</v>
      </c>
      <c r="S7">
        <v>202659</v>
      </c>
      <c r="T7">
        <v>194300</v>
      </c>
      <c r="U7">
        <v>219903</v>
      </c>
    </row>
    <row r="8" spans="1:21" x14ac:dyDescent="0.25">
      <c r="A8" t="s">
        <v>16</v>
      </c>
      <c r="B8">
        <v>0</v>
      </c>
      <c r="C8">
        <v>0</v>
      </c>
      <c r="D8">
        <v>0</v>
      </c>
      <c r="E8">
        <v>0</v>
      </c>
      <c r="F8">
        <v>702</v>
      </c>
      <c r="G8">
        <v>374</v>
      </c>
      <c r="H8">
        <v>562</v>
      </c>
      <c r="I8">
        <v>569</v>
      </c>
      <c r="J8">
        <v>583</v>
      </c>
      <c r="K8">
        <v>612</v>
      </c>
      <c r="L8">
        <v>648</v>
      </c>
      <c r="M8">
        <v>1928</v>
      </c>
      <c r="N8">
        <v>2416</v>
      </c>
      <c r="O8">
        <v>1516</v>
      </c>
      <c r="P8">
        <v>4663</v>
      </c>
      <c r="Q8">
        <v>5706</v>
      </c>
      <c r="R8">
        <v>5987</v>
      </c>
      <c r="S8">
        <v>5773</v>
      </c>
      <c r="T8">
        <v>6128</v>
      </c>
      <c r="U8">
        <v>5800</v>
      </c>
    </row>
    <row r="12" spans="1:21" x14ac:dyDescent="0.25">
      <c r="B12">
        <v>2000</v>
      </c>
      <c r="C12">
        <v>2001</v>
      </c>
      <c r="D12">
        <v>2002</v>
      </c>
      <c r="E12">
        <v>2003</v>
      </c>
      <c r="F12">
        <v>2004</v>
      </c>
      <c r="G12">
        <v>2005</v>
      </c>
      <c r="H12">
        <v>2006</v>
      </c>
      <c r="I12">
        <v>2007</v>
      </c>
      <c r="J12">
        <v>2008</v>
      </c>
      <c r="K12">
        <v>2009</v>
      </c>
      <c r="L12">
        <v>2010</v>
      </c>
      <c r="M12">
        <v>2011</v>
      </c>
      <c r="N12">
        <v>2012</v>
      </c>
      <c r="O12">
        <v>2013</v>
      </c>
      <c r="P12">
        <v>2014</v>
      </c>
      <c r="Q12">
        <v>2015</v>
      </c>
      <c r="R12">
        <v>2016</v>
      </c>
      <c r="S12">
        <v>2017</v>
      </c>
      <c r="T12">
        <v>2018</v>
      </c>
      <c r="U12">
        <v>2019</v>
      </c>
    </row>
    <row r="13" spans="1:21" x14ac:dyDescent="0.25">
      <c r="A13" t="s">
        <v>10</v>
      </c>
      <c r="B13">
        <f>B2+B7</f>
        <v>976783</v>
      </c>
      <c r="C13">
        <f t="shared" ref="C13:U13" si="0">C2+C7</f>
        <v>794047</v>
      </c>
      <c r="D13">
        <f t="shared" si="0"/>
        <v>953153</v>
      </c>
      <c r="E13">
        <f t="shared" si="0"/>
        <v>1045543</v>
      </c>
      <c r="F13">
        <f t="shared" si="0"/>
        <v>1082408</v>
      </c>
      <c r="G13">
        <f t="shared" si="0"/>
        <v>1073825</v>
      </c>
      <c r="H13">
        <f t="shared" si="0"/>
        <v>1243386</v>
      </c>
      <c r="I13">
        <f t="shared" si="0"/>
        <v>1253804</v>
      </c>
      <c r="J13">
        <f t="shared" si="0"/>
        <v>980731</v>
      </c>
      <c r="K13">
        <f t="shared" si="0"/>
        <v>1096307</v>
      </c>
      <c r="L13">
        <f t="shared" si="0"/>
        <v>1256154</v>
      </c>
      <c r="M13">
        <f t="shared" si="0"/>
        <v>1315910</v>
      </c>
      <c r="N13">
        <f t="shared" si="0"/>
        <v>1390227</v>
      </c>
      <c r="O13">
        <f t="shared" si="0"/>
        <v>1311853</v>
      </c>
      <c r="P13">
        <f t="shared" si="0"/>
        <v>1287761</v>
      </c>
      <c r="Q13">
        <f t="shared" si="0"/>
        <v>1383889</v>
      </c>
      <c r="R13">
        <f t="shared" si="0"/>
        <v>1441582</v>
      </c>
      <c r="S13">
        <f t="shared" si="0"/>
        <v>1563719</v>
      </c>
      <c r="T13">
        <f t="shared" si="0"/>
        <v>1568244</v>
      </c>
      <c r="U13">
        <f t="shared" si="0"/>
        <v>1514976</v>
      </c>
    </row>
    <row r="14" spans="1:21" x14ac:dyDescent="0.25">
      <c r="A14" t="s">
        <v>11</v>
      </c>
      <c r="B14">
        <v>492304</v>
      </c>
      <c r="C14">
        <v>470755</v>
      </c>
      <c r="D14">
        <v>493998</v>
      </c>
      <c r="E14">
        <v>493472</v>
      </c>
      <c r="F14">
        <v>502546</v>
      </c>
      <c r="G14">
        <v>520297</v>
      </c>
      <c r="H14">
        <v>586403</v>
      </c>
      <c r="I14">
        <v>667937</v>
      </c>
      <c r="J14">
        <v>630884</v>
      </c>
      <c r="K14">
        <v>625046</v>
      </c>
      <c r="L14">
        <v>612508</v>
      </c>
      <c r="M14">
        <v>721164</v>
      </c>
      <c r="N14">
        <v>819019</v>
      </c>
      <c r="O14">
        <v>861176</v>
      </c>
      <c r="P14">
        <v>1018608</v>
      </c>
      <c r="Q14">
        <v>1018608</v>
      </c>
      <c r="R14">
        <v>1110766</v>
      </c>
      <c r="S14">
        <v>1161014</v>
      </c>
      <c r="T14">
        <v>1171465</v>
      </c>
      <c r="U14">
        <v>1174302</v>
      </c>
    </row>
    <row r="15" spans="1:21" x14ac:dyDescent="0.25">
      <c r="A15" t="s">
        <v>12</v>
      </c>
      <c r="B15">
        <v>726103</v>
      </c>
      <c r="C15">
        <v>679357</v>
      </c>
      <c r="D15">
        <v>688554</v>
      </c>
      <c r="E15">
        <v>721588</v>
      </c>
      <c r="F15">
        <v>743767</v>
      </c>
      <c r="G15">
        <v>797698</v>
      </c>
      <c r="H15">
        <v>812528</v>
      </c>
      <c r="I15">
        <v>844901</v>
      </c>
      <c r="J15">
        <v>844765</v>
      </c>
      <c r="K15">
        <v>788183</v>
      </c>
      <c r="L15">
        <v>811246</v>
      </c>
      <c r="M15">
        <v>869907</v>
      </c>
      <c r="N15">
        <v>844394</v>
      </c>
      <c r="O15">
        <v>828496</v>
      </c>
      <c r="P15">
        <v>801330</v>
      </c>
      <c r="Q15">
        <v>843622</v>
      </c>
      <c r="R15">
        <v>866990</v>
      </c>
      <c r="S15">
        <v>927477</v>
      </c>
      <c r="T15">
        <v>860455</v>
      </c>
      <c r="U15">
        <v>902595</v>
      </c>
    </row>
    <row r="16" spans="1:21" x14ac:dyDescent="0.25">
      <c r="A16" t="s">
        <v>20</v>
      </c>
      <c r="B16">
        <f>B5+B6</f>
        <v>226471</v>
      </c>
      <c r="C16">
        <f t="shared" ref="C16:U16" si="1">C5+C6</f>
        <v>237567</v>
      </c>
      <c r="D16">
        <f t="shared" si="1"/>
        <v>260023</v>
      </c>
      <c r="E16">
        <f t="shared" si="1"/>
        <v>280410</v>
      </c>
      <c r="F16">
        <f t="shared" si="1"/>
        <v>318342</v>
      </c>
      <c r="G16">
        <f t="shared" si="1"/>
        <v>345056</v>
      </c>
      <c r="H16">
        <f t="shared" si="1"/>
        <v>400061</v>
      </c>
      <c r="I16">
        <f t="shared" si="1"/>
        <v>441649</v>
      </c>
      <c r="J16">
        <f t="shared" si="1"/>
        <v>636725</v>
      </c>
      <c r="K16">
        <f t="shared" si="1"/>
        <v>607763</v>
      </c>
      <c r="L16">
        <f t="shared" si="1"/>
        <v>604343</v>
      </c>
      <c r="M16">
        <f t="shared" si="1"/>
        <v>638310</v>
      </c>
      <c r="N16">
        <f t="shared" si="1"/>
        <v>649305</v>
      </c>
      <c r="O16">
        <f t="shared" si="1"/>
        <v>621698</v>
      </c>
      <c r="P16">
        <f t="shared" si="1"/>
        <v>645964</v>
      </c>
      <c r="Q16">
        <f t="shared" si="1"/>
        <v>667056</v>
      </c>
      <c r="R16">
        <f t="shared" si="1"/>
        <v>672009</v>
      </c>
      <c r="S16">
        <f t="shared" si="1"/>
        <v>739641</v>
      </c>
      <c r="T16">
        <f t="shared" si="1"/>
        <v>707897</v>
      </c>
      <c r="U16">
        <f t="shared" si="1"/>
        <v>773095</v>
      </c>
    </row>
    <row r="19" spans="1:24" x14ac:dyDescent="0.25">
      <c r="B19">
        <v>2000</v>
      </c>
      <c r="C19">
        <v>2001</v>
      </c>
      <c r="D19">
        <v>2002</v>
      </c>
      <c r="E19">
        <v>2003</v>
      </c>
      <c r="F19">
        <v>2004</v>
      </c>
      <c r="G19">
        <v>2005</v>
      </c>
      <c r="H19">
        <v>2006</v>
      </c>
      <c r="I19">
        <v>2007</v>
      </c>
      <c r="J19">
        <v>2008</v>
      </c>
      <c r="K19">
        <v>2009</v>
      </c>
      <c r="L19">
        <v>2010</v>
      </c>
      <c r="M19">
        <v>2011</v>
      </c>
      <c r="N19">
        <v>2012</v>
      </c>
      <c r="O19">
        <v>2013</v>
      </c>
      <c r="P19">
        <v>2014</v>
      </c>
      <c r="Q19">
        <v>2015</v>
      </c>
      <c r="R19">
        <v>2016</v>
      </c>
      <c r="S19">
        <v>2017</v>
      </c>
      <c r="T19">
        <v>2018</v>
      </c>
      <c r="U19">
        <v>2019</v>
      </c>
    </row>
    <row r="20" spans="1:24" x14ac:dyDescent="0.25">
      <c r="A20" t="s">
        <v>10</v>
      </c>
      <c r="B20">
        <f>B13/1000</f>
        <v>976.78300000000002</v>
      </c>
      <c r="C20">
        <f t="shared" ref="C20:U23" si="2">C13/1000</f>
        <v>794.04700000000003</v>
      </c>
      <c r="D20">
        <f t="shared" si="2"/>
        <v>953.15300000000002</v>
      </c>
      <c r="E20">
        <f t="shared" si="2"/>
        <v>1045.5429999999999</v>
      </c>
      <c r="F20">
        <f t="shared" si="2"/>
        <v>1082.4079999999999</v>
      </c>
      <c r="G20">
        <f t="shared" si="2"/>
        <v>1073.825</v>
      </c>
      <c r="H20">
        <f t="shared" si="2"/>
        <v>1243.386</v>
      </c>
      <c r="I20">
        <f t="shared" si="2"/>
        <v>1253.8040000000001</v>
      </c>
      <c r="J20">
        <f t="shared" si="2"/>
        <v>980.73099999999999</v>
      </c>
      <c r="K20">
        <f t="shared" si="2"/>
        <v>1096.307</v>
      </c>
      <c r="L20">
        <f t="shared" si="2"/>
        <v>1256.154</v>
      </c>
      <c r="M20">
        <f t="shared" si="2"/>
        <v>1315.91</v>
      </c>
      <c r="N20">
        <f t="shared" si="2"/>
        <v>1390.2270000000001</v>
      </c>
      <c r="O20">
        <f t="shared" si="2"/>
        <v>1311.8530000000001</v>
      </c>
      <c r="P20">
        <f t="shared" si="2"/>
        <v>1287.761</v>
      </c>
      <c r="Q20">
        <f t="shared" si="2"/>
        <v>1383.8889999999999</v>
      </c>
      <c r="R20">
        <f t="shared" si="2"/>
        <v>1441.5820000000001</v>
      </c>
      <c r="S20">
        <f t="shared" si="2"/>
        <v>1563.7190000000001</v>
      </c>
      <c r="T20">
        <f t="shared" si="2"/>
        <v>1568.2439999999999</v>
      </c>
      <c r="U20">
        <f t="shared" si="2"/>
        <v>1514.9760000000001</v>
      </c>
      <c r="V20">
        <f>U20*100/U24</f>
        <v>34.707608394838168</v>
      </c>
      <c r="X20">
        <v>35</v>
      </c>
    </row>
    <row r="21" spans="1:24" x14ac:dyDescent="0.25">
      <c r="A21" t="s">
        <v>11</v>
      </c>
      <c r="B21">
        <f t="shared" ref="B21:Q23" si="3">B14/1000</f>
        <v>492.30399999999997</v>
      </c>
      <c r="C21">
        <f t="shared" si="3"/>
        <v>470.755</v>
      </c>
      <c r="D21">
        <f t="shared" si="3"/>
        <v>493.99799999999999</v>
      </c>
      <c r="E21">
        <f t="shared" si="3"/>
        <v>493.47199999999998</v>
      </c>
      <c r="F21">
        <f t="shared" si="3"/>
        <v>502.54599999999999</v>
      </c>
      <c r="G21">
        <f t="shared" si="3"/>
        <v>520.29700000000003</v>
      </c>
      <c r="H21">
        <f t="shared" si="3"/>
        <v>586.40300000000002</v>
      </c>
      <c r="I21">
        <f t="shared" si="3"/>
        <v>667.93700000000001</v>
      </c>
      <c r="J21">
        <f t="shared" si="3"/>
        <v>630.88400000000001</v>
      </c>
      <c r="K21">
        <f t="shared" si="3"/>
        <v>625.04600000000005</v>
      </c>
      <c r="L21">
        <f t="shared" si="3"/>
        <v>612.50800000000004</v>
      </c>
      <c r="M21">
        <f t="shared" si="3"/>
        <v>721.16399999999999</v>
      </c>
      <c r="N21">
        <f t="shared" si="3"/>
        <v>819.01900000000001</v>
      </c>
      <c r="O21">
        <f t="shared" si="3"/>
        <v>861.17600000000004</v>
      </c>
      <c r="P21">
        <f t="shared" si="3"/>
        <v>1018.6079999999999</v>
      </c>
      <c r="Q21">
        <f t="shared" si="3"/>
        <v>1018.6079999999999</v>
      </c>
      <c r="R21">
        <f t="shared" si="2"/>
        <v>1110.7660000000001</v>
      </c>
      <c r="S21">
        <f t="shared" si="2"/>
        <v>1161.0139999999999</v>
      </c>
      <c r="T21">
        <f t="shared" si="2"/>
        <v>1171.4649999999999</v>
      </c>
      <c r="U21">
        <f t="shared" si="2"/>
        <v>1174.3019999999999</v>
      </c>
      <c r="V21">
        <f>U21*100/U24</f>
        <v>26.902877638507309</v>
      </c>
      <c r="X21">
        <v>27</v>
      </c>
    </row>
    <row r="22" spans="1:24" x14ac:dyDescent="0.25">
      <c r="A22" t="s">
        <v>12</v>
      </c>
      <c r="B22">
        <f t="shared" si="3"/>
        <v>726.10299999999995</v>
      </c>
      <c r="C22">
        <f t="shared" si="2"/>
        <v>679.35699999999997</v>
      </c>
      <c r="D22">
        <f t="shared" si="2"/>
        <v>688.55399999999997</v>
      </c>
      <c r="E22">
        <f t="shared" si="2"/>
        <v>721.58799999999997</v>
      </c>
      <c r="F22">
        <f t="shared" si="2"/>
        <v>743.76700000000005</v>
      </c>
      <c r="G22">
        <f t="shared" si="2"/>
        <v>797.69799999999998</v>
      </c>
      <c r="H22">
        <f t="shared" si="2"/>
        <v>812.52800000000002</v>
      </c>
      <c r="I22">
        <f t="shared" si="2"/>
        <v>844.90099999999995</v>
      </c>
      <c r="J22">
        <f t="shared" si="2"/>
        <v>844.76499999999999</v>
      </c>
      <c r="K22">
        <f t="shared" si="2"/>
        <v>788.18299999999999</v>
      </c>
      <c r="L22">
        <f t="shared" si="2"/>
        <v>811.24599999999998</v>
      </c>
      <c r="M22">
        <f t="shared" si="2"/>
        <v>869.90700000000004</v>
      </c>
      <c r="N22">
        <f t="shared" si="2"/>
        <v>844.39400000000001</v>
      </c>
      <c r="O22">
        <f t="shared" si="2"/>
        <v>828.49599999999998</v>
      </c>
      <c r="P22">
        <f t="shared" si="2"/>
        <v>801.33</v>
      </c>
      <c r="Q22">
        <f t="shared" si="2"/>
        <v>843.62199999999996</v>
      </c>
      <c r="R22">
        <f t="shared" si="2"/>
        <v>866.99</v>
      </c>
      <c r="S22">
        <f t="shared" si="2"/>
        <v>927.47699999999998</v>
      </c>
      <c r="T22">
        <f t="shared" si="2"/>
        <v>860.45500000000004</v>
      </c>
      <c r="U22">
        <f t="shared" si="2"/>
        <v>902.59500000000003</v>
      </c>
      <c r="V22">
        <f>U22*100/U24</f>
        <v>20.678158465308332</v>
      </c>
      <c r="X22">
        <v>21</v>
      </c>
    </row>
    <row r="23" spans="1:24" x14ac:dyDescent="0.25">
      <c r="A23" t="s">
        <v>20</v>
      </c>
      <c r="B23">
        <f t="shared" si="3"/>
        <v>226.471</v>
      </c>
      <c r="C23">
        <f t="shared" si="2"/>
        <v>237.56700000000001</v>
      </c>
      <c r="D23">
        <f t="shared" si="2"/>
        <v>260.02300000000002</v>
      </c>
      <c r="E23">
        <f t="shared" si="2"/>
        <v>280.41000000000003</v>
      </c>
      <c r="F23">
        <f t="shared" si="2"/>
        <v>318.34199999999998</v>
      </c>
      <c r="G23">
        <f t="shared" si="2"/>
        <v>345.05599999999998</v>
      </c>
      <c r="H23">
        <f t="shared" si="2"/>
        <v>400.06099999999998</v>
      </c>
      <c r="I23">
        <f t="shared" si="2"/>
        <v>441.649</v>
      </c>
      <c r="J23">
        <f t="shared" si="2"/>
        <v>636.72500000000002</v>
      </c>
      <c r="K23">
        <f t="shared" si="2"/>
        <v>607.76300000000003</v>
      </c>
      <c r="L23">
        <f t="shared" si="2"/>
        <v>604.34299999999996</v>
      </c>
      <c r="M23">
        <f t="shared" si="2"/>
        <v>638.30999999999995</v>
      </c>
      <c r="N23">
        <f t="shared" si="2"/>
        <v>649.30499999999995</v>
      </c>
      <c r="O23">
        <f t="shared" si="2"/>
        <v>621.69799999999998</v>
      </c>
      <c r="P23">
        <f t="shared" si="2"/>
        <v>645.96400000000006</v>
      </c>
      <c r="Q23">
        <f t="shared" si="2"/>
        <v>667.05600000000004</v>
      </c>
      <c r="R23">
        <f t="shared" si="2"/>
        <v>672.00900000000001</v>
      </c>
      <c r="S23">
        <f t="shared" si="2"/>
        <v>739.64099999999996</v>
      </c>
      <c r="T23">
        <f t="shared" si="2"/>
        <v>707.89700000000005</v>
      </c>
      <c r="U23">
        <f t="shared" si="2"/>
        <v>773.09500000000003</v>
      </c>
      <c r="V23">
        <f>U23*100/U24</f>
        <v>17.711355501346169</v>
      </c>
      <c r="X23">
        <v>17</v>
      </c>
    </row>
    <row r="24" spans="1:24" x14ac:dyDescent="0.25">
      <c r="U24">
        <f>SUM(U20:U23)</f>
        <v>4364.9680000000008</v>
      </c>
    </row>
    <row r="26" spans="1:24" x14ac:dyDescent="0.25">
      <c r="U26">
        <f>(U20-K20)*100/K20</f>
        <v>38.189029167924687</v>
      </c>
    </row>
    <row r="27" spans="1:24" x14ac:dyDescent="0.25">
      <c r="U27">
        <f t="shared" ref="U27:U29" si="4">(U21-K21)*100/K21</f>
        <v>87.874492437356579</v>
      </c>
    </row>
    <row r="28" spans="1:24" x14ac:dyDescent="0.25">
      <c r="U28">
        <f t="shared" si="4"/>
        <v>14.515918257562019</v>
      </c>
    </row>
    <row r="29" spans="1:24" x14ac:dyDescent="0.25">
      <c r="U29">
        <f t="shared" si="4"/>
        <v>27.203367101978895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D15" sqref="D15"/>
    </sheetView>
  </sheetViews>
  <sheetFormatPr defaultRowHeight="15" x14ac:dyDescent="0.25"/>
  <sheetData>
    <row r="1" spans="1:8" x14ac:dyDescent="0.25">
      <c r="B1" t="s">
        <v>5</v>
      </c>
      <c r="C1" t="s">
        <v>0</v>
      </c>
      <c r="D1" t="s">
        <v>4</v>
      </c>
      <c r="E1" t="s">
        <v>18</v>
      </c>
      <c r="F1" t="s">
        <v>19</v>
      </c>
      <c r="G1" t="s">
        <v>1</v>
      </c>
      <c r="H1" t="s">
        <v>2</v>
      </c>
    </row>
    <row r="2" spans="1:8" x14ac:dyDescent="0.25">
      <c r="A2" t="s">
        <v>10</v>
      </c>
      <c r="B2" s="3">
        <v>0.21</v>
      </c>
      <c r="C2" s="3">
        <v>0.28999999999999998</v>
      </c>
      <c r="D2" s="3">
        <v>0.18</v>
      </c>
      <c r="E2" s="3">
        <v>0.02</v>
      </c>
      <c r="F2" s="3">
        <v>0.01</v>
      </c>
      <c r="G2" s="3">
        <v>0.26</v>
      </c>
      <c r="H2" s="3">
        <v>0.03</v>
      </c>
    </row>
    <row r="3" spans="1:8" x14ac:dyDescent="0.25">
      <c r="A3" t="s">
        <v>11</v>
      </c>
      <c r="B3" s="3">
        <v>0.96</v>
      </c>
      <c r="C3" s="3">
        <v>0.02</v>
      </c>
      <c r="D3" s="3">
        <v>0</v>
      </c>
      <c r="E3" s="3">
        <v>0.01</v>
      </c>
      <c r="F3" s="3">
        <v>0</v>
      </c>
      <c r="G3" s="3">
        <v>0.01</v>
      </c>
      <c r="H3" s="3">
        <v>0</v>
      </c>
    </row>
    <row r="4" spans="1:8" x14ac:dyDescent="0.25">
      <c r="A4" t="s">
        <v>12</v>
      </c>
      <c r="B4" s="3">
        <v>0.01</v>
      </c>
      <c r="C4" s="3">
        <v>0.51</v>
      </c>
      <c r="D4" s="3">
        <v>0.08</v>
      </c>
      <c r="E4" s="3">
        <v>0.08</v>
      </c>
      <c r="F4" s="3">
        <v>0.09</v>
      </c>
      <c r="G4" s="3">
        <v>0.23</v>
      </c>
      <c r="H4" s="3">
        <v>0</v>
      </c>
    </row>
    <row r="5" spans="1:8" x14ac:dyDescent="0.25">
      <c r="A5" t="s">
        <v>17</v>
      </c>
      <c r="B5" s="3">
        <v>0.22</v>
      </c>
      <c r="C5" s="3">
        <v>0.2</v>
      </c>
      <c r="D5" s="3">
        <v>0.12</v>
      </c>
      <c r="E5" s="3">
        <v>0</v>
      </c>
      <c r="F5" s="3">
        <v>0.04</v>
      </c>
      <c r="G5" s="3">
        <v>0.42</v>
      </c>
      <c r="H5" s="3">
        <v>0</v>
      </c>
    </row>
    <row r="6" spans="1:8" x14ac:dyDescent="0.25">
      <c r="A6" t="s">
        <v>3</v>
      </c>
      <c r="B6" s="3">
        <v>0.39</v>
      </c>
      <c r="C6" s="3">
        <v>0.24</v>
      </c>
      <c r="D6" s="3">
        <v>0.1</v>
      </c>
      <c r="E6" s="3">
        <v>0.02</v>
      </c>
      <c r="F6" s="3">
        <v>0.03</v>
      </c>
      <c r="G6" s="3">
        <v>0.21</v>
      </c>
      <c r="H6" s="3">
        <v>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>
      <selection activeCell="D19" sqref="D19"/>
    </sheetView>
  </sheetViews>
  <sheetFormatPr defaultRowHeight="15" x14ac:dyDescent="0.25"/>
  <cols>
    <col min="2" max="2" width="19" bestFit="1" customWidth="1"/>
    <col min="3" max="3" width="24.5703125" bestFit="1" customWidth="1"/>
    <col min="4" max="4" width="30.42578125" bestFit="1" customWidth="1"/>
    <col min="5" max="5" width="34.28515625" bestFit="1" customWidth="1"/>
  </cols>
  <sheetData>
    <row r="1" spans="1:7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7" x14ac:dyDescent="0.25">
      <c r="A2" t="s">
        <v>26</v>
      </c>
      <c r="B2" s="2">
        <v>20</v>
      </c>
      <c r="C2" s="2">
        <v>750000</v>
      </c>
      <c r="D2" s="2">
        <v>20000</v>
      </c>
      <c r="E2" s="4">
        <v>1</v>
      </c>
      <c r="F2">
        <f>E2*3.6</f>
        <v>3.6</v>
      </c>
    </row>
    <row r="3" spans="1:7" x14ac:dyDescent="0.25">
      <c r="A3" t="s">
        <v>27</v>
      </c>
      <c r="B3" s="2">
        <v>30</v>
      </c>
      <c r="C3" s="2">
        <v>1100000</v>
      </c>
      <c r="D3" s="2">
        <v>30000</v>
      </c>
      <c r="E3" s="4">
        <v>4</v>
      </c>
      <c r="F3">
        <f t="shared" ref="F3:F9" si="0">E3*3.6</f>
        <v>14.4</v>
      </c>
    </row>
    <row r="4" spans="1:7" x14ac:dyDescent="0.25">
      <c r="A4" t="s">
        <v>28</v>
      </c>
      <c r="B4" s="2">
        <v>40</v>
      </c>
      <c r="C4" s="2">
        <v>2000000</v>
      </c>
      <c r="D4" s="2">
        <v>10000</v>
      </c>
      <c r="E4" s="4">
        <v>0.1</v>
      </c>
      <c r="F4">
        <f t="shared" si="0"/>
        <v>0.36000000000000004</v>
      </c>
      <c r="G4" s="4">
        <v>28.26</v>
      </c>
    </row>
    <row r="5" spans="1:7" x14ac:dyDescent="0.25">
      <c r="A5" t="s">
        <v>29</v>
      </c>
      <c r="B5" s="2">
        <v>20</v>
      </c>
      <c r="C5" s="2">
        <v>650000</v>
      </c>
      <c r="D5" s="2">
        <v>15000</v>
      </c>
      <c r="E5" s="4">
        <v>0</v>
      </c>
      <c r="F5">
        <f t="shared" si="0"/>
        <v>0</v>
      </c>
    </row>
    <row r="6" spans="1:7" x14ac:dyDescent="0.25">
      <c r="A6" t="s">
        <v>30</v>
      </c>
      <c r="B6" s="2">
        <v>20</v>
      </c>
      <c r="C6" s="2">
        <v>900000</v>
      </c>
      <c r="D6" s="2">
        <v>15000</v>
      </c>
      <c r="E6" s="4">
        <v>0.5</v>
      </c>
      <c r="F6">
        <f t="shared" si="0"/>
        <v>1.8</v>
      </c>
    </row>
    <row r="7" spans="1:7" x14ac:dyDescent="0.25">
      <c r="A7" t="s">
        <v>31</v>
      </c>
      <c r="B7" s="2">
        <v>30</v>
      </c>
      <c r="C7" s="2">
        <v>3750000</v>
      </c>
      <c r="D7" s="2">
        <v>40000</v>
      </c>
      <c r="E7" s="4">
        <v>10</v>
      </c>
      <c r="F7">
        <f t="shared" si="0"/>
        <v>36</v>
      </c>
    </row>
    <row r="8" spans="1:7" x14ac:dyDescent="0.25">
      <c r="A8" t="s">
        <v>32</v>
      </c>
      <c r="B8" s="2">
        <v>20</v>
      </c>
      <c r="C8" s="2">
        <v>2500000</v>
      </c>
      <c r="D8" s="2">
        <v>90000</v>
      </c>
      <c r="E8" s="4">
        <v>1</v>
      </c>
      <c r="F8">
        <f t="shared" si="0"/>
        <v>3.6</v>
      </c>
    </row>
    <row r="9" spans="1:7" x14ac:dyDescent="0.25">
      <c r="A9" t="s">
        <v>33</v>
      </c>
      <c r="B9" s="2">
        <v>50</v>
      </c>
      <c r="C9" s="2">
        <v>7500000</v>
      </c>
      <c r="D9" s="2">
        <v>90000</v>
      </c>
      <c r="E9" s="4">
        <v>5</v>
      </c>
      <c r="F9">
        <f t="shared" si="0"/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8"/>
  <sheetViews>
    <sheetView workbookViewId="0">
      <selection activeCell="AG15" sqref="AG15"/>
    </sheetView>
  </sheetViews>
  <sheetFormatPr defaultRowHeight="15" x14ac:dyDescent="0.25"/>
  <cols>
    <col min="1" max="1" width="10.42578125" bestFit="1" customWidth="1"/>
  </cols>
  <sheetData>
    <row r="1" spans="1:34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34</v>
      </c>
    </row>
    <row r="3" spans="1:34" s="6" customFormat="1" x14ac:dyDescent="0.25">
      <c r="A3" s="6" t="s">
        <v>35</v>
      </c>
      <c r="B3" s="6">
        <v>2500</v>
      </c>
      <c r="C3" s="6">
        <v>2500</v>
      </c>
      <c r="D3" s="6">
        <v>2500</v>
      </c>
      <c r="E3" s="6">
        <v>2500</v>
      </c>
      <c r="F3" s="6">
        <v>2500</v>
      </c>
      <c r="G3" s="6">
        <f>2300*1.04</f>
        <v>2392</v>
      </c>
      <c r="H3" s="6">
        <f t="shared" ref="H3:K3" si="0">2300*1.04</f>
        <v>2392</v>
      </c>
      <c r="I3" s="6">
        <f t="shared" si="0"/>
        <v>2392</v>
      </c>
      <c r="J3" s="6">
        <f t="shared" si="0"/>
        <v>2392</v>
      </c>
      <c r="K3" s="6">
        <f t="shared" si="0"/>
        <v>2392</v>
      </c>
      <c r="L3" s="6">
        <f>2200*1.04</f>
        <v>2288</v>
      </c>
      <c r="M3" s="6">
        <f t="shared" ref="M3:U3" si="1">2200*1.04</f>
        <v>2288</v>
      </c>
      <c r="N3" s="6">
        <f t="shared" si="1"/>
        <v>2288</v>
      </c>
      <c r="O3" s="6">
        <f t="shared" si="1"/>
        <v>2288</v>
      </c>
      <c r="P3" s="6">
        <f t="shared" si="1"/>
        <v>2288</v>
      </c>
      <c r="Q3" s="6">
        <f t="shared" si="1"/>
        <v>2288</v>
      </c>
      <c r="R3" s="6">
        <f t="shared" si="1"/>
        <v>2288</v>
      </c>
      <c r="S3" s="6">
        <f t="shared" si="1"/>
        <v>2288</v>
      </c>
      <c r="T3" s="6">
        <f t="shared" si="1"/>
        <v>2288</v>
      </c>
      <c r="U3" s="6">
        <f t="shared" si="1"/>
        <v>2288</v>
      </c>
      <c r="V3" s="6">
        <f>2125*1.04</f>
        <v>2210</v>
      </c>
      <c r="W3" s="6">
        <f t="shared" ref="W3:AE3" si="2">2125*1.04</f>
        <v>2210</v>
      </c>
      <c r="X3" s="6">
        <f t="shared" si="2"/>
        <v>2210</v>
      </c>
      <c r="Y3" s="6">
        <f t="shared" si="2"/>
        <v>2210</v>
      </c>
      <c r="Z3" s="6">
        <f t="shared" si="2"/>
        <v>2210</v>
      </c>
      <c r="AA3" s="6">
        <f t="shared" si="2"/>
        <v>2210</v>
      </c>
      <c r="AB3" s="6">
        <f t="shared" si="2"/>
        <v>2210</v>
      </c>
      <c r="AC3" s="6">
        <f t="shared" si="2"/>
        <v>2210</v>
      </c>
      <c r="AD3" s="6">
        <f t="shared" si="2"/>
        <v>2210</v>
      </c>
      <c r="AE3" s="6">
        <f t="shared" si="2"/>
        <v>2210</v>
      </c>
      <c r="AF3" s="6">
        <f>2075*1.04</f>
        <v>2158</v>
      </c>
    </row>
    <row r="4" spans="1:34" x14ac:dyDescent="0.25">
      <c r="A4" t="s">
        <v>36</v>
      </c>
    </row>
    <row r="5" spans="1:34" x14ac:dyDescent="0.25">
      <c r="A5" t="s">
        <v>37</v>
      </c>
    </row>
    <row r="6" spans="1:34" s="6" customFormat="1" x14ac:dyDescent="0.25">
      <c r="A6" s="6" t="s">
        <v>38</v>
      </c>
      <c r="B6" s="6">
        <v>3200</v>
      </c>
      <c r="C6" s="6">
        <v>3200</v>
      </c>
      <c r="D6" s="6">
        <v>3200</v>
      </c>
      <c r="E6" s="6">
        <v>3200</v>
      </c>
      <c r="F6" s="6">
        <v>3200</v>
      </c>
      <c r="G6" s="6">
        <v>3200</v>
      </c>
      <c r="H6" s="6">
        <v>3200</v>
      </c>
      <c r="I6" s="6">
        <v>3200</v>
      </c>
      <c r="J6" s="6">
        <v>3200</v>
      </c>
      <c r="K6" s="6">
        <v>3200</v>
      </c>
      <c r="L6" s="6">
        <v>830</v>
      </c>
      <c r="M6" s="6">
        <v>830</v>
      </c>
      <c r="N6" s="6">
        <v>830</v>
      </c>
      <c r="O6" s="6">
        <v>830</v>
      </c>
      <c r="P6" s="6">
        <v>830</v>
      </c>
      <c r="Q6" s="6">
        <v>830</v>
      </c>
      <c r="R6" s="6">
        <v>830</v>
      </c>
      <c r="S6" s="6">
        <v>830</v>
      </c>
      <c r="T6" s="6">
        <v>830</v>
      </c>
      <c r="U6" s="6">
        <v>830</v>
      </c>
      <c r="V6" s="6">
        <v>830</v>
      </c>
      <c r="W6" s="6">
        <v>830</v>
      </c>
      <c r="X6" s="6">
        <v>830</v>
      </c>
      <c r="Y6" s="6">
        <v>830</v>
      </c>
      <c r="Z6" s="6">
        <v>830</v>
      </c>
      <c r="AA6" s="6">
        <v>830</v>
      </c>
      <c r="AB6" s="6">
        <v>830</v>
      </c>
      <c r="AC6" s="6">
        <v>830</v>
      </c>
      <c r="AD6" s="6">
        <v>830</v>
      </c>
      <c r="AE6" s="6">
        <v>830</v>
      </c>
      <c r="AF6" s="6">
        <v>660</v>
      </c>
      <c r="AH6" s="9" t="s">
        <v>88</v>
      </c>
    </row>
    <row r="7" spans="1:34" s="6" customFormat="1" x14ac:dyDescent="0.25">
      <c r="A7" s="6" t="s">
        <v>39</v>
      </c>
      <c r="B7" s="6">
        <v>3750</v>
      </c>
      <c r="C7" s="6">
        <f>B7/1.01</f>
        <v>3712.871287128713</v>
      </c>
      <c r="D7" s="6">
        <f t="shared" ref="D7:AF7" si="3">C7/1.01</f>
        <v>3676.1101852759534</v>
      </c>
      <c r="E7" s="6">
        <f t="shared" si="3"/>
        <v>3639.7130547286665</v>
      </c>
      <c r="F7" s="6">
        <f t="shared" si="3"/>
        <v>3603.676291810561</v>
      </c>
      <c r="G7" s="6">
        <f t="shared" si="3"/>
        <v>3567.9963285253079</v>
      </c>
      <c r="H7" s="6">
        <f t="shared" si="3"/>
        <v>3532.6696322032753</v>
      </c>
      <c r="I7" s="6">
        <f t="shared" si="3"/>
        <v>3497.6927051517578</v>
      </c>
      <c r="J7" s="6">
        <f t="shared" si="3"/>
        <v>3463.0620843086708</v>
      </c>
      <c r="K7" s="6">
        <f t="shared" si="3"/>
        <v>3428.7743408996739</v>
      </c>
      <c r="L7" s="6">
        <f t="shared" si="3"/>
        <v>3394.8260800986868</v>
      </c>
      <c r="M7" s="6">
        <f t="shared" si="3"/>
        <v>3361.213940691769</v>
      </c>
      <c r="N7" s="6">
        <f t="shared" si="3"/>
        <v>3327.9345947443258</v>
      </c>
      <c r="O7" s="6">
        <f t="shared" si="3"/>
        <v>3294.9847472716096</v>
      </c>
      <c r="P7" s="6">
        <f t="shared" si="3"/>
        <v>3262.3611359124848</v>
      </c>
      <c r="Q7" s="6">
        <f t="shared" si="3"/>
        <v>3230.0605306064203</v>
      </c>
      <c r="R7" s="6">
        <f t="shared" si="3"/>
        <v>3198.0797332736834</v>
      </c>
      <c r="S7" s="6">
        <f t="shared" si="3"/>
        <v>3166.4155774986962</v>
      </c>
      <c r="T7" s="6">
        <f t="shared" si="3"/>
        <v>3135.0649282165309</v>
      </c>
      <c r="U7" s="6">
        <f t="shared" si="3"/>
        <v>3104.0246814025058</v>
      </c>
      <c r="V7" s="6">
        <f t="shared" si="3"/>
        <v>3073.291763764857</v>
      </c>
      <c r="W7" s="6">
        <f t="shared" si="3"/>
        <v>3042.8631324404523</v>
      </c>
      <c r="X7" s="6">
        <f t="shared" si="3"/>
        <v>3012.7357746935172</v>
      </c>
      <c r="Y7" s="6">
        <f t="shared" si="3"/>
        <v>2982.9067076173437</v>
      </c>
      <c r="Z7" s="6">
        <f t="shared" si="3"/>
        <v>2953.3729778389543</v>
      </c>
      <c r="AA7" s="6">
        <f t="shared" si="3"/>
        <v>2924.1316612266874</v>
      </c>
      <c r="AB7" s="6">
        <f t="shared" si="3"/>
        <v>2895.1798626006807</v>
      </c>
      <c r="AC7" s="6">
        <f t="shared" si="3"/>
        <v>2866.5147154462184</v>
      </c>
      <c r="AD7" s="6">
        <f t="shared" si="3"/>
        <v>2838.1333816299193</v>
      </c>
      <c r="AE7" s="6">
        <f t="shared" si="3"/>
        <v>2810.0330511187321</v>
      </c>
      <c r="AF7" s="6">
        <f t="shared" si="3"/>
        <v>2782.210941701715</v>
      </c>
    </row>
    <row r="8" spans="1:34" s="5" customFormat="1" x14ac:dyDescent="0.25">
      <c r="A8" s="5" t="s">
        <v>83</v>
      </c>
    </row>
    <row r="9" spans="1:34" s="6" customFormat="1" x14ac:dyDescent="0.25">
      <c r="A9" s="6" t="s">
        <v>40</v>
      </c>
      <c r="B9" s="6">
        <v>2000</v>
      </c>
      <c r="C9" s="6">
        <f>B9/1.01</f>
        <v>1980.1980198019801</v>
      </c>
      <c r="D9" s="6">
        <f t="shared" ref="D9:AF9" si="4">C9/1.01</f>
        <v>1960.5920988138416</v>
      </c>
      <c r="E9" s="6">
        <f t="shared" si="4"/>
        <v>1941.1802958552887</v>
      </c>
      <c r="F9" s="6">
        <f t="shared" si="4"/>
        <v>1921.9606889656325</v>
      </c>
      <c r="G9" s="6">
        <f t="shared" si="4"/>
        <v>1902.9313752134974</v>
      </c>
      <c r="H9" s="6">
        <f t="shared" si="4"/>
        <v>1884.0904705084133</v>
      </c>
      <c r="I9" s="6">
        <f t="shared" si="4"/>
        <v>1865.4361094142705</v>
      </c>
      <c r="J9" s="6">
        <f t="shared" si="4"/>
        <v>1846.9664449646243</v>
      </c>
      <c r="K9" s="6">
        <f t="shared" si="4"/>
        <v>1828.679648479826</v>
      </c>
      <c r="L9" s="6">
        <f t="shared" si="4"/>
        <v>1810.5739093859663</v>
      </c>
      <c r="M9" s="6">
        <f t="shared" si="4"/>
        <v>1792.6474350356102</v>
      </c>
      <c r="N9" s="6">
        <f t="shared" si="4"/>
        <v>1774.8984505303072</v>
      </c>
      <c r="O9" s="6">
        <f t="shared" si="4"/>
        <v>1757.3251985448585</v>
      </c>
      <c r="P9" s="6">
        <f t="shared" si="4"/>
        <v>1739.9259391533253</v>
      </c>
      <c r="Q9" s="6">
        <f t="shared" si="4"/>
        <v>1722.6989496567578</v>
      </c>
      <c r="R9" s="6">
        <f t="shared" si="4"/>
        <v>1705.6425244126315</v>
      </c>
      <c r="S9" s="6">
        <f t="shared" si="4"/>
        <v>1688.7549746659718</v>
      </c>
      <c r="T9" s="6">
        <f t="shared" si="4"/>
        <v>1672.0346283821502</v>
      </c>
      <c r="U9" s="6">
        <f t="shared" si="4"/>
        <v>1655.4798300813368</v>
      </c>
      <c r="V9" s="6">
        <f t="shared" si="4"/>
        <v>1639.088940674591</v>
      </c>
      <c r="W9" s="6">
        <f t="shared" si="4"/>
        <v>1622.8603373015751</v>
      </c>
      <c r="X9" s="6">
        <f t="shared" si="4"/>
        <v>1606.7924131698762</v>
      </c>
      <c r="Y9" s="6">
        <f t="shared" si="4"/>
        <v>1590.883577395917</v>
      </c>
      <c r="Z9" s="6">
        <f t="shared" si="4"/>
        <v>1575.1322548474425</v>
      </c>
      <c r="AA9" s="6">
        <f t="shared" si="4"/>
        <v>1559.5368859875668</v>
      </c>
      <c r="AB9" s="6">
        <f t="shared" si="4"/>
        <v>1544.0959267203632</v>
      </c>
      <c r="AC9" s="6">
        <f t="shared" si="4"/>
        <v>1528.8078482379833</v>
      </c>
      <c r="AD9" s="6">
        <f t="shared" si="4"/>
        <v>1513.6711368692904</v>
      </c>
      <c r="AE9" s="6">
        <f t="shared" si="4"/>
        <v>1498.6842939299904</v>
      </c>
      <c r="AF9" s="6">
        <f t="shared" si="4"/>
        <v>1483.845835574248</v>
      </c>
    </row>
    <row r="10" spans="1:34" s="6" customFormat="1" x14ac:dyDescent="0.25">
      <c r="A10" s="6" t="s">
        <v>41</v>
      </c>
      <c r="B10" s="6">
        <v>1100</v>
      </c>
      <c r="C10" s="6">
        <v>1100</v>
      </c>
      <c r="D10" s="6">
        <v>1100</v>
      </c>
      <c r="E10" s="6">
        <v>1100</v>
      </c>
      <c r="F10" s="6">
        <v>1100</v>
      </c>
      <c r="G10" s="6">
        <v>1100</v>
      </c>
      <c r="H10" s="6">
        <v>1100</v>
      </c>
      <c r="I10" s="6">
        <v>1100</v>
      </c>
      <c r="J10" s="6">
        <v>1100</v>
      </c>
      <c r="K10" s="6">
        <v>1100</v>
      </c>
      <c r="L10" s="6">
        <v>1100</v>
      </c>
      <c r="M10" s="6">
        <v>1100</v>
      </c>
      <c r="N10" s="6">
        <v>1100</v>
      </c>
      <c r="O10" s="6">
        <v>1100</v>
      </c>
      <c r="P10" s="6">
        <v>1100</v>
      </c>
      <c r="Q10" s="6">
        <v>1100</v>
      </c>
      <c r="R10" s="6">
        <v>1100</v>
      </c>
      <c r="S10" s="6">
        <v>1100</v>
      </c>
      <c r="T10" s="6">
        <v>1100</v>
      </c>
      <c r="U10" s="6">
        <v>1100</v>
      </c>
      <c r="V10" s="6">
        <v>1100</v>
      </c>
      <c r="W10" s="6">
        <v>1100</v>
      </c>
      <c r="X10" s="6">
        <v>1100</v>
      </c>
      <c r="Y10" s="6">
        <v>1100</v>
      </c>
      <c r="Z10" s="6">
        <v>1100</v>
      </c>
      <c r="AA10" s="6">
        <v>1100</v>
      </c>
      <c r="AB10" s="6">
        <v>1100</v>
      </c>
      <c r="AC10" s="6">
        <v>1100</v>
      </c>
      <c r="AD10" s="6">
        <v>1100</v>
      </c>
      <c r="AE10" s="6">
        <v>1100</v>
      </c>
      <c r="AF10" s="6">
        <v>1100</v>
      </c>
    </row>
    <row r="11" spans="1:34" x14ac:dyDescent="0.25">
      <c r="A11" t="s">
        <v>42</v>
      </c>
    </row>
    <row r="12" spans="1:34" x14ac:dyDescent="0.25">
      <c r="A12" t="s">
        <v>43</v>
      </c>
    </row>
    <row r="13" spans="1:34" s="6" customFormat="1" x14ac:dyDescent="0.25">
      <c r="A13" s="6" t="s">
        <v>44</v>
      </c>
      <c r="B13" s="6">
        <v>750</v>
      </c>
      <c r="C13" s="6">
        <v>750</v>
      </c>
      <c r="D13" s="6">
        <v>750</v>
      </c>
      <c r="E13" s="6">
        <v>750</v>
      </c>
      <c r="F13" s="6">
        <v>750</v>
      </c>
      <c r="G13" s="6">
        <v>750</v>
      </c>
      <c r="H13" s="6">
        <v>750</v>
      </c>
      <c r="I13" s="6">
        <v>750</v>
      </c>
      <c r="J13" s="6">
        <v>750</v>
      </c>
      <c r="K13" s="6">
        <v>750</v>
      </c>
      <c r="L13" s="6">
        <v>750</v>
      </c>
      <c r="M13" s="6">
        <v>750</v>
      </c>
      <c r="N13" s="6">
        <v>750</v>
      </c>
      <c r="O13" s="6">
        <v>750</v>
      </c>
      <c r="P13" s="6">
        <v>750</v>
      </c>
      <c r="Q13" s="6">
        <v>750</v>
      </c>
      <c r="R13" s="6">
        <v>750</v>
      </c>
      <c r="S13" s="6">
        <v>750</v>
      </c>
      <c r="T13" s="6">
        <v>750</v>
      </c>
      <c r="U13" s="6">
        <v>750</v>
      </c>
      <c r="V13" s="6">
        <v>750</v>
      </c>
      <c r="W13" s="6">
        <v>750</v>
      </c>
      <c r="X13" s="6">
        <v>750</v>
      </c>
      <c r="Y13" s="6">
        <v>750</v>
      </c>
      <c r="Z13" s="6">
        <v>750</v>
      </c>
      <c r="AA13" s="6">
        <v>750</v>
      </c>
      <c r="AB13" s="6">
        <v>750</v>
      </c>
      <c r="AC13" s="6">
        <v>750</v>
      </c>
      <c r="AD13" s="6">
        <v>750</v>
      </c>
      <c r="AE13" s="6">
        <v>750</v>
      </c>
      <c r="AF13" s="6">
        <v>750</v>
      </c>
    </row>
    <row r="14" spans="1:34" s="6" customFormat="1" x14ac:dyDescent="0.25">
      <c r="A14" s="6" t="s">
        <v>45</v>
      </c>
      <c r="B14" s="6">
        <v>7500</v>
      </c>
      <c r="C14" s="6">
        <f>B14/1.01</f>
        <v>7425.742574257426</v>
      </c>
      <c r="D14" s="6">
        <f t="shared" ref="D14:AF14" si="5">C14/1.01</f>
        <v>7352.2203705519069</v>
      </c>
      <c r="E14" s="6">
        <f t="shared" si="5"/>
        <v>7279.426109457333</v>
      </c>
      <c r="F14" s="6">
        <f t="shared" si="5"/>
        <v>7207.352583621122</v>
      </c>
      <c r="G14" s="6">
        <f t="shared" si="5"/>
        <v>7135.9926570506159</v>
      </c>
      <c r="H14" s="6">
        <f t="shared" si="5"/>
        <v>7065.3392644065507</v>
      </c>
      <c r="I14" s="6">
        <f t="shared" si="5"/>
        <v>6995.3854103035155</v>
      </c>
      <c r="J14" s="6">
        <f t="shared" si="5"/>
        <v>6926.1241686173416</v>
      </c>
      <c r="K14" s="6">
        <f t="shared" si="5"/>
        <v>6857.5486817993478</v>
      </c>
      <c r="L14" s="6">
        <f t="shared" si="5"/>
        <v>6789.6521601973736</v>
      </c>
      <c r="M14" s="6">
        <f t="shared" si="5"/>
        <v>6722.4278813835381</v>
      </c>
      <c r="N14" s="6">
        <f t="shared" si="5"/>
        <v>6655.8691894886515</v>
      </c>
      <c r="O14" s="6">
        <f t="shared" si="5"/>
        <v>6589.9694945432193</v>
      </c>
      <c r="P14" s="6">
        <f t="shared" si="5"/>
        <v>6524.7222718249695</v>
      </c>
      <c r="Q14" s="6">
        <f t="shared" si="5"/>
        <v>6460.1210612128407</v>
      </c>
      <c r="R14" s="6">
        <f t="shared" si="5"/>
        <v>6396.1594665473667</v>
      </c>
      <c r="S14" s="6">
        <f t="shared" si="5"/>
        <v>6332.8311549973923</v>
      </c>
      <c r="T14" s="6">
        <f t="shared" si="5"/>
        <v>6270.1298564330618</v>
      </c>
      <c r="U14" s="6">
        <f t="shared" si="5"/>
        <v>6208.0493628050117</v>
      </c>
      <c r="V14" s="6">
        <f t="shared" si="5"/>
        <v>6146.583527529714</v>
      </c>
      <c r="W14" s="6">
        <f t="shared" si="5"/>
        <v>6085.7262648809046</v>
      </c>
      <c r="X14" s="6">
        <f t="shared" si="5"/>
        <v>6025.4715493870344</v>
      </c>
      <c r="Y14" s="6">
        <f t="shared" si="5"/>
        <v>5965.8134152346875</v>
      </c>
      <c r="Z14" s="6">
        <f t="shared" si="5"/>
        <v>5906.7459556779086</v>
      </c>
      <c r="AA14" s="6">
        <f t="shared" si="5"/>
        <v>5848.2633224533747</v>
      </c>
      <c r="AB14" s="6">
        <f t="shared" si="5"/>
        <v>5790.3597252013615</v>
      </c>
      <c r="AC14" s="6">
        <f t="shared" si="5"/>
        <v>5733.0294308924367</v>
      </c>
      <c r="AD14" s="6">
        <f t="shared" si="5"/>
        <v>5676.2667632598386</v>
      </c>
      <c r="AE14" s="6">
        <f t="shared" si="5"/>
        <v>5620.0661022374643</v>
      </c>
      <c r="AF14" s="6">
        <f t="shared" si="5"/>
        <v>5564.42188340343</v>
      </c>
    </row>
    <row r="15" spans="1:34" s="6" customFormat="1" x14ac:dyDescent="0.25">
      <c r="A15" s="6" t="s">
        <v>46</v>
      </c>
      <c r="B15" s="6">
        <v>1400</v>
      </c>
      <c r="C15" s="6">
        <f>B15-40</f>
        <v>1360</v>
      </c>
      <c r="D15" s="6">
        <f t="shared" ref="D15:AE15" si="6">C15-40</f>
        <v>1320</v>
      </c>
      <c r="E15" s="6">
        <f t="shared" si="6"/>
        <v>1280</v>
      </c>
      <c r="F15" s="6">
        <f t="shared" si="6"/>
        <v>1240</v>
      </c>
      <c r="G15" s="6">
        <f t="shared" si="6"/>
        <v>1200</v>
      </c>
      <c r="H15" s="6">
        <f t="shared" si="6"/>
        <v>1160</v>
      </c>
      <c r="I15" s="6">
        <f t="shared" si="6"/>
        <v>1120</v>
      </c>
      <c r="J15" s="6">
        <f t="shared" si="6"/>
        <v>1080</v>
      </c>
      <c r="K15" s="6">
        <f t="shared" si="6"/>
        <v>1040</v>
      </c>
      <c r="L15" s="6">
        <f t="shared" si="6"/>
        <v>1000</v>
      </c>
      <c r="M15" s="6">
        <f t="shared" si="6"/>
        <v>960</v>
      </c>
      <c r="N15" s="6">
        <f t="shared" si="6"/>
        <v>920</v>
      </c>
      <c r="O15" s="6">
        <f t="shared" si="6"/>
        <v>880</v>
      </c>
      <c r="P15" s="6">
        <f t="shared" si="6"/>
        <v>840</v>
      </c>
      <c r="Q15" s="6">
        <f t="shared" si="6"/>
        <v>800</v>
      </c>
      <c r="R15" s="6">
        <f t="shared" si="6"/>
        <v>760</v>
      </c>
      <c r="S15" s="6">
        <f t="shared" si="6"/>
        <v>720</v>
      </c>
      <c r="T15" s="6">
        <f t="shared" si="6"/>
        <v>680</v>
      </c>
      <c r="U15" s="6">
        <f t="shared" si="6"/>
        <v>640</v>
      </c>
      <c r="V15" s="6">
        <f t="shared" si="6"/>
        <v>600</v>
      </c>
      <c r="W15" s="6">
        <f t="shared" si="6"/>
        <v>560</v>
      </c>
      <c r="X15" s="6">
        <f t="shared" si="6"/>
        <v>520</v>
      </c>
      <c r="Y15" s="6">
        <f t="shared" si="6"/>
        <v>480</v>
      </c>
      <c r="Z15" s="6">
        <f t="shared" si="6"/>
        <v>440</v>
      </c>
      <c r="AA15" s="6">
        <f t="shared" si="6"/>
        <v>400</v>
      </c>
      <c r="AB15" s="6">
        <f t="shared" si="6"/>
        <v>360</v>
      </c>
      <c r="AC15" s="6">
        <f t="shared" si="6"/>
        <v>320</v>
      </c>
      <c r="AD15" s="6">
        <f t="shared" si="6"/>
        <v>280</v>
      </c>
      <c r="AE15" s="6">
        <f t="shared" si="6"/>
        <v>240</v>
      </c>
      <c r="AF15" s="6">
        <v>200</v>
      </c>
      <c r="AG15" s="9" t="s">
        <v>85</v>
      </c>
    </row>
    <row r="16" spans="1:34" s="6" customFormat="1" x14ac:dyDescent="0.25">
      <c r="A16" s="6" t="s">
        <v>47</v>
      </c>
      <c r="B16" s="6">
        <v>650</v>
      </c>
      <c r="C16" s="6">
        <f>B16/1.07</f>
        <v>607.47663551401865</v>
      </c>
      <c r="D16" s="6">
        <f t="shared" ref="D16:K16" si="7">C16/1.07</f>
        <v>567.73517337758744</v>
      </c>
      <c r="E16" s="6">
        <f t="shared" si="7"/>
        <v>530.59361997905364</v>
      </c>
      <c r="F16" s="6">
        <f t="shared" si="7"/>
        <v>495.88188783089123</v>
      </c>
      <c r="G16" s="6">
        <f t="shared" si="7"/>
        <v>463.44101666438428</v>
      </c>
      <c r="H16" s="6">
        <f t="shared" si="7"/>
        <v>433.12244548073295</v>
      </c>
      <c r="I16" s="6">
        <f t="shared" si="7"/>
        <v>404.78733222498403</v>
      </c>
      <c r="J16" s="6">
        <f t="shared" si="7"/>
        <v>378.30591796727475</v>
      </c>
      <c r="K16" s="6">
        <f t="shared" si="7"/>
        <v>353.55693267969599</v>
      </c>
      <c r="L16" s="6">
        <v>340</v>
      </c>
      <c r="M16" s="6">
        <f>L16/1.035</f>
        <v>328.50241545893721</v>
      </c>
      <c r="N16" s="6">
        <f t="shared" ref="N16:AE16" si="8">M16/1.035</f>
        <v>317.39363812457702</v>
      </c>
      <c r="O16" s="6">
        <f t="shared" si="8"/>
        <v>306.66051992712761</v>
      </c>
      <c r="P16" s="6">
        <f t="shared" si="8"/>
        <v>296.2903574175146</v>
      </c>
      <c r="Q16" s="6">
        <f t="shared" si="8"/>
        <v>286.27087673189817</v>
      </c>
      <c r="R16" s="6">
        <f t="shared" si="8"/>
        <v>276.59021906463596</v>
      </c>
      <c r="S16" s="6">
        <f t="shared" si="8"/>
        <v>267.23692663249852</v>
      </c>
      <c r="T16" s="6">
        <f t="shared" si="8"/>
        <v>258.19992911352517</v>
      </c>
      <c r="U16" s="6">
        <f t="shared" si="8"/>
        <v>249.46853054446879</v>
      </c>
      <c r="V16" s="6">
        <f t="shared" si="8"/>
        <v>241.03239666132251</v>
      </c>
      <c r="W16" s="6">
        <f t="shared" si="8"/>
        <v>232.88154266794447</v>
      </c>
      <c r="X16" s="6">
        <f t="shared" si="8"/>
        <v>225.00632141830386</v>
      </c>
      <c r="Y16" s="6">
        <f t="shared" si="8"/>
        <v>217.39741199836124</v>
      </c>
      <c r="Z16" s="6">
        <f t="shared" si="8"/>
        <v>210.04580869406885</v>
      </c>
      <c r="AA16" s="6">
        <f t="shared" si="8"/>
        <v>202.94281033243368</v>
      </c>
      <c r="AB16" s="6">
        <f t="shared" si="8"/>
        <v>196.08000998302774</v>
      </c>
      <c r="AC16" s="6">
        <f t="shared" si="8"/>
        <v>189.44928500775629</v>
      </c>
      <c r="AD16" s="6">
        <f t="shared" si="8"/>
        <v>183.04278744710754</v>
      </c>
      <c r="AE16" s="6">
        <f t="shared" si="8"/>
        <v>176.85293473150489</v>
      </c>
      <c r="AF16" s="6">
        <v>165</v>
      </c>
    </row>
    <row r="17" spans="1:32" s="6" customFormat="1" x14ac:dyDescent="0.25">
      <c r="A17" s="6" t="s">
        <v>48</v>
      </c>
    </row>
    <row r="18" spans="1:32" x14ac:dyDescent="0.25">
      <c r="A18" t="s">
        <v>49</v>
      </c>
    </row>
    <row r="19" spans="1:32" s="6" customFormat="1" x14ac:dyDescent="0.25">
      <c r="A19" s="6" t="s">
        <v>50</v>
      </c>
      <c r="B19" s="6">
        <v>900</v>
      </c>
      <c r="C19" s="6">
        <f>B19/1.01</f>
        <v>891.08910891089113</v>
      </c>
      <c r="D19" s="6">
        <f t="shared" ref="D19:P19" si="9">C19/1.01</f>
        <v>882.26644446622879</v>
      </c>
      <c r="E19" s="6">
        <f t="shared" si="9"/>
        <v>873.53113313487995</v>
      </c>
      <c r="F19" s="6">
        <f t="shared" si="9"/>
        <v>864.88231003453461</v>
      </c>
      <c r="G19" s="6">
        <f t="shared" si="9"/>
        <v>856.31911884607382</v>
      </c>
      <c r="H19" s="6">
        <f t="shared" si="9"/>
        <v>847.840711728786</v>
      </c>
      <c r="I19" s="6">
        <f t="shared" si="9"/>
        <v>839.44624923642175</v>
      </c>
      <c r="J19" s="6">
        <f t="shared" si="9"/>
        <v>831.13490023408099</v>
      </c>
      <c r="K19" s="6">
        <f t="shared" si="9"/>
        <v>822.9058418159218</v>
      </c>
      <c r="L19" s="6">
        <f t="shared" si="9"/>
        <v>814.75825922368495</v>
      </c>
      <c r="M19" s="6">
        <f t="shared" si="9"/>
        <v>806.69134576602471</v>
      </c>
      <c r="N19" s="6">
        <f t="shared" si="9"/>
        <v>798.70430273863838</v>
      </c>
      <c r="O19" s="6">
        <f t="shared" si="9"/>
        <v>790.79633934518654</v>
      </c>
      <c r="P19" s="6">
        <f t="shared" si="9"/>
        <v>782.96667261899654</v>
      </c>
      <c r="Q19" s="6">
        <v>747</v>
      </c>
      <c r="R19" s="6">
        <f>Q19/1.02</f>
        <v>732.35294117647061</v>
      </c>
      <c r="S19" s="6">
        <f t="shared" ref="S19:AE19" si="10">R19/1.02</f>
        <v>717.99307958477505</v>
      </c>
      <c r="T19" s="6">
        <f t="shared" si="10"/>
        <v>703.91478390664224</v>
      </c>
      <c r="U19" s="6">
        <f t="shared" si="10"/>
        <v>690.11253324180609</v>
      </c>
      <c r="V19" s="6">
        <f t="shared" si="10"/>
        <v>676.58091494294717</v>
      </c>
      <c r="W19" s="6">
        <f t="shared" si="10"/>
        <v>663.31462249308549</v>
      </c>
      <c r="X19" s="6">
        <f t="shared" si="10"/>
        <v>650.30845342459361</v>
      </c>
      <c r="Y19" s="6">
        <f t="shared" si="10"/>
        <v>637.55730727901334</v>
      </c>
      <c r="Z19" s="6">
        <f t="shared" si="10"/>
        <v>625.05618360687583</v>
      </c>
      <c r="AA19" s="6">
        <f t="shared" si="10"/>
        <v>612.80018000674102</v>
      </c>
      <c r="AB19" s="6">
        <f t="shared" si="10"/>
        <v>600.78449020268727</v>
      </c>
      <c r="AC19" s="6">
        <f t="shared" si="10"/>
        <v>589.00440215949732</v>
      </c>
      <c r="AD19" s="6">
        <f t="shared" si="10"/>
        <v>577.45529623480127</v>
      </c>
      <c r="AE19" s="6">
        <f t="shared" si="10"/>
        <v>566.13264336745226</v>
      </c>
      <c r="AF19" s="6">
        <v>540</v>
      </c>
    </row>
    <row r="21" spans="1:32" x14ac:dyDescent="0.25">
      <c r="A21" s="5"/>
    </row>
    <row r="22" spans="1:32" x14ac:dyDescent="0.25">
      <c r="A22" s="5"/>
    </row>
    <row r="23" spans="1:32" x14ac:dyDescent="0.25">
      <c r="A23" s="5"/>
    </row>
    <row r="24" spans="1:32" x14ac:dyDescent="0.25">
      <c r="A24" s="5"/>
    </row>
    <row r="25" spans="1:32" x14ac:dyDescent="0.25">
      <c r="A25" s="5"/>
    </row>
    <row r="26" spans="1:32" x14ac:dyDescent="0.25">
      <c r="A26" s="5"/>
    </row>
    <row r="27" spans="1:32" x14ac:dyDescent="0.25">
      <c r="A27" s="5"/>
    </row>
    <row r="28" spans="1:32" x14ac:dyDescent="0.25">
      <c r="A28" s="5"/>
    </row>
    <row r="29" spans="1:32" x14ac:dyDescent="0.25">
      <c r="A29" s="5"/>
    </row>
    <row r="30" spans="1:32" x14ac:dyDescent="0.25">
      <c r="A30" s="5"/>
    </row>
    <row r="31" spans="1:32" x14ac:dyDescent="0.25">
      <c r="A31" s="5"/>
    </row>
    <row r="32" spans="1:32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</sheetData>
  <hyperlinks>
    <hyperlink ref="AH6" r:id="rId1" xr:uid="{00000000-0004-0000-0500-000000000000}"/>
    <hyperlink ref="AG15" r:id="rId2" xr:uid="{00000000-0004-0000-05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4"/>
  <sheetViews>
    <sheetView topLeftCell="A7" workbookViewId="0">
      <selection activeCell="B13" sqref="B13"/>
    </sheetView>
  </sheetViews>
  <sheetFormatPr defaultRowHeight="15" x14ac:dyDescent="0.25"/>
  <sheetData>
    <row r="1" spans="1:32" x14ac:dyDescent="0.25">
      <c r="A1" s="5"/>
      <c r="B1" s="5">
        <v>2020</v>
      </c>
      <c r="C1" s="5">
        <v>2021</v>
      </c>
      <c r="D1" s="5">
        <v>2022</v>
      </c>
      <c r="E1" s="5">
        <v>2023</v>
      </c>
      <c r="F1" s="5">
        <v>2024</v>
      </c>
      <c r="G1" s="5">
        <v>2025</v>
      </c>
      <c r="H1" s="5">
        <v>2026</v>
      </c>
      <c r="I1" s="5">
        <v>2027</v>
      </c>
      <c r="J1" s="5">
        <v>2028</v>
      </c>
      <c r="K1" s="5">
        <v>2029</v>
      </c>
      <c r="L1" s="5">
        <v>2030</v>
      </c>
      <c r="M1" s="5">
        <v>2031</v>
      </c>
      <c r="N1" s="5">
        <v>2032</v>
      </c>
      <c r="O1" s="5">
        <v>2033</v>
      </c>
      <c r="P1" s="5">
        <v>2034</v>
      </c>
      <c r="Q1" s="5">
        <v>2035</v>
      </c>
      <c r="R1" s="5">
        <v>2036</v>
      </c>
      <c r="S1" s="5">
        <v>2037</v>
      </c>
      <c r="T1" s="5">
        <v>2038</v>
      </c>
      <c r="U1" s="5">
        <v>2039</v>
      </c>
      <c r="V1" s="5">
        <v>2040</v>
      </c>
      <c r="W1" s="5">
        <v>2041</v>
      </c>
      <c r="X1" s="5">
        <v>2042</v>
      </c>
      <c r="Y1" s="5">
        <v>2043</v>
      </c>
      <c r="Z1" s="5">
        <v>2044</v>
      </c>
      <c r="AA1" s="5">
        <v>2045</v>
      </c>
      <c r="AB1" s="5">
        <v>2046</v>
      </c>
      <c r="AC1" s="5">
        <v>2047</v>
      </c>
      <c r="AD1" s="5">
        <v>2048</v>
      </c>
      <c r="AE1" s="5">
        <v>2049</v>
      </c>
      <c r="AF1" s="5">
        <v>2050</v>
      </c>
    </row>
    <row r="2" spans="1:32" x14ac:dyDescent="0.2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5" t="s">
        <v>35</v>
      </c>
      <c r="B3" s="5">
        <v>90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x14ac:dyDescent="0.25">
      <c r="A4" s="5" t="s">
        <v>36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5" t="s">
        <v>37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5" t="s">
        <v>38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 s="5" t="s">
        <v>39</v>
      </c>
      <c r="B7" s="5">
        <v>40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5">
      <c r="A8" s="5" t="s">
        <v>83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 s="5" t="s">
        <v>40</v>
      </c>
      <c r="B9" s="5">
        <v>10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5">
      <c r="A10" s="5" t="s">
        <v>41</v>
      </c>
      <c r="B10" s="5">
        <v>30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5">
      <c r="A11" s="5" t="s">
        <v>42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 s="5" t="s">
        <v>43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13" s="5" t="s">
        <v>44</v>
      </c>
      <c r="B13" s="5">
        <v>20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5">
      <c r="A14" s="5" t="s">
        <v>45</v>
      </c>
      <c r="B14" s="5">
        <v>90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5">
      <c r="A15" s="5" t="s">
        <v>46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5">
      <c r="A16" s="5" t="s">
        <v>47</v>
      </c>
      <c r="B16" s="5">
        <v>15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5">
      <c r="A17" s="5" t="s">
        <v>48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A18" s="5" t="s">
        <v>49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5">
      <c r="A19" s="5" t="s">
        <v>50</v>
      </c>
      <c r="B19" s="5">
        <v>15</v>
      </c>
      <c r="C19" s="5"/>
      <c r="D19" s="5"/>
      <c r="E19" s="5"/>
      <c r="F19" s="5"/>
      <c r="G19" s="5">
        <v>0.25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5">
      <c r="A20" s="5"/>
      <c r="B20" s="5"/>
      <c r="C20" s="5"/>
      <c r="D20" s="5"/>
      <c r="E20" s="5"/>
      <c r="F20" s="5"/>
      <c r="G20" s="5">
        <v>0.25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5">
      <c r="A21" s="5"/>
      <c r="B21" s="5"/>
      <c r="C21" s="5"/>
      <c r="D21" s="5"/>
      <c r="E21" s="5"/>
      <c r="F21" s="5"/>
      <c r="G21" s="5">
        <v>0.16669999999999999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 s="5"/>
      <c r="B22" s="5"/>
      <c r="C22" s="5"/>
      <c r="D22" s="5"/>
      <c r="E22" s="5"/>
      <c r="F22" s="5"/>
      <c r="G22" s="5">
        <v>8.3299999999999999E-2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G23">
        <v>0.16669999999999999</v>
      </c>
    </row>
    <row r="24" spans="1:32" x14ac:dyDescent="0.25">
      <c r="G24">
        <v>0.33329999999999999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5"/>
  <sheetViews>
    <sheetView workbookViewId="0">
      <selection activeCell="B13" sqref="B13"/>
    </sheetView>
  </sheetViews>
  <sheetFormatPr defaultRowHeight="15" x14ac:dyDescent="0.25"/>
  <sheetData>
    <row r="1" spans="1:32" x14ac:dyDescent="0.25">
      <c r="A1" s="5"/>
      <c r="B1" s="5">
        <v>2020</v>
      </c>
      <c r="C1" s="5">
        <v>2021</v>
      </c>
      <c r="D1" s="5">
        <v>2022</v>
      </c>
      <c r="E1" s="5">
        <v>2023</v>
      </c>
      <c r="F1" s="5">
        <v>2024</v>
      </c>
      <c r="G1" s="5">
        <v>2025</v>
      </c>
      <c r="H1" s="5">
        <v>2026</v>
      </c>
      <c r="I1" s="5">
        <v>2027</v>
      </c>
      <c r="J1" s="5">
        <v>2028</v>
      </c>
      <c r="K1" s="5">
        <v>2029</v>
      </c>
      <c r="L1" s="5">
        <v>2030</v>
      </c>
      <c r="M1" s="5">
        <v>2031</v>
      </c>
      <c r="N1" s="5">
        <v>2032</v>
      </c>
      <c r="O1" s="5">
        <v>2033</v>
      </c>
      <c r="P1" s="5">
        <v>2034</v>
      </c>
      <c r="Q1" s="5">
        <v>2035</v>
      </c>
      <c r="R1" s="5">
        <v>2036</v>
      </c>
      <c r="S1" s="5">
        <v>2037</v>
      </c>
      <c r="T1" s="5">
        <v>2038</v>
      </c>
      <c r="U1" s="5">
        <v>2039</v>
      </c>
      <c r="V1" s="5">
        <v>2040</v>
      </c>
      <c r="W1" s="5">
        <v>2041</v>
      </c>
      <c r="X1" s="5">
        <v>2042</v>
      </c>
      <c r="Y1" s="5">
        <v>2043</v>
      </c>
      <c r="Z1" s="5">
        <v>2044</v>
      </c>
      <c r="AA1" s="5">
        <v>2045</v>
      </c>
      <c r="AB1" s="5">
        <v>2046</v>
      </c>
      <c r="AC1" s="5">
        <v>2047</v>
      </c>
      <c r="AD1" s="5">
        <v>2048</v>
      </c>
      <c r="AE1" s="5">
        <v>2049</v>
      </c>
      <c r="AF1" s="5">
        <v>2050</v>
      </c>
    </row>
    <row r="2" spans="1:32" x14ac:dyDescent="0.2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5" t="s">
        <v>35</v>
      </c>
      <c r="B3" s="5">
        <v>3.6</v>
      </c>
      <c r="C3" s="5">
        <v>3.6</v>
      </c>
      <c r="D3" s="5">
        <v>3.6</v>
      </c>
      <c r="E3" s="5">
        <v>3.6</v>
      </c>
      <c r="F3" s="5">
        <v>3.6</v>
      </c>
      <c r="G3" s="5">
        <v>3.6</v>
      </c>
      <c r="H3" s="5">
        <v>3.6</v>
      </c>
      <c r="I3" s="5">
        <v>3.6</v>
      </c>
      <c r="J3" s="5">
        <v>3.6</v>
      </c>
      <c r="K3" s="5">
        <v>3.6</v>
      </c>
      <c r="L3" s="5">
        <v>3.6</v>
      </c>
      <c r="M3" s="5">
        <v>3.6</v>
      </c>
      <c r="N3" s="5">
        <v>3.6</v>
      </c>
      <c r="O3" s="5">
        <v>3.6</v>
      </c>
      <c r="P3" s="5">
        <v>3.6</v>
      </c>
      <c r="Q3" s="5">
        <v>3.6</v>
      </c>
      <c r="R3" s="5">
        <v>3.6</v>
      </c>
      <c r="S3" s="5">
        <v>3.6</v>
      </c>
      <c r="T3" s="5">
        <v>3.6</v>
      </c>
      <c r="U3" s="5">
        <v>3.6</v>
      </c>
      <c r="V3" s="5">
        <v>3.6</v>
      </c>
      <c r="W3" s="5">
        <v>3.6</v>
      </c>
      <c r="X3" s="5">
        <v>3.6</v>
      </c>
      <c r="Y3" s="5">
        <v>3.6</v>
      </c>
      <c r="Z3" s="5">
        <v>3.6</v>
      </c>
      <c r="AA3" s="5">
        <v>3.6</v>
      </c>
      <c r="AB3" s="5">
        <v>3.6</v>
      </c>
      <c r="AC3" s="5">
        <v>3.6</v>
      </c>
      <c r="AD3" s="5">
        <v>3.6</v>
      </c>
      <c r="AE3" s="5">
        <v>3.6</v>
      </c>
      <c r="AF3" s="5">
        <v>3.6</v>
      </c>
    </row>
    <row r="4" spans="1:32" x14ac:dyDescent="0.25">
      <c r="A4" s="5" t="s">
        <v>36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5" t="s">
        <v>37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5" t="s">
        <v>38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5">
      <c r="A7" s="5" t="s">
        <v>39</v>
      </c>
      <c r="B7" s="5">
        <v>36</v>
      </c>
      <c r="C7" s="5">
        <v>36</v>
      </c>
      <c r="D7" s="5">
        <v>36</v>
      </c>
      <c r="E7" s="5">
        <v>36</v>
      </c>
      <c r="F7" s="5">
        <v>36</v>
      </c>
      <c r="G7" s="5">
        <v>36</v>
      </c>
      <c r="H7" s="5">
        <v>36</v>
      </c>
      <c r="I7" s="5">
        <v>36</v>
      </c>
      <c r="J7" s="5">
        <v>36</v>
      </c>
      <c r="K7" s="5">
        <v>36</v>
      </c>
      <c r="L7" s="5">
        <v>36</v>
      </c>
      <c r="M7" s="5">
        <v>36</v>
      </c>
      <c r="N7" s="5">
        <v>36</v>
      </c>
      <c r="O7" s="5">
        <v>36</v>
      </c>
      <c r="P7" s="5">
        <v>36</v>
      </c>
      <c r="Q7" s="5">
        <v>36</v>
      </c>
      <c r="R7" s="5">
        <v>36</v>
      </c>
      <c r="S7" s="5">
        <v>36</v>
      </c>
      <c r="T7" s="5">
        <v>36</v>
      </c>
      <c r="U7" s="5">
        <v>36</v>
      </c>
      <c r="V7" s="5">
        <v>36</v>
      </c>
      <c r="W7" s="5">
        <v>36</v>
      </c>
      <c r="X7" s="5">
        <v>36</v>
      </c>
      <c r="Y7" s="5">
        <v>36</v>
      </c>
      <c r="Z7" s="5">
        <v>36</v>
      </c>
      <c r="AA7" s="5">
        <v>36</v>
      </c>
      <c r="AB7" s="5">
        <v>36</v>
      </c>
      <c r="AC7" s="5">
        <v>36</v>
      </c>
      <c r="AD7" s="5">
        <v>36</v>
      </c>
      <c r="AE7" s="5">
        <v>36</v>
      </c>
      <c r="AF7" s="5">
        <v>36</v>
      </c>
    </row>
    <row r="8" spans="1:32" x14ac:dyDescent="0.25">
      <c r="A8" s="5" t="s">
        <v>83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5">
      <c r="A9" s="5" t="s">
        <v>40</v>
      </c>
      <c r="B9" s="5">
        <v>0.36</v>
      </c>
      <c r="C9" s="5">
        <v>0.36</v>
      </c>
      <c r="D9" s="5">
        <v>0.36</v>
      </c>
      <c r="E9" s="5">
        <v>0.36</v>
      </c>
      <c r="F9" s="5">
        <v>0.36</v>
      </c>
      <c r="G9" s="5">
        <v>0.36</v>
      </c>
      <c r="H9" s="5">
        <v>0.36</v>
      </c>
      <c r="I9" s="5">
        <v>0.36</v>
      </c>
      <c r="J9" s="5">
        <v>0.36</v>
      </c>
      <c r="K9" s="5">
        <v>0.36</v>
      </c>
      <c r="L9" s="5">
        <v>0.36</v>
      </c>
      <c r="M9" s="5">
        <v>0.36</v>
      </c>
      <c r="N9" s="5">
        <v>0.36</v>
      </c>
      <c r="O9" s="5">
        <v>0.36</v>
      </c>
      <c r="P9" s="5">
        <v>0.36</v>
      </c>
      <c r="Q9" s="5">
        <v>0.36</v>
      </c>
      <c r="R9" s="5">
        <v>0.36</v>
      </c>
      <c r="S9" s="5">
        <v>0.36</v>
      </c>
      <c r="T9" s="5">
        <v>0.36</v>
      </c>
      <c r="U9" s="5">
        <v>0.36</v>
      </c>
      <c r="V9" s="5">
        <v>0.36</v>
      </c>
      <c r="W9" s="5">
        <v>0.36</v>
      </c>
      <c r="X9" s="5">
        <v>0.36</v>
      </c>
      <c r="Y9" s="5">
        <v>0.36</v>
      </c>
      <c r="Z9" s="5">
        <v>0.36</v>
      </c>
      <c r="AA9" s="5">
        <v>0.36</v>
      </c>
      <c r="AB9" s="5">
        <v>0.36</v>
      </c>
      <c r="AC9" s="5">
        <v>0.36</v>
      </c>
      <c r="AD9" s="5">
        <v>0.36</v>
      </c>
      <c r="AE9" s="5">
        <v>0.36</v>
      </c>
      <c r="AF9" s="5">
        <v>0.36</v>
      </c>
    </row>
    <row r="10" spans="1:32" x14ac:dyDescent="0.25">
      <c r="A10" s="5" t="s">
        <v>41</v>
      </c>
      <c r="B10" s="5">
        <v>14.4</v>
      </c>
      <c r="C10" s="5">
        <v>14.4</v>
      </c>
      <c r="D10" s="5">
        <v>14.4</v>
      </c>
      <c r="E10" s="5">
        <v>14.4</v>
      </c>
      <c r="F10" s="5">
        <v>14.4</v>
      </c>
      <c r="G10" s="5">
        <v>14.4</v>
      </c>
      <c r="H10" s="5">
        <v>14.4</v>
      </c>
      <c r="I10" s="5">
        <v>14.4</v>
      </c>
      <c r="J10" s="5">
        <v>14.4</v>
      </c>
      <c r="K10" s="5">
        <v>14.4</v>
      </c>
      <c r="L10" s="5">
        <v>14.4</v>
      </c>
      <c r="M10" s="5">
        <v>14.4</v>
      </c>
      <c r="N10" s="5">
        <v>14.4</v>
      </c>
      <c r="O10" s="5">
        <v>14.4</v>
      </c>
      <c r="P10" s="5">
        <v>14.4</v>
      </c>
      <c r="Q10" s="5">
        <v>14.4</v>
      </c>
      <c r="R10" s="5">
        <v>14.4</v>
      </c>
      <c r="S10" s="5">
        <v>14.4</v>
      </c>
      <c r="T10" s="5">
        <v>14.4</v>
      </c>
      <c r="U10" s="5">
        <v>14.4</v>
      </c>
      <c r="V10" s="5">
        <v>14.4</v>
      </c>
      <c r="W10" s="5">
        <v>14.4</v>
      </c>
      <c r="X10" s="5">
        <v>14.4</v>
      </c>
      <c r="Y10" s="5">
        <v>14.4</v>
      </c>
      <c r="Z10" s="5">
        <v>14.4</v>
      </c>
      <c r="AA10" s="5">
        <v>14.4</v>
      </c>
      <c r="AB10" s="5">
        <v>14.4</v>
      </c>
      <c r="AC10" s="5">
        <v>14.4</v>
      </c>
      <c r="AD10" s="5">
        <v>14.4</v>
      </c>
      <c r="AE10" s="5">
        <v>14.4</v>
      </c>
      <c r="AF10" s="5">
        <v>14.4</v>
      </c>
    </row>
    <row r="11" spans="1:32" x14ac:dyDescent="0.25">
      <c r="A11" s="5" t="s">
        <v>42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5">
      <c r="A12" s="5" t="s">
        <v>43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13" s="5" t="s">
        <v>44</v>
      </c>
      <c r="B13" s="5">
        <v>3.6</v>
      </c>
      <c r="C13" s="5">
        <v>3.6</v>
      </c>
      <c r="D13" s="5">
        <v>3.6</v>
      </c>
      <c r="E13" s="5">
        <v>3.6</v>
      </c>
      <c r="F13" s="5">
        <v>3.6</v>
      </c>
      <c r="G13" s="5">
        <v>3.6</v>
      </c>
      <c r="H13" s="5">
        <v>3.6</v>
      </c>
      <c r="I13" s="5">
        <v>3.6</v>
      </c>
      <c r="J13" s="5">
        <v>3.6</v>
      </c>
      <c r="K13" s="5">
        <v>3.6</v>
      </c>
      <c r="L13" s="5">
        <v>3.6</v>
      </c>
      <c r="M13" s="5">
        <v>3.6</v>
      </c>
      <c r="N13" s="5">
        <v>3.6</v>
      </c>
      <c r="O13" s="5">
        <v>3.6</v>
      </c>
      <c r="P13" s="5">
        <v>3.6</v>
      </c>
      <c r="Q13" s="5">
        <v>3.6</v>
      </c>
      <c r="R13" s="5">
        <v>3.6</v>
      </c>
      <c r="S13" s="5">
        <v>3.6</v>
      </c>
      <c r="T13" s="5">
        <v>3.6</v>
      </c>
      <c r="U13" s="5">
        <v>3.6</v>
      </c>
      <c r="V13" s="5">
        <v>3.6</v>
      </c>
      <c r="W13" s="5">
        <v>3.6</v>
      </c>
      <c r="X13" s="5">
        <v>3.6</v>
      </c>
      <c r="Y13" s="5">
        <v>3.6</v>
      </c>
      <c r="Z13" s="5">
        <v>3.6</v>
      </c>
      <c r="AA13" s="5">
        <v>3.6</v>
      </c>
      <c r="AB13" s="5">
        <v>3.6</v>
      </c>
      <c r="AC13" s="5">
        <v>3.6</v>
      </c>
      <c r="AD13" s="5">
        <v>3.6</v>
      </c>
      <c r="AE13" s="5">
        <v>3.6</v>
      </c>
      <c r="AF13" s="5">
        <v>3.6</v>
      </c>
    </row>
    <row r="14" spans="1:32" x14ac:dyDescent="0.25">
      <c r="A14" s="5" t="s">
        <v>45</v>
      </c>
      <c r="B14" s="5">
        <v>18</v>
      </c>
      <c r="C14" s="5">
        <v>18</v>
      </c>
      <c r="D14" s="5">
        <v>18</v>
      </c>
      <c r="E14" s="5">
        <v>18</v>
      </c>
      <c r="F14" s="5">
        <v>18</v>
      </c>
      <c r="G14" s="5">
        <v>18</v>
      </c>
      <c r="H14" s="5">
        <v>18</v>
      </c>
      <c r="I14" s="5">
        <v>18</v>
      </c>
      <c r="J14" s="5">
        <v>18</v>
      </c>
      <c r="K14" s="5">
        <v>18</v>
      </c>
      <c r="L14" s="5">
        <v>18</v>
      </c>
      <c r="M14" s="5">
        <v>18</v>
      </c>
      <c r="N14" s="5">
        <v>18</v>
      </c>
      <c r="O14" s="5">
        <v>18</v>
      </c>
      <c r="P14" s="5">
        <v>18</v>
      </c>
      <c r="Q14" s="5">
        <v>18</v>
      </c>
      <c r="R14" s="5">
        <v>18</v>
      </c>
      <c r="S14" s="5">
        <v>18</v>
      </c>
      <c r="T14" s="5">
        <v>18</v>
      </c>
      <c r="U14" s="5">
        <v>18</v>
      </c>
      <c r="V14" s="5">
        <v>18</v>
      </c>
      <c r="W14" s="5">
        <v>18</v>
      </c>
      <c r="X14" s="5">
        <v>18</v>
      </c>
      <c r="Y14" s="5">
        <v>18</v>
      </c>
      <c r="Z14" s="5">
        <v>18</v>
      </c>
      <c r="AA14" s="5">
        <v>18</v>
      </c>
      <c r="AB14" s="5">
        <v>18</v>
      </c>
      <c r="AC14" s="5">
        <v>18</v>
      </c>
      <c r="AD14" s="5">
        <v>18</v>
      </c>
      <c r="AE14" s="5">
        <v>18</v>
      </c>
      <c r="AF14" s="5">
        <v>18</v>
      </c>
    </row>
    <row r="15" spans="1:32" x14ac:dyDescent="0.25">
      <c r="A15" s="5" t="s">
        <v>46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5">
      <c r="A16" s="5" t="s">
        <v>47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</row>
    <row r="17" spans="1:32" x14ac:dyDescent="0.25">
      <c r="A17" s="5" t="s">
        <v>48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A18" s="5" t="s">
        <v>49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5">
      <c r="A19" s="5" t="s">
        <v>50</v>
      </c>
      <c r="B19" s="5">
        <v>1.8</v>
      </c>
      <c r="C19" s="5">
        <v>1.8</v>
      </c>
      <c r="D19" s="5">
        <v>1.8</v>
      </c>
      <c r="E19" s="5">
        <v>1.8</v>
      </c>
      <c r="F19" s="5">
        <v>1.8</v>
      </c>
      <c r="G19" s="5">
        <v>1.8</v>
      </c>
      <c r="H19" s="5">
        <v>1.8</v>
      </c>
      <c r="I19" s="5">
        <v>1.8</v>
      </c>
      <c r="J19" s="5">
        <v>1.8</v>
      </c>
      <c r="K19" s="5">
        <v>1.8</v>
      </c>
      <c r="L19" s="5">
        <v>1.8</v>
      </c>
      <c r="M19" s="5">
        <v>1.8</v>
      </c>
      <c r="N19" s="5">
        <v>1.8</v>
      </c>
      <c r="O19" s="5">
        <v>1.8</v>
      </c>
      <c r="P19" s="5">
        <v>1.8</v>
      </c>
      <c r="Q19" s="5">
        <v>1.8</v>
      </c>
      <c r="R19" s="5">
        <v>1.8</v>
      </c>
      <c r="S19" s="5">
        <v>1.8</v>
      </c>
      <c r="T19" s="5">
        <v>1.8</v>
      </c>
      <c r="U19" s="5">
        <v>1.8</v>
      </c>
      <c r="V19" s="5">
        <v>1.8</v>
      </c>
      <c r="W19" s="5">
        <v>1.8</v>
      </c>
      <c r="X19" s="5">
        <v>1.8</v>
      </c>
      <c r="Y19" s="5">
        <v>1.8</v>
      </c>
      <c r="Z19" s="5">
        <v>1.8</v>
      </c>
      <c r="AA19" s="5">
        <v>1.8</v>
      </c>
      <c r="AB19" s="5">
        <v>1.8</v>
      </c>
      <c r="AC19" s="5">
        <v>1.8</v>
      </c>
      <c r="AD19" s="5">
        <v>1.8</v>
      </c>
      <c r="AE19" s="5">
        <v>1.8</v>
      </c>
      <c r="AF19" s="5">
        <v>1.8</v>
      </c>
    </row>
    <row r="20" spans="1:3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"/>
  <sheetViews>
    <sheetView workbookViewId="0">
      <selection activeCell="B10" sqref="B10"/>
    </sheetView>
  </sheetViews>
  <sheetFormatPr defaultRowHeight="15" x14ac:dyDescent="0.25"/>
  <sheetData>
    <row r="1" spans="1:2" x14ac:dyDescent="0.25">
      <c r="B1" t="s">
        <v>58</v>
      </c>
    </row>
    <row r="2" spans="1:2" x14ac:dyDescent="0.25">
      <c r="A2" t="s">
        <v>34</v>
      </c>
    </row>
    <row r="3" spans="1:2" x14ac:dyDescent="0.25">
      <c r="A3" s="6" t="s">
        <v>35</v>
      </c>
      <c r="B3">
        <v>20</v>
      </c>
    </row>
    <row r="4" spans="1:2" x14ac:dyDescent="0.25">
      <c r="A4" t="s">
        <v>36</v>
      </c>
    </row>
    <row r="5" spans="1:2" x14ac:dyDescent="0.25">
      <c r="A5" t="s">
        <v>37</v>
      </c>
    </row>
    <row r="6" spans="1:2" x14ac:dyDescent="0.25">
      <c r="A6" s="6" t="s">
        <v>38</v>
      </c>
      <c r="B6">
        <v>8</v>
      </c>
    </row>
    <row r="7" spans="1:2" x14ac:dyDescent="0.25">
      <c r="A7" s="6" t="s">
        <v>39</v>
      </c>
      <c r="B7">
        <v>30</v>
      </c>
    </row>
    <row r="8" spans="1:2" x14ac:dyDescent="0.25">
      <c r="A8" t="s">
        <v>83</v>
      </c>
    </row>
    <row r="9" spans="1:2" x14ac:dyDescent="0.25">
      <c r="A9" s="6" t="s">
        <v>40</v>
      </c>
      <c r="B9">
        <v>40</v>
      </c>
    </row>
    <row r="10" spans="1:2" x14ac:dyDescent="0.25">
      <c r="A10" s="6" t="s">
        <v>41</v>
      </c>
      <c r="B10">
        <v>30</v>
      </c>
    </row>
    <row r="11" spans="1:2" x14ac:dyDescent="0.25">
      <c r="A11" t="s">
        <v>42</v>
      </c>
    </row>
    <row r="12" spans="1:2" x14ac:dyDescent="0.25">
      <c r="A12" t="s">
        <v>43</v>
      </c>
    </row>
    <row r="13" spans="1:2" x14ac:dyDescent="0.25">
      <c r="A13" s="6" t="s">
        <v>44</v>
      </c>
      <c r="B13">
        <v>20</v>
      </c>
    </row>
    <row r="14" spans="1:2" x14ac:dyDescent="0.25">
      <c r="A14" s="6" t="s">
        <v>45</v>
      </c>
      <c r="B14">
        <v>50</v>
      </c>
    </row>
    <row r="15" spans="1:2" x14ac:dyDescent="0.25">
      <c r="A15" s="6" t="s">
        <v>46</v>
      </c>
      <c r="B15">
        <v>15</v>
      </c>
    </row>
    <row r="16" spans="1:2" x14ac:dyDescent="0.25">
      <c r="A16" s="6" t="s">
        <v>47</v>
      </c>
      <c r="B16">
        <v>20</v>
      </c>
    </row>
    <row r="17" spans="1:2" x14ac:dyDescent="0.25">
      <c r="A17" t="s">
        <v>48</v>
      </c>
    </row>
    <row r="18" spans="1:2" x14ac:dyDescent="0.25">
      <c r="A18" t="s">
        <v>49</v>
      </c>
    </row>
    <row r="19" spans="1:2" x14ac:dyDescent="0.25">
      <c r="A19" s="6" t="s">
        <v>50</v>
      </c>
      <c r="B1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73"/>
  <sheetViews>
    <sheetView topLeftCell="E52" workbookViewId="0">
      <selection activeCell="C57" sqref="C57:W73"/>
    </sheetView>
  </sheetViews>
  <sheetFormatPr defaultRowHeight="15" x14ac:dyDescent="0.25"/>
  <cols>
    <col min="1" max="1" width="11.28515625" bestFit="1" customWidth="1"/>
    <col min="2" max="2" width="11.140625" customWidth="1"/>
    <col min="6" max="6" width="9.140625" customWidth="1"/>
    <col min="24" max="24" width="12" bestFit="1" customWidth="1"/>
  </cols>
  <sheetData>
    <row r="1" spans="1:32" x14ac:dyDescent="0.25">
      <c r="B1" t="s">
        <v>59</v>
      </c>
      <c r="C1">
        <v>2021</v>
      </c>
      <c r="D1">
        <v>2020</v>
      </c>
    </row>
    <row r="2" spans="1:32" x14ac:dyDescent="0.25">
      <c r="A2" t="s">
        <v>53</v>
      </c>
      <c r="B2">
        <f>8244.4+23283.5</f>
        <v>31527.9</v>
      </c>
      <c r="C2">
        <f>8090.4+23236.6</f>
        <v>31327</v>
      </c>
      <c r="D2">
        <f>7864.4+20679.2</f>
        <v>28543.599999999999</v>
      </c>
      <c r="F2">
        <f>D19/40</f>
        <v>0.78819750000000011</v>
      </c>
      <c r="H2" t="e">
        <f>#REF!/15</f>
        <v>#REF!</v>
      </c>
    </row>
    <row r="3" spans="1:32" x14ac:dyDescent="0.25">
      <c r="A3" t="s">
        <v>52</v>
      </c>
      <c r="B3">
        <f>405+9053.8+10142.5+840.8</f>
        <v>20442.099999999999</v>
      </c>
      <c r="C3">
        <f>405+8986.9+10119.9+810.8</f>
        <v>20322.599999999999</v>
      </c>
      <c r="D3">
        <f>405+8966.9+10101+810.8</f>
        <v>20283.7</v>
      </c>
      <c r="F3">
        <f>D20/30</f>
        <v>0.68140333333333336</v>
      </c>
    </row>
    <row r="4" spans="1:32" x14ac:dyDescent="0.25">
      <c r="A4" t="s">
        <v>51</v>
      </c>
      <c r="B4">
        <f>1711.1+390.9</f>
        <v>2102</v>
      </c>
      <c r="C4">
        <f>1147.9+366.2</f>
        <v>1514.1000000000001</v>
      </c>
      <c r="D4">
        <f>818.1+363.8</f>
        <v>1181.9000000000001</v>
      </c>
      <c r="F4">
        <f>D13/20</f>
        <v>0.1051</v>
      </c>
    </row>
    <row r="5" spans="1:32" x14ac:dyDescent="0.25">
      <c r="A5" t="s">
        <v>54</v>
      </c>
      <c r="B5">
        <f>25455.8+2</f>
        <v>25457.8</v>
      </c>
      <c r="C5">
        <f>25697.8+2</f>
        <v>25699.8</v>
      </c>
      <c r="D5">
        <f>25666.8+2</f>
        <v>25668.799999999999</v>
      </c>
      <c r="F5">
        <f>D23/20</f>
        <v>1.2728899999999999</v>
      </c>
    </row>
    <row r="6" spans="1:32" x14ac:dyDescent="0.25">
      <c r="A6" t="s">
        <v>55</v>
      </c>
      <c r="B6">
        <f>8028.9</f>
        <v>8028.9</v>
      </c>
      <c r="C6">
        <f>6964</f>
        <v>6964</v>
      </c>
      <c r="D6">
        <f>6104.5</f>
        <v>6104.5</v>
      </c>
      <c r="F6">
        <f>D26/20</f>
        <v>0.401445</v>
      </c>
    </row>
    <row r="7" spans="1:32" x14ac:dyDescent="0.25">
      <c r="A7" t="s">
        <v>56</v>
      </c>
      <c r="B7">
        <f>1676.2</f>
        <v>1676.2</v>
      </c>
      <c r="C7">
        <f>1623.9</f>
        <v>1623.9</v>
      </c>
      <c r="D7">
        <f>1514.7</f>
        <v>1514.7</v>
      </c>
      <c r="F7">
        <f>D17/30</f>
        <v>5.5873333333333337E-2</v>
      </c>
    </row>
    <row r="8" spans="1:32" x14ac:dyDescent="0.25">
      <c r="A8" t="s">
        <v>57</v>
      </c>
      <c r="B8">
        <v>10861.5</v>
      </c>
      <c r="C8">
        <f>9360.6</f>
        <v>9360.6</v>
      </c>
      <c r="D8">
        <f>7761.8</f>
        <v>7761.8</v>
      </c>
      <c r="F8">
        <f>D29/20</f>
        <v>0.54307499999999997</v>
      </c>
    </row>
    <row r="9" spans="1:32" x14ac:dyDescent="0.25">
      <c r="F9" t="e">
        <f>#REF!/25</f>
        <v>#REF!</v>
      </c>
    </row>
    <row r="11" spans="1:32" x14ac:dyDescent="0.25">
      <c r="B11">
        <v>2020</v>
      </c>
      <c r="C11">
        <v>2021</v>
      </c>
      <c r="D11">
        <v>2022</v>
      </c>
      <c r="E11">
        <v>2023</v>
      </c>
      <c r="F11">
        <v>2024</v>
      </c>
      <c r="G11">
        <v>2025</v>
      </c>
      <c r="H11">
        <v>2026</v>
      </c>
      <c r="I11">
        <v>2027</v>
      </c>
      <c r="J11">
        <v>2028</v>
      </c>
      <c r="K11">
        <v>2029</v>
      </c>
      <c r="L11">
        <v>2030</v>
      </c>
      <c r="M11">
        <v>2031</v>
      </c>
      <c r="N11">
        <v>2032</v>
      </c>
      <c r="O11">
        <v>2033</v>
      </c>
      <c r="P11">
        <v>2034</v>
      </c>
      <c r="Q11">
        <v>2035</v>
      </c>
      <c r="R11">
        <v>2036</v>
      </c>
      <c r="S11">
        <v>2037</v>
      </c>
      <c r="T11">
        <v>2038</v>
      </c>
      <c r="U11">
        <v>2039</v>
      </c>
      <c r="V11">
        <v>2040</v>
      </c>
      <c r="W11">
        <v>2041</v>
      </c>
      <c r="X11">
        <v>2042</v>
      </c>
      <c r="Y11">
        <v>2043</v>
      </c>
      <c r="Z11">
        <v>2044</v>
      </c>
      <c r="AA11">
        <v>2045</v>
      </c>
      <c r="AB11">
        <v>2046</v>
      </c>
      <c r="AC11">
        <v>2047</v>
      </c>
      <c r="AD11">
        <v>2048</v>
      </c>
      <c r="AE11">
        <v>2049</v>
      </c>
      <c r="AF11">
        <v>2050</v>
      </c>
    </row>
    <row r="12" spans="1:32" x14ac:dyDescent="0.25">
      <c r="A12" t="s">
        <v>34</v>
      </c>
    </row>
    <row r="13" spans="1:32" x14ac:dyDescent="0.25">
      <c r="A13" s="6" t="s">
        <v>35</v>
      </c>
      <c r="B13">
        <f>D4/1000</f>
        <v>1.1819000000000002</v>
      </c>
      <c r="C13">
        <f>C4/1000</f>
        <v>1.5141000000000002</v>
      </c>
      <c r="D13">
        <f>B4/1000</f>
        <v>2.1019999999999999</v>
      </c>
      <c r="E13">
        <f>D13-0.1051</f>
        <v>1.9968999999999999</v>
      </c>
      <c r="F13">
        <f t="shared" ref="F13:W13" si="0">E13-0.1051</f>
        <v>1.8917999999999999</v>
      </c>
      <c r="G13">
        <f t="shared" si="0"/>
        <v>1.7867</v>
      </c>
      <c r="H13">
        <f t="shared" si="0"/>
        <v>1.6816</v>
      </c>
      <c r="I13">
        <f t="shared" si="0"/>
        <v>1.5765</v>
      </c>
      <c r="J13">
        <f t="shared" si="0"/>
        <v>1.4714</v>
      </c>
      <c r="K13">
        <f t="shared" si="0"/>
        <v>1.3663000000000001</v>
      </c>
      <c r="L13">
        <f t="shared" si="0"/>
        <v>1.2612000000000001</v>
      </c>
      <c r="M13">
        <f t="shared" si="0"/>
        <v>1.1561000000000001</v>
      </c>
      <c r="N13">
        <f t="shared" si="0"/>
        <v>1.0510000000000002</v>
      </c>
      <c r="O13">
        <f t="shared" si="0"/>
        <v>0.94590000000000019</v>
      </c>
      <c r="P13">
        <f t="shared" si="0"/>
        <v>0.84080000000000021</v>
      </c>
      <c r="Q13">
        <f t="shared" si="0"/>
        <v>0.73570000000000024</v>
      </c>
      <c r="R13">
        <f t="shared" si="0"/>
        <v>0.63060000000000027</v>
      </c>
      <c r="S13">
        <f t="shared" si="0"/>
        <v>0.5255000000000003</v>
      </c>
      <c r="T13">
        <f t="shared" si="0"/>
        <v>0.42040000000000033</v>
      </c>
      <c r="U13">
        <f t="shared" si="0"/>
        <v>0.31530000000000036</v>
      </c>
      <c r="V13">
        <f t="shared" si="0"/>
        <v>0.21020000000000036</v>
      </c>
      <c r="W13">
        <f t="shared" si="0"/>
        <v>0.10510000000000036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36</v>
      </c>
    </row>
    <row r="15" spans="1:32" x14ac:dyDescent="0.25">
      <c r="A15" t="s">
        <v>37</v>
      </c>
    </row>
    <row r="16" spans="1:32" x14ac:dyDescent="0.25">
      <c r="A16" t="s">
        <v>38</v>
      </c>
    </row>
    <row r="17" spans="1:32" x14ac:dyDescent="0.25">
      <c r="A17" s="6" t="s">
        <v>39</v>
      </c>
      <c r="B17">
        <f>D7/1000</f>
        <v>1.5146999999999999</v>
      </c>
      <c r="C17">
        <f>C7/1000</f>
        <v>1.6239000000000001</v>
      </c>
      <c r="D17">
        <f>B7/1000</f>
        <v>1.6762000000000001</v>
      </c>
      <c r="E17">
        <f>D17-0.055873</f>
        <v>1.6203270000000001</v>
      </c>
      <c r="F17">
        <f t="shared" ref="F17:AF17" si="1">E17-0.055873</f>
        <v>1.564454</v>
      </c>
      <c r="G17">
        <f t="shared" si="1"/>
        <v>1.5085809999999999</v>
      </c>
      <c r="H17">
        <f t="shared" si="1"/>
        <v>1.4527079999999999</v>
      </c>
      <c r="I17">
        <f t="shared" si="1"/>
        <v>1.3968349999999998</v>
      </c>
      <c r="J17">
        <f t="shared" si="1"/>
        <v>1.3409619999999998</v>
      </c>
      <c r="K17">
        <f t="shared" si="1"/>
        <v>1.2850889999999997</v>
      </c>
      <c r="L17">
        <f t="shared" si="1"/>
        <v>1.2292159999999996</v>
      </c>
      <c r="M17">
        <f t="shared" si="1"/>
        <v>1.1733429999999996</v>
      </c>
      <c r="N17">
        <f t="shared" si="1"/>
        <v>1.1174699999999995</v>
      </c>
      <c r="O17">
        <f t="shared" si="1"/>
        <v>1.0615969999999995</v>
      </c>
      <c r="P17">
        <f t="shared" si="1"/>
        <v>1.0057239999999994</v>
      </c>
      <c r="Q17">
        <f t="shared" si="1"/>
        <v>0.94985099999999945</v>
      </c>
      <c r="R17">
        <f t="shared" si="1"/>
        <v>0.8939779999999995</v>
      </c>
      <c r="S17">
        <f t="shared" si="1"/>
        <v>0.83810499999999954</v>
      </c>
      <c r="T17">
        <f t="shared" si="1"/>
        <v>0.78223199999999959</v>
      </c>
      <c r="U17">
        <f t="shared" si="1"/>
        <v>0.72635899999999964</v>
      </c>
      <c r="V17">
        <f t="shared" si="1"/>
        <v>0.67048599999999969</v>
      </c>
      <c r="W17">
        <f t="shared" si="1"/>
        <v>0.61461299999999974</v>
      </c>
      <c r="X17">
        <f t="shared" si="1"/>
        <v>0.55873999999999979</v>
      </c>
      <c r="Y17">
        <f t="shared" si="1"/>
        <v>0.50286699999999984</v>
      </c>
      <c r="Z17">
        <f t="shared" si="1"/>
        <v>0.44699399999999984</v>
      </c>
      <c r="AA17">
        <f t="shared" si="1"/>
        <v>0.39112099999999983</v>
      </c>
      <c r="AB17">
        <f t="shared" si="1"/>
        <v>0.33524799999999982</v>
      </c>
      <c r="AC17">
        <f t="shared" si="1"/>
        <v>0.27937499999999982</v>
      </c>
      <c r="AD17">
        <f t="shared" si="1"/>
        <v>0.22350199999999981</v>
      </c>
      <c r="AE17">
        <f t="shared" si="1"/>
        <v>0.16762899999999981</v>
      </c>
      <c r="AF17">
        <f t="shared" si="1"/>
        <v>0.1117559999999998</v>
      </c>
    </row>
    <row r="18" spans="1:32" x14ac:dyDescent="0.25">
      <c r="A18" t="s">
        <v>83</v>
      </c>
    </row>
    <row r="19" spans="1:32" x14ac:dyDescent="0.25">
      <c r="A19" s="6" t="s">
        <v>40</v>
      </c>
      <c r="B19">
        <f>D2/1000</f>
        <v>28.543599999999998</v>
      </c>
      <c r="C19">
        <f>C2/1000</f>
        <v>31.327000000000002</v>
      </c>
      <c r="D19">
        <f>B2/1000</f>
        <v>31.527900000000002</v>
      </c>
      <c r="E19">
        <f>D19-0.788198</f>
        <v>30.739702000000001</v>
      </c>
      <c r="F19">
        <f>E19-0.788198</f>
        <v>29.951504</v>
      </c>
      <c r="G19">
        <f t="shared" ref="G19:AF19" si="2">F19-0.788198</f>
        <v>29.163305999999999</v>
      </c>
      <c r="H19">
        <f t="shared" si="2"/>
        <v>28.375107999999997</v>
      </c>
      <c r="I19">
        <f t="shared" si="2"/>
        <v>27.586909999999996</v>
      </c>
      <c r="J19">
        <f t="shared" si="2"/>
        <v>26.798711999999995</v>
      </c>
      <c r="K19">
        <f t="shared" si="2"/>
        <v>26.010513999999993</v>
      </c>
      <c r="L19">
        <f t="shared" si="2"/>
        <v>25.222315999999992</v>
      </c>
      <c r="M19">
        <f t="shared" si="2"/>
        <v>24.434117999999991</v>
      </c>
      <c r="N19">
        <f t="shared" si="2"/>
        <v>23.64591999999999</v>
      </c>
      <c r="O19">
        <f t="shared" si="2"/>
        <v>22.857721999999988</v>
      </c>
      <c r="P19">
        <f t="shared" si="2"/>
        <v>22.069523999999987</v>
      </c>
      <c r="Q19">
        <f t="shared" si="2"/>
        <v>21.281325999999986</v>
      </c>
      <c r="R19">
        <f t="shared" si="2"/>
        <v>20.493127999999984</v>
      </c>
      <c r="S19">
        <f t="shared" si="2"/>
        <v>19.704929999999983</v>
      </c>
      <c r="T19">
        <f t="shared" si="2"/>
        <v>18.916731999999982</v>
      </c>
      <c r="U19">
        <f t="shared" si="2"/>
        <v>18.128533999999981</v>
      </c>
      <c r="V19">
        <f t="shared" si="2"/>
        <v>17.340335999999979</v>
      </c>
      <c r="W19">
        <f t="shared" si="2"/>
        <v>16.552137999999978</v>
      </c>
      <c r="X19">
        <f t="shared" si="2"/>
        <v>15.763939999999979</v>
      </c>
      <c r="Y19">
        <f t="shared" si="2"/>
        <v>14.975741999999979</v>
      </c>
      <c r="Z19">
        <f t="shared" si="2"/>
        <v>14.18754399999998</v>
      </c>
      <c r="AA19">
        <f t="shared" si="2"/>
        <v>13.39934599999998</v>
      </c>
      <c r="AB19">
        <f t="shared" si="2"/>
        <v>12.61114799999998</v>
      </c>
      <c r="AC19">
        <f t="shared" si="2"/>
        <v>11.822949999999981</v>
      </c>
      <c r="AD19">
        <f t="shared" si="2"/>
        <v>11.034751999999981</v>
      </c>
      <c r="AE19">
        <f t="shared" si="2"/>
        <v>10.246553999999982</v>
      </c>
      <c r="AF19">
        <f t="shared" si="2"/>
        <v>9.4583559999999824</v>
      </c>
    </row>
    <row r="20" spans="1:32" x14ac:dyDescent="0.25">
      <c r="A20" s="6" t="s">
        <v>41</v>
      </c>
      <c r="B20">
        <f>D3/1000</f>
        <v>20.2837</v>
      </c>
      <c r="C20">
        <f>C3/1000</f>
        <v>20.322599999999998</v>
      </c>
      <c r="D20">
        <f>B3/1000</f>
        <v>20.4421</v>
      </c>
      <c r="E20">
        <f>D20-0.681403</f>
        <v>19.760697</v>
      </c>
      <c r="F20">
        <f t="shared" ref="F20:AF20" si="3">E20-0.681403</f>
        <v>19.079294000000001</v>
      </c>
      <c r="G20">
        <f t="shared" si="3"/>
        <v>18.397891000000001</v>
      </c>
      <c r="H20">
        <f t="shared" si="3"/>
        <v>17.716488000000002</v>
      </c>
      <c r="I20">
        <f t="shared" si="3"/>
        <v>17.035085000000002</v>
      </c>
      <c r="J20">
        <f t="shared" si="3"/>
        <v>16.353682000000003</v>
      </c>
      <c r="K20">
        <f t="shared" si="3"/>
        <v>15.672279000000003</v>
      </c>
      <c r="L20">
        <f t="shared" si="3"/>
        <v>14.990876000000004</v>
      </c>
      <c r="M20">
        <f t="shared" si="3"/>
        <v>14.309473000000004</v>
      </c>
      <c r="N20">
        <f t="shared" si="3"/>
        <v>13.628070000000005</v>
      </c>
      <c r="O20">
        <f t="shared" si="3"/>
        <v>12.946667000000005</v>
      </c>
      <c r="P20">
        <f t="shared" si="3"/>
        <v>12.265264000000005</v>
      </c>
      <c r="Q20">
        <f t="shared" si="3"/>
        <v>11.583861000000006</v>
      </c>
      <c r="R20">
        <f t="shared" si="3"/>
        <v>10.902458000000006</v>
      </c>
      <c r="S20">
        <f t="shared" si="3"/>
        <v>10.221055000000007</v>
      </c>
      <c r="T20">
        <f t="shared" si="3"/>
        <v>9.5396520000000073</v>
      </c>
      <c r="U20">
        <f t="shared" si="3"/>
        <v>8.8582490000000078</v>
      </c>
      <c r="V20">
        <f t="shared" si="3"/>
        <v>8.1768460000000083</v>
      </c>
      <c r="W20">
        <f t="shared" si="3"/>
        <v>7.4954430000000087</v>
      </c>
      <c r="X20">
        <f t="shared" si="3"/>
        <v>6.8140400000000092</v>
      </c>
      <c r="Y20">
        <f t="shared" si="3"/>
        <v>6.1326370000000097</v>
      </c>
      <c r="Z20">
        <f t="shared" si="3"/>
        <v>5.4512340000000101</v>
      </c>
      <c r="AA20">
        <f t="shared" si="3"/>
        <v>4.7698310000000106</v>
      </c>
      <c r="AB20">
        <f t="shared" si="3"/>
        <v>4.0884280000000111</v>
      </c>
      <c r="AC20">
        <f t="shared" si="3"/>
        <v>3.4070250000000111</v>
      </c>
      <c r="AD20">
        <f t="shared" si="3"/>
        <v>2.7256220000000111</v>
      </c>
      <c r="AE20">
        <f t="shared" si="3"/>
        <v>2.0442190000000111</v>
      </c>
      <c r="AF20">
        <f t="shared" si="3"/>
        <v>1.3628160000000111</v>
      </c>
    </row>
    <row r="21" spans="1:32" x14ac:dyDescent="0.25">
      <c r="A21" t="s">
        <v>42</v>
      </c>
    </row>
    <row r="22" spans="1:32" x14ac:dyDescent="0.25">
      <c r="A22" t="s">
        <v>43</v>
      </c>
    </row>
    <row r="23" spans="1:32" x14ac:dyDescent="0.25">
      <c r="A23" s="6" t="s">
        <v>44</v>
      </c>
      <c r="B23">
        <f>D5/1000</f>
        <v>25.668800000000001</v>
      </c>
      <c r="C23">
        <f>C5/1000</f>
        <v>25.6998</v>
      </c>
      <c r="D23">
        <f>B5/1000</f>
        <v>25.457799999999999</v>
      </c>
      <c r="E23">
        <f>D23-1.27289</f>
        <v>24.184909999999999</v>
      </c>
      <c r="F23">
        <f t="shared" ref="F23:W23" si="4">E23-1.27289</f>
        <v>22.912019999999998</v>
      </c>
      <c r="G23">
        <f t="shared" si="4"/>
        <v>21.639129999999998</v>
      </c>
      <c r="H23">
        <f t="shared" si="4"/>
        <v>20.366239999999998</v>
      </c>
      <c r="I23">
        <f t="shared" si="4"/>
        <v>19.093349999999997</v>
      </c>
      <c r="J23">
        <f t="shared" si="4"/>
        <v>17.820459999999997</v>
      </c>
      <c r="K23">
        <f t="shared" si="4"/>
        <v>16.547569999999997</v>
      </c>
      <c r="L23">
        <f t="shared" si="4"/>
        <v>15.274679999999996</v>
      </c>
      <c r="M23">
        <f t="shared" si="4"/>
        <v>14.001789999999996</v>
      </c>
      <c r="N23">
        <f t="shared" si="4"/>
        <v>12.728899999999996</v>
      </c>
      <c r="O23">
        <f t="shared" si="4"/>
        <v>11.456009999999996</v>
      </c>
      <c r="P23">
        <f t="shared" si="4"/>
        <v>10.183119999999995</v>
      </c>
      <c r="Q23">
        <f t="shared" si="4"/>
        <v>8.910229999999995</v>
      </c>
      <c r="R23">
        <f t="shared" si="4"/>
        <v>7.6373399999999947</v>
      </c>
      <c r="S23">
        <f t="shared" si="4"/>
        <v>6.3644499999999944</v>
      </c>
      <c r="T23">
        <f t="shared" si="4"/>
        <v>5.0915599999999941</v>
      </c>
      <c r="U23">
        <f>T23-1.27289</f>
        <v>3.8186699999999938</v>
      </c>
      <c r="V23">
        <f t="shared" si="4"/>
        <v>2.5457799999999935</v>
      </c>
      <c r="W23">
        <f t="shared" si="4"/>
        <v>1.2728899999999934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s="6" t="s">
        <v>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s="6" t="s">
        <v>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2" x14ac:dyDescent="0.25">
      <c r="A26" s="6" t="s">
        <v>47</v>
      </c>
      <c r="B26">
        <f>D6/1000</f>
        <v>6.1044999999999998</v>
      </c>
      <c r="C26">
        <f>C6/1000</f>
        <v>6.9640000000000004</v>
      </c>
      <c r="D26">
        <f>B6/1000</f>
        <v>8.0289000000000001</v>
      </c>
      <c r="E26">
        <f>D26-0.401445</f>
        <v>7.6274550000000003</v>
      </c>
      <c r="F26">
        <f t="shared" ref="F26:W26" si="5">E26-0.401445</f>
        <v>7.2260100000000005</v>
      </c>
      <c r="G26">
        <f t="shared" si="5"/>
        <v>6.8245650000000007</v>
      </c>
      <c r="H26">
        <f t="shared" si="5"/>
        <v>6.4231200000000008</v>
      </c>
      <c r="I26">
        <f t="shared" si="5"/>
        <v>6.021675000000001</v>
      </c>
      <c r="J26">
        <f t="shared" si="5"/>
        <v>5.6202300000000012</v>
      </c>
      <c r="K26">
        <f t="shared" si="5"/>
        <v>5.2187850000000013</v>
      </c>
      <c r="L26">
        <f t="shared" si="5"/>
        <v>4.8173400000000015</v>
      </c>
      <c r="M26">
        <f t="shared" si="5"/>
        <v>4.4158950000000017</v>
      </c>
      <c r="N26">
        <f t="shared" si="5"/>
        <v>4.0144500000000019</v>
      </c>
      <c r="O26">
        <f t="shared" si="5"/>
        <v>3.613005000000002</v>
      </c>
      <c r="P26">
        <f t="shared" si="5"/>
        <v>3.2115600000000022</v>
      </c>
      <c r="Q26">
        <f t="shared" si="5"/>
        <v>2.8101150000000024</v>
      </c>
      <c r="R26">
        <f t="shared" si="5"/>
        <v>2.4086700000000025</v>
      </c>
      <c r="S26">
        <f t="shared" si="5"/>
        <v>2.0072250000000027</v>
      </c>
      <c r="T26">
        <f t="shared" si="5"/>
        <v>1.6057800000000026</v>
      </c>
      <c r="U26">
        <f t="shared" si="5"/>
        <v>1.2043350000000026</v>
      </c>
      <c r="V26">
        <f t="shared" si="5"/>
        <v>0.80289000000000255</v>
      </c>
      <c r="W26">
        <f t="shared" si="5"/>
        <v>0.40144500000000255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48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5">
      <c r="A28" t="s">
        <v>49</v>
      </c>
    </row>
    <row r="29" spans="1:32" x14ac:dyDescent="0.25">
      <c r="A29" s="6" t="s">
        <v>50</v>
      </c>
      <c r="B29">
        <f>D8/1000</f>
        <v>7.7618</v>
      </c>
      <c r="C29">
        <f>C8/1000</f>
        <v>9.3605999999999998</v>
      </c>
      <c r="D29">
        <f>B8/1000</f>
        <v>10.861499999999999</v>
      </c>
      <c r="E29">
        <f>D29-0.543075</f>
        <v>10.318425</v>
      </c>
      <c r="F29">
        <f t="shared" ref="F29:W29" si="6">E29-0.543075</f>
        <v>9.7753499999999995</v>
      </c>
      <c r="G29">
        <f t="shared" si="6"/>
        <v>9.2322749999999996</v>
      </c>
      <c r="H29">
        <f t="shared" si="6"/>
        <v>8.6891999999999996</v>
      </c>
      <c r="I29">
        <f t="shared" si="6"/>
        <v>8.1461249999999996</v>
      </c>
      <c r="J29">
        <f t="shared" si="6"/>
        <v>7.6030499999999996</v>
      </c>
      <c r="K29">
        <f t="shared" si="6"/>
        <v>7.0599749999999997</v>
      </c>
      <c r="L29">
        <f t="shared" si="6"/>
        <v>6.5168999999999997</v>
      </c>
      <c r="M29">
        <f t="shared" si="6"/>
        <v>5.9738249999999997</v>
      </c>
      <c r="N29">
        <f t="shared" si="6"/>
        <v>5.4307499999999997</v>
      </c>
      <c r="O29">
        <f t="shared" si="6"/>
        <v>4.8876749999999998</v>
      </c>
      <c r="P29">
        <f t="shared" si="6"/>
        <v>4.3445999999999998</v>
      </c>
      <c r="Q29">
        <f t="shared" si="6"/>
        <v>3.8015249999999998</v>
      </c>
      <c r="R29">
        <f t="shared" si="6"/>
        <v>3.2584499999999998</v>
      </c>
      <c r="S29">
        <f t="shared" si="6"/>
        <v>2.7153749999999999</v>
      </c>
      <c r="T29">
        <f t="shared" si="6"/>
        <v>2.1722999999999999</v>
      </c>
      <c r="U29">
        <f t="shared" si="6"/>
        <v>1.6292249999999999</v>
      </c>
      <c r="V29">
        <f t="shared" si="6"/>
        <v>1.0861499999999999</v>
      </c>
      <c r="W29">
        <f t="shared" si="6"/>
        <v>0.54307499999999997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2" spans="1:32" x14ac:dyDescent="0.25">
      <c r="A32" t="s">
        <v>34</v>
      </c>
    </row>
    <row r="33" spans="1:6" x14ac:dyDescent="0.25">
      <c r="A33" t="s">
        <v>35</v>
      </c>
      <c r="B33">
        <v>1.1819000000000002</v>
      </c>
      <c r="C33">
        <v>1.1819000000000002</v>
      </c>
      <c r="D33">
        <v>1.5141000000000002</v>
      </c>
      <c r="E33">
        <v>1.5141000000000002</v>
      </c>
      <c r="F33">
        <v>1.5141000000000002</v>
      </c>
    </row>
    <row r="34" spans="1:6" x14ac:dyDescent="0.25">
      <c r="A34" t="s">
        <v>36</v>
      </c>
    </row>
    <row r="35" spans="1:6" x14ac:dyDescent="0.25">
      <c r="A35" t="s">
        <v>37</v>
      </c>
    </row>
    <row r="36" spans="1:6" x14ac:dyDescent="0.25">
      <c r="A36" t="s">
        <v>38</v>
      </c>
    </row>
    <row r="37" spans="1:6" x14ac:dyDescent="0.25">
      <c r="A37" t="s">
        <v>39</v>
      </c>
      <c r="B37">
        <v>1.5146999999999999</v>
      </c>
      <c r="C37">
        <v>1.5146999999999999</v>
      </c>
      <c r="D37">
        <v>1.6239000000000001</v>
      </c>
      <c r="E37">
        <v>1.6239000000000001</v>
      </c>
      <c r="F37">
        <v>1.6239000000000001</v>
      </c>
    </row>
    <row r="38" spans="1:6" x14ac:dyDescent="0.25">
      <c r="A38" t="s">
        <v>83</v>
      </c>
    </row>
    <row r="39" spans="1:6" x14ac:dyDescent="0.25">
      <c r="A39" t="s">
        <v>40</v>
      </c>
      <c r="B39">
        <v>28.543599999999998</v>
      </c>
      <c r="C39">
        <f>B39+1</f>
        <v>29.543599999999998</v>
      </c>
      <c r="D39">
        <v>32.326999999999998</v>
      </c>
      <c r="E39">
        <v>31.327000000000002</v>
      </c>
      <c r="F39">
        <f>E39+1</f>
        <v>32.326999999999998</v>
      </c>
    </row>
    <row r="40" spans="1:6" x14ac:dyDescent="0.25">
      <c r="A40" t="s">
        <v>41</v>
      </c>
      <c r="B40">
        <v>20.2837</v>
      </c>
      <c r="C40">
        <f>B40+1</f>
        <v>21.2837</v>
      </c>
      <c r="D40">
        <v>21.322599999999998</v>
      </c>
      <c r="E40">
        <v>20.322599999999998</v>
      </c>
      <c r="F40">
        <f>E40+1</f>
        <v>21.322599999999998</v>
      </c>
    </row>
    <row r="41" spans="1:6" x14ac:dyDescent="0.25">
      <c r="A41" t="s">
        <v>42</v>
      </c>
    </row>
    <row r="42" spans="1:6" x14ac:dyDescent="0.25">
      <c r="A42" t="s">
        <v>43</v>
      </c>
    </row>
    <row r="43" spans="1:6" x14ac:dyDescent="0.25">
      <c r="A43" t="s">
        <v>44</v>
      </c>
      <c r="B43">
        <v>25.668800000000001</v>
      </c>
      <c r="C43">
        <f>B43+1</f>
        <v>26.668800000000001</v>
      </c>
      <c r="D43">
        <v>26.6998</v>
      </c>
      <c r="E43">
        <v>25.6998</v>
      </c>
      <c r="F43">
        <f>E43+1</f>
        <v>26.6998</v>
      </c>
    </row>
    <row r="44" spans="1:6" x14ac:dyDescent="0.25">
      <c r="A44" t="s">
        <v>45</v>
      </c>
      <c r="B44">
        <v>0</v>
      </c>
      <c r="E44">
        <v>0</v>
      </c>
    </row>
    <row r="45" spans="1:6" x14ac:dyDescent="0.25">
      <c r="A45" t="s">
        <v>46</v>
      </c>
      <c r="B45">
        <v>0</v>
      </c>
      <c r="E45">
        <v>0</v>
      </c>
    </row>
    <row r="46" spans="1:6" x14ac:dyDescent="0.25">
      <c r="A46" t="s">
        <v>47</v>
      </c>
      <c r="B46">
        <v>6.1044999999999998</v>
      </c>
      <c r="C46">
        <f>B46+0.75</f>
        <v>6.8544999999999998</v>
      </c>
      <c r="D46">
        <v>7.3640000000000008</v>
      </c>
      <c r="E46">
        <v>6.9640000000000004</v>
      </c>
      <c r="F46">
        <f>E46+0.4</f>
        <v>7.3640000000000008</v>
      </c>
    </row>
    <row r="47" spans="1:6" x14ac:dyDescent="0.25">
      <c r="A47" t="s">
        <v>48</v>
      </c>
      <c r="B47">
        <v>0</v>
      </c>
      <c r="E47">
        <v>0</v>
      </c>
    </row>
    <row r="48" spans="1:6" x14ac:dyDescent="0.25">
      <c r="A48" t="s">
        <v>49</v>
      </c>
    </row>
    <row r="49" spans="1:24" x14ac:dyDescent="0.25">
      <c r="A49" t="s">
        <v>50</v>
      </c>
      <c r="B49">
        <v>7.7618</v>
      </c>
      <c r="C49">
        <f>B49+0.75</f>
        <v>8.5118000000000009</v>
      </c>
      <c r="D49">
        <v>9.7606000000000002</v>
      </c>
      <c r="E49">
        <v>9.3605999999999998</v>
      </c>
      <c r="F49">
        <f>E49+0.4</f>
        <v>9.7606000000000002</v>
      </c>
    </row>
    <row r="51" spans="1:24" x14ac:dyDescent="0.25">
      <c r="B51">
        <f>SUM(B33:B49)</f>
        <v>91.058999999999997</v>
      </c>
      <c r="C51">
        <f t="shared" ref="C51:F51" si="7">SUM(C33:C49)</f>
        <v>95.558999999999997</v>
      </c>
      <c r="E51">
        <f t="shared" si="7"/>
        <v>96.811999999999998</v>
      </c>
      <c r="F51">
        <f t="shared" si="7"/>
        <v>100.61199999999999</v>
      </c>
    </row>
    <row r="53" spans="1:24" x14ac:dyDescent="0.25">
      <c r="C53">
        <v>95.89</v>
      </c>
      <c r="F53">
        <v>99.819000000000003</v>
      </c>
    </row>
    <row r="55" spans="1:24" x14ac:dyDescent="0.25">
      <c r="C55">
        <v>2020</v>
      </c>
      <c r="D55">
        <v>2021</v>
      </c>
      <c r="E55">
        <v>2022</v>
      </c>
      <c r="F55">
        <v>2023</v>
      </c>
      <c r="G55">
        <v>2024</v>
      </c>
      <c r="H55">
        <v>2025</v>
      </c>
      <c r="I55">
        <v>2026</v>
      </c>
      <c r="J55">
        <v>2027</v>
      </c>
      <c r="K55">
        <v>2028</v>
      </c>
      <c r="L55">
        <v>2029</v>
      </c>
      <c r="M55">
        <v>2030</v>
      </c>
      <c r="N55">
        <v>2031</v>
      </c>
      <c r="O55">
        <v>2032</v>
      </c>
      <c r="P55">
        <v>2033</v>
      </c>
      <c r="Q55">
        <v>2034</v>
      </c>
      <c r="R55">
        <v>2035</v>
      </c>
      <c r="S55">
        <v>2036</v>
      </c>
      <c r="T55">
        <v>2037</v>
      </c>
      <c r="U55">
        <v>2038</v>
      </c>
      <c r="V55">
        <v>2039</v>
      </c>
      <c r="W55">
        <v>2040</v>
      </c>
    </row>
    <row r="56" spans="1:24" x14ac:dyDescent="0.25">
      <c r="A56" t="s">
        <v>34</v>
      </c>
    </row>
    <row r="57" spans="1:24" x14ac:dyDescent="0.25">
      <c r="A57" t="s">
        <v>35</v>
      </c>
      <c r="B57">
        <f>D57/20</f>
        <v>7.5705000000000008E-2</v>
      </c>
      <c r="C57">
        <v>1.1819000000000002</v>
      </c>
      <c r="D57">
        <v>1.5141000000000002</v>
      </c>
      <c r="E57">
        <f>D57-0.059095</f>
        <v>1.4550050000000003</v>
      </c>
      <c r="F57">
        <f t="shared" ref="F57:X57" si="8">E57-0.059095</f>
        <v>1.3959100000000004</v>
      </c>
      <c r="G57">
        <f t="shared" si="8"/>
        <v>1.3368150000000005</v>
      </c>
      <c r="H57">
        <f t="shared" si="8"/>
        <v>1.2777200000000006</v>
      </c>
      <c r="I57">
        <f t="shared" si="8"/>
        <v>1.2186250000000007</v>
      </c>
      <c r="J57">
        <f t="shared" si="8"/>
        <v>1.1595300000000008</v>
      </c>
      <c r="K57">
        <f t="shared" si="8"/>
        <v>1.1004350000000009</v>
      </c>
      <c r="L57">
        <f t="shared" si="8"/>
        <v>1.041340000000001</v>
      </c>
      <c r="M57">
        <f t="shared" si="8"/>
        <v>0.98224500000000103</v>
      </c>
      <c r="N57">
        <f t="shared" si="8"/>
        <v>0.92315000000000103</v>
      </c>
      <c r="O57">
        <f t="shared" si="8"/>
        <v>0.86405500000000102</v>
      </c>
      <c r="P57">
        <f t="shared" si="8"/>
        <v>0.80496000000000101</v>
      </c>
      <c r="Q57">
        <f t="shared" si="8"/>
        <v>0.745865000000001</v>
      </c>
      <c r="R57">
        <f t="shared" si="8"/>
        <v>0.68677000000000099</v>
      </c>
      <c r="S57">
        <f t="shared" si="8"/>
        <v>0.62767500000000098</v>
      </c>
      <c r="T57">
        <f t="shared" si="8"/>
        <v>0.56858000000000097</v>
      </c>
      <c r="U57">
        <f t="shared" si="8"/>
        <v>0.50948500000000096</v>
      </c>
      <c r="V57">
        <f t="shared" si="8"/>
        <v>0.45039000000000096</v>
      </c>
      <c r="W57">
        <f t="shared" si="8"/>
        <v>0.39129500000000095</v>
      </c>
      <c r="X57">
        <f t="shared" si="8"/>
        <v>0.33220000000000094</v>
      </c>
    </row>
    <row r="58" spans="1:24" x14ac:dyDescent="0.25">
      <c r="A58" t="s">
        <v>36</v>
      </c>
    </row>
    <row r="59" spans="1:24" x14ac:dyDescent="0.25">
      <c r="A59" t="s">
        <v>37</v>
      </c>
    </row>
    <row r="60" spans="1:24" x14ac:dyDescent="0.25">
      <c r="A60" t="s">
        <v>38</v>
      </c>
    </row>
    <row r="61" spans="1:24" x14ac:dyDescent="0.25">
      <c r="A61" t="s">
        <v>39</v>
      </c>
      <c r="B61">
        <f>D61/30</f>
        <v>5.4130000000000005E-2</v>
      </c>
      <c r="C61">
        <v>1.5146999999999999</v>
      </c>
      <c r="D61">
        <v>1.6239000000000001</v>
      </c>
      <c r="E61">
        <f>D61-0.05049</f>
        <v>1.5734100000000002</v>
      </c>
      <c r="F61">
        <f t="shared" ref="F61:X61" si="9">E61-0.05049</f>
        <v>1.5229200000000003</v>
      </c>
      <c r="G61">
        <f t="shared" si="9"/>
        <v>1.4724300000000003</v>
      </c>
      <c r="H61">
        <f t="shared" si="9"/>
        <v>1.4219400000000004</v>
      </c>
      <c r="I61">
        <f t="shared" si="9"/>
        <v>1.3714500000000005</v>
      </c>
      <c r="J61">
        <f t="shared" si="9"/>
        <v>1.3209600000000006</v>
      </c>
      <c r="K61">
        <f t="shared" si="9"/>
        <v>1.2704700000000007</v>
      </c>
      <c r="L61">
        <f t="shared" si="9"/>
        <v>1.2199800000000007</v>
      </c>
      <c r="M61">
        <f t="shared" si="9"/>
        <v>1.1694900000000008</v>
      </c>
      <c r="N61">
        <f t="shared" si="9"/>
        <v>1.1190000000000009</v>
      </c>
      <c r="O61">
        <f t="shared" si="9"/>
        <v>1.068510000000001</v>
      </c>
      <c r="P61">
        <f t="shared" si="9"/>
        <v>1.018020000000001</v>
      </c>
      <c r="Q61">
        <f t="shared" si="9"/>
        <v>0.967530000000001</v>
      </c>
      <c r="R61">
        <f t="shared" si="9"/>
        <v>0.91704000000000097</v>
      </c>
      <c r="S61">
        <f t="shared" si="9"/>
        <v>0.86655000000000093</v>
      </c>
      <c r="T61">
        <f t="shared" si="9"/>
        <v>0.8160600000000009</v>
      </c>
      <c r="U61">
        <f t="shared" si="9"/>
        <v>0.76557000000000086</v>
      </c>
      <c r="V61">
        <f t="shared" si="9"/>
        <v>0.71508000000000083</v>
      </c>
      <c r="W61">
        <f t="shared" si="9"/>
        <v>0.66459000000000079</v>
      </c>
      <c r="X61">
        <f t="shared" si="9"/>
        <v>0.61410000000000076</v>
      </c>
    </row>
    <row r="62" spans="1:24" x14ac:dyDescent="0.25">
      <c r="A62" t="s">
        <v>83</v>
      </c>
    </row>
    <row r="63" spans="1:24" x14ac:dyDescent="0.25">
      <c r="A63" t="s">
        <v>40</v>
      </c>
      <c r="B63">
        <f>D63/40</f>
        <v>0.78317500000000007</v>
      </c>
      <c r="C63">
        <v>28.543599999999998</v>
      </c>
      <c r="D63">
        <v>31.327000000000002</v>
      </c>
      <c r="E63">
        <f>D63-0.73859</f>
        <v>30.588410000000003</v>
      </c>
      <c r="F63">
        <f t="shared" ref="F63:X63" si="10">E63-0.73859</f>
        <v>29.849820000000005</v>
      </c>
      <c r="G63">
        <f t="shared" si="10"/>
        <v>29.111230000000006</v>
      </c>
      <c r="H63">
        <f t="shared" si="10"/>
        <v>28.372640000000008</v>
      </c>
      <c r="I63">
        <f t="shared" si="10"/>
        <v>27.634050000000009</v>
      </c>
      <c r="J63">
        <f t="shared" si="10"/>
        <v>26.895460000000011</v>
      </c>
      <c r="K63">
        <f t="shared" si="10"/>
        <v>26.156870000000012</v>
      </c>
      <c r="L63">
        <f t="shared" si="10"/>
        <v>25.418280000000014</v>
      </c>
      <c r="M63">
        <f t="shared" si="10"/>
        <v>24.679690000000015</v>
      </c>
      <c r="N63">
        <f t="shared" si="10"/>
        <v>23.941100000000016</v>
      </c>
      <c r="O63">
        <f t="shared" si="10"/>
        <v>23.202510000000018</v>
      </c>
      <c r="P63">
        <f t="shared" si="10"/>
        <v>22.463920000000019</v>
      </c>
      <c r="Q63">
        <f t="shared" si="10"/>
        <v>21.725330000000021</v>
      </c>
      <c r="R63">
        <f t="shared" si="10"/>
        <v>20.986740000000022</v>
      </c>
      <c r="S63">
        <f t="shared" si="10"/>
        <v>20.248150000000024</v>
      </c>
      <c r="T63">
        <f t="shared" si="10"/>
        <v>19.509560000000025</v>
      </c>
      <c r="U63">
        <f t="shared" si="10"/>
        <v>18.770970000000027</v>
      </c>
      <c r="V63">
        <f t="shared" si="10"/>
        <v>18.032380000000028</v>
      </c>
      <c r="W63">
        <f t="shared" si="10"/>
        <v>17.29379000000003</v>
      </c>
      <c r="X63">
        <f t="shared" si="10"/>
        <v>16.555200000000031</v>
      </c>
    </row>
    <row r="64" spans="1:24" x14ac:dyDescent="0.25">
      <c r="A64" t="s">
        <v>41</v>
      </c>
      <c r="B64">
        <f>D64/30</f>
        <v>0.67741999999999991</v>
      </c>
      <c r="C64">
        <v>20.2837</v>
      </c>
      <c r="D64">
        <v>20.322599999999998</v>
      </c>
      <c r="E64">
        <f>D64-0.70945667</f>
        <v>19.613143329999996</v>
      </c>
      <c r="F64">
        <f t="shared" ref="F64:X64" si="11">E64-0.70945667</f>
        <v>18.903686659999995</v>
      </c>
      <c r="G64">
        <f t="shared" si="11"/>
        <v>18.194229989999993</v>
      </c>
      <c r="H64">
        <f t="shared" si="11"/>
        <v>17.484773319999992</v>
      </c>
      <c r="I64">
        <f t="shared" si="11"/>
        <v>16.77531664999999</v>
      </c>
      <c r="J64">
        <f t="shared" si="11"/>
        <v>16.065859979999988</v>
      </c>
      <c r="K64">
        <f t="shared" si="11"/>
        <v>15.356403309999989</v>
      </c>
      <c r="L64">
        <f t="shared" si="11"/>
        <v>14.646946639999989</v>
      </c>
      <c r="M64">
        <f t="shared" si="11"/>
        <v>13.937489969999989</v>
      </c>
      <c r="N64">
        <f t="shared" si="11"/>
        <v>13.228033299999989</v>
      </c>
      <c r="O64">
        <f t="shared" si="11"/>
        <v>12.518576629999989</v>
      </c>
      <c r="P64">
        <f t="shared" si="11"/>
        <v>11.80911995999999</v>
      </c>
      <c r="Q64">
        <f t="shared" si="11"/>
        <v>11.09966328999999</v>
      </c>
      <c r="R64">
        <f t="shared" si="11"/>
        <v>10.39020661999999</v>
      </c>
      <c r="S64">
        <f t="shared" si="11"/>
        <v>9.6807499499999903</v>
      </c>
      <c r="T64">
        <f t="shared" si="11"/>
        <v>8.9712932799999905</v>
      </c>
      <c r="U64">
        <f t="shared" si="11"/>
        <v>8.2618366099999907</v>
      </c>
      <c r="V64">
        <f t="shared" si="11"/>
        <v>7.5523799399999909</v>
      </c>
      <c r="W64">
        <f t="shared" si="11"/>
        <v>6.8429232699999911</v>
      </c>
      <c r="X64">
        <f t="shared" si="11"/>
        <v>6.1334665999999913</v>
      </c>
    </row>
    <row r="65" spans="1:24" x14ac:dyDescent="0.25">
      <c r="A65" t="s">
        <v>42</v>
      </c>
    </row>
    <row r="66" spans="1:24" x14ac:dyDescent="0.25">
      <c r="A66" t="s">
        <v>43</v>
      </c>
    </row>
    <row r="67" spans="1:24" x14ac:dyDescent="0.25">
      <c r="A67" t="s">
        <v>44</v>
      </c>
      <c r="B67">
        <f>D67/20</f>
        <v>1.2849900000000001</v>
      </c>
      <c r="C67">
        <v>25.668800000000001</v>
      </c>
      <c r="D67">
        <v>25.6998</v>
      </c>
      <c r="E67">
        <f>D67-1.33344</f>
        <v>24.36636</v>
      </c>
      <c r="F67">
        <f t="shared" ref="F67:W67" si="12">E67-1.33344</f>
        <v>23.032920000000001</v>
      </c>
      <c r="G67">
        <f t="shared" si="12"/>
        <v>21.699480000000001</v>
      </c>
      <c r="H67">
        <f t="shared" si="12"/>
        <v>20.366040000000002</v>
      </c>
      <c r="I67">
        <f t="shared" si="12"/>
        <v>19.032600000000002</v>
      </c>
      <c r="J67">
        <f t="shared" si="12"/>
        <v>17.699160000000003</v>
      </c>
      <c r="K67">
        <f t="shared" si="12"/>
        <v>16.365720000000003</v>
      </c>
      <c r="L67">
        <f t="shared" si="12"/>
        <v>15.032280000000004</v>
      </c>
      <c r="M67">
        <f t="shared" si="12"/>
        <v>13.698840000000004</v>
      </c>
      <c r="N67">
        <f t="shared" si="12"/>
        <v>12.365400000000005</v>
      </c>
      <c r="O67">
        <f t="shared" si="12"/>
        <v>11.031960000000005</v>
      </c>
      <c r="P67">
        <f t="shared" si="12"/>
        <v>9.6985200000000056</v>
      </c>
      <c r="Q67">
        <f t="shared" si="12"/>
        <v>8.3650800000000061</v>
      </c>
      <c r="R67">
        <f t="shared" si="12"/>
        <v>7.0316400000000066</v>
      </c>
      <c r="S67">
        <f t="shared" si="12"/>
        <v>5.698200000000007</v>
      </c>
      <c r="T67">
        <f t="shared" si="12"/>
        <v>4.3647600000000075</v>
      </c>
      <c r="U67">
        <f t="shared" si="12"/>
        <v>3.0313200000000076</v>
      </c>
      <c r="V67">
        <f t="shared" si="12"/>
        <v>1.6978800000000076</v>
      </c>
      <c r="W67">
        <f t="shared" si="12"/>
        <v>0.36444000000000765</v>
      </c>
      <c r="X67">
        <f t="shared" ref="X67" si="13">W67-1.33344</f>
        <v>-0.96899999999999231</v>
      </c>
    </row>
    <row r="68" spans="1:24" x14ac:dyDescent="0.25">
      <c r="A68" t="s">
        <v>45</v>
      </c>
      <c r="C68">
        <v>0</v>
      </c>
      <c r="D68">
        <v>0</v>
      </c>
    </row>
    <row r="69" spans="1:24" x14ac:dyDescent="0.25">
      <c r="A69" t="s">
        <v>46</v>
      </c>
      <c r="C69">
        <v>0</v>
      </c>
      <c r="D69">
        <v>0</v>
      </c>
    </row>
    <row r="70" spans="1:24" x14ac:dyDescent="0.25">
      <c r="A70" t="s">
        <v>47</v>
      </c>
      <c r="B70">
        <f>D70/20</f>
        <v>0.34820000000000001</v>
      </c>
      <c r="C70">
        <v>6.1044999999999998</v>
      </c>
      <c r="D70">
        <v>6.9640000000000004</v>
      </c>
      <c r="E70">
        <f>D70-0.342725</f>
        <v>6.6212750000000007</v>
      </c>
      <c r="F70">
        <f t="shared" ref="F70:W70" si="14">E70-0.342725</f>
        <v>6.278550000000001</v>
      </c>
      <c r="G70">
        <f t="shared" si="14"/>
        <v>5.9358250000000012</v>
      </c>
      <c r="H70">
        <f t="shared" si="14"/>
        <v>5.5931000000000015</v>
      </c>
      <c r="I70">
        <f t="shared" si="14"/>
        <v>5.2503750000000018</v>
      </c>
      <c r="J70">
        <f t="shared" si="14"/>
        <v>4.9076500000000021</v>
      </c>
      <c r="K70">
        <f t="shared" si="14"/>
        <v>4.5649250000000023</v>
      </c>
      <c r="L70">
        <f t="shared" si="14"/>
        <v>4.2222000000000026</v>
      </c>
      <c r="M70">
        <f t="shared" si="14"/>
        <v>3.8794750000000024</v>
      </c>
      <c r="N70">
        <f t="shared" si="14"/>
        <v>3.5367500000000023</v>
      </c>
      <c r="O70">
        <f t="shared" si="14"/>
        <v>3.1940250000000021</v>
      </c>
      <c r="P70">
        <f t="shared" si="14"/>
        <v>2.8513000000000019</v>
      </c>
      <c r="Q70">
        <f t="shared" si="14"/>
        <v>2.5085750000000018</v>
      </c>
      <c r="R70">
        <f t="shared" si="14"/>
        <v>2.1658500000000016</v>
      </c>
      <c r="S70">
        <f t="shared" si="14"/>
        <v>1.8231250000000017</v>
      </c>
      <c r="T70">
        <f t="shared" si="14"/>
        <v>1.4804000000000017</v>
      </c>
      <c r="U70">
        <f t="shared" si="14"/>
        <v>1.1376750000000018</v>
      </c>
      <c r="V70">
        <f t="shared" si="14"/>
        <v>0.79495000000000182</v>
      </c>
      <c r="W70">
        <f t="shared" si="14"/>
        <v>0.45222500000000182</v>
      </c>
      <c r="X70">
        <f t="shared" ref="X70" si="15">W70-0.342725</f>
        <v>0.10950000000000182</v>
      </c>
    </row>
    <row r="71" spans="1:24" x14ac:dyDescent="0.25">
      <c r="A71" t="s">
        <v>48</v>
      </c>
      <c r="C71">
        <v>0</v>
      </c>
      <c r="D71">
        <v>0</v>
      </c>
    </row>
    <row r="72" spans="1:24" x14ac:dyDescent="0.25">
      <c r="A72" t="s">
        <v>49</v>
      </c>
    </row>
    <row r="73" spans="1:24" x14ac:dyDescent="0.25">
      <c r="A73" t="s">
        <v>50</v>
      </c>
      <c r="B73">
        <f>D73/20</f>
        <v>0.46803</v>
      </c>
      <c r="C73">
        <v>7.7618</v>
      </c>
      <c r="D73">
        <v>9.3605999999999998</v>
      </c>
      <c r="E73">
        <f>D73-0.42559</f>
        <v>8.9350100000000001</v>
      </c>
      <c r="F73">
        <f t="shared" ref="F73:W73" si="16">E73-0.42559</f>
        <v>8.5094200000000004</v>
      </c>
      <c r="G73">
        <f t="shared" si="16"/>
        <v>8.0838300000000007</v>
      </c>
      <c r="H73">
        <f t="shared" si="16"/>
        <v>7.658240000000001</v>
      </c>
      <c r="I73">
        <f t="shared" si="16"/>
        <v>7.2326500000000014</v>
      </c>
      <c r="J73">
        <f t="shared" si="16"/>
        <v>6.8070600000000017</v>
      </c>
      <c r="K73">
        <f t="shared" si="16"/>
        <v>6.381470000000002</v>
      </c>
      <c r="L73">
        <f t="shared" si="16"/>
        <v>5.9558800000000023</v>
      </c>
      <c r="M73">
        <f t="shared" si="16"/>
        <v>5.5302900000000026</v>
      </c>
      <c r="N73">
        <f t="shared" si="16"/>
        <v>5.1047000000000029</v>
      </c>
      <c r="O73">
        <f t="shared" si="16"/>
        <v>4.6791100000000032</v>
      </c>
      <c r="P73">
        <f t="shared" si="16"/>
        <v>4.2535200000000035</v>
      </c>
      <c r="Q73">
        <f t="shared" si="16"/>
        <v>3.8279300000000034</v>
      </c>
      <c r="R73">
        <f t="shared" si="16"/>
        <v>3.4023400000000033</v>
      </c>
      <c r="S73">
        <f t="shared" si="16"/>
        <v>2.9767500000000031</v>
      </c>
      <c r="T73">
        <f t="shared" si="16"/>
        <v>2.551160000000003</v>
      </c>
      <c r="U73">
        <f t="shared" si="16"/>
        <v>2.1255700000000028</v>
      </c>
      <c r="V73">
        <f t="shared" si="16"/>
        <v>1.6999800000000027</v>
      </c>
      <c r="W73">
        <f t="shared" si="16"/>
        <v>1.2743900000000026</v>
      </c>
      <c r="X73">
        <f t="shared" ref="X73" si="17">W73-0.42559</f>
        <v>0.84880000000000255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 supply</vt:lpstr>
      <vt:lpstr>tfec</vt:lpstr>
      <vt:lpstr>Sayfa2</vt:lpstr>
      <vt:lpstr>cost</vt:lpstr>
      <vt:lpstr>capital cost.</vt:lpstr>
      <vt:lpstr>fixed cost</vt:lpstr>
      <vt:lpstr>variable cost</vt:lpstr>
      <vt:lpstr>lifetime</vt:lpstr>
      <vt:lpstr>residual capacity</vt:lpstr>
      <vt:lpstr>specified demand profile</vt:lpstr>
      <vt:lpstr>demand</vt:lpstr>
      <vt:lpstr>input activity ratio</vt:lpstr>
      <vt:lpstr>output activity ratio</vt:lpstr>
      <vt:lpstr>fuel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2022-09-30T13:01:38Z</dcterms:modified>
</cp:coreProperties>
</file>